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educationgovuk.sharepoint.com/sites/efg/f/WorkplaceDocuments/Funding-reform/NFF_1920 SB/"/>
    </mc:Choice>
  </mc:AlternateContent>
  <xr:revisionPtr revIDLastSave="0" documentId="13_ncr:1_{4A1469DC-5E14-446F-B048-935F11F520B2}" xr6:coauthVersionLast="34" xr6:coauthVersionMax="34" xr10:uidLastSave="{00000000-0000-0000-0000-000000000000}"/>
  <bookViews>
    <workbookView xWindow="0" yWindow="0" windowWidth="15360" windowHeight="6653" xr2:uid="{00000000-000D-0000-FFFF-FFFF00000000}"/>
  </bookViews>
  <sheets>
    <sheet name="Information" sheetId="2" r:id="rId1"/>
    <sheet name="National Details" sheetId="3" r:id="rId2"/>
    <sheet name="2019-20 Allocations" sheetId="4" r:id="rId3"/>
    <sheet name="2019-20 StepbyStep Allocations" sheetId="5" r:id="rId4"/>
    <sheet name="Individual LA" sheetId="6" r:id="rId5"/>
    <sheet name="Baselines+Historic Spend Factor" sheetId="8" r:id="rId6"/>
    <sheet name="Import|Export Adjustments Data" sheetId="9" r:id="rId7"/>
    <sheet name="Hospital Education Funding" sheetId="7" r:id="rId8"/>
  </sheets>
  <externalReferences>
    <externalReference r:id="rId9"/>
    <externalReference r:id="rId10"/>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Key1" hidden="1">#REF!</definedName>
    <definedName name="_Order1" hidden="1">0</definedName>
    <definedName name="_Sort" hidden="1">#REF!</definedName>
    <definedName name="_v2" hidden="1">[1]weekly!#REF!</definedName>
    <definedName name="Abs_floor">'[2]Formula Parameters'!$E$6</definedName>
    <definedName name="ACA_Yr1">'[2]LA Details_Yr1 (Sept)'!$J$8:$J$158</definedName>
    <definedName name="ACA_Yr2">'[2]LA Details_Yr2 (July)'!$J$8:$J$159</definedName>
    <definedName name="ACA_Yr3">'[2]LA Details_Yr3'!$J$8:$J$160</definedName>
    <definedName name="ACA_Yr4">'[2]LA Details_Yr4'!$J$8:$J$161</definedName>
    <definedName name="ACA_Yr5">'[2]LA Details_Yr5'!$J$8:$J$158</definedName>
    <definedName name="ACABadHealth_Yr1">'[2]LA Details_Yr1 (Sept)'!$AU$8:$AU$158</definedName>
    <definedName name="ACABadHealth_Yr2">'[2]LA Details_Yr2 (July)'!$AP$8:$AP$159</definedName>
    <definedName name="ACABadHealth_Yr3">'[2]LA Details_Yr3'!$AW$8:$AW$160</definedName>
    <definedName name="ACABadHealth_Yr4">'[2]LA Details_Yr4'!$AW$8:$AW$161</definedName>
    <definedName name="ACABadHealth_Yr5">'[2]LA Details_Yr5'!$AW$8:$AW$158</definedName>
    <definedName name="ACADisability_Yr1">'[2]LA Details_Yr1 (Sept)'!$AX$8:$AX$158</definedName>
    <definedName name="ACADisability_Yr2">'[2]LA Details_Yr2 (July)'!$AS$8:$AS$158</definedName>
    <definedName name="ACADisability_Yr3">'[2]LA Details_Yr3'!$AZ$8:$AZ$158</definedName>
    <definedName name="ACADisability_Yr4">'[2]LA Details_Yr4'!$AZ$8:$AZ$158</definedName>
    <definedName name="ACADisability_Yr5">'[2]LA Details_Yr5'!$AZ$8:$AZ$158</definedName>
    <definedName name="ACAFSM_Yr1">'[2]LA Details_Yr1 (Sept)'!$Y$8:$Y$158</definedName>
    <definedName name="ACAFSM_Yr2">'[2]LA Details_Yr2 (July)'!$T$8:$T$158</definedName>
    <definedName name="ACAFSM_Yr3">'[2]LA Details_Yr3'!$AA$8:$AA$158</definedName>
    <definedName name="ACAFSM_Yr4">'[2]LA Details_Yr4'!$AA$8:$AA$158</definedName>
    <definedName name="ACAFSM_Yr5">'[2]LA Details_Yr5'!$AA$8:$AA$158</definedName>
    <definedName name="ACAIDACI_A_Yr1">'[2]LA Details_Yr1 (Sept)'!$AR$8:$AR$158</definedName>
    <definedName name="ACAIDACI_A_Yr2">'[2]LA Details_Yr2 (July)'!$AM$8:$AM$158</definedName>
    <definedName name="ACAIDACI_A_Yr3">'[2]LA Details_Yr3'!$AT$8:$AT$158</definedName>
    <definedName name="ACAIDACI_A_Yr4">'[2]LA Details_Yr4'!$AT$8:$AT$158</definedName>
    <definedName name="ACAIDACI_A_Yr5">'[2]LA Details_Yr5'!$AT$8:$AT$158</definedName>
    <definedName name="ACAIDACI_B_Yr1">'[2]LA Details_Yr1 (Sept)'!$AO$8:$AO$158</definedName>
    <definedName name="ACAIDACI_B_Yr2">'[2]LA Details_Yr2 (July)'!$AJ$8:$AJ$158</definedName>
    <definedName name="ACAIDACI_B_Yr3">'[2]LA Details_Yr3'!$AQ$8:$AQ$158</definedName>
    <definedName name="ACAIDACI_B_Yr4">'[2]LA Details_Yr4'!$AQ$8:$AQ$158</definedName>
    <definedName name="ACAIDACI_B_Yr5">'[2]LA Details_Yr5'!$AQ$8:$AQ$158</definedName>
    <definedName name="ACAIDACI_C_Yr1">'[2]LA Details_Yr1 (Sept)'!$AL$8:$AL$158</definedName>
    <definedName name="ACAIDACI_C_Yr2">'[2]LA Details_Yr2 (July)'!$AG$8:$AG$158</definedName>
    <definedName name="ACAIDACI_C_Yr3">'[2]LA Details_Yr3'!$AN$8:$AN$158</definedName>
    <definedName name="ACAIDACI_C_Yr4">'[2]LA Details_Yr4'!$AN$8:$AN$158</definedName>
    <definedName name="ACAIDACI_C_Yr5">'[2]LA Details_Yr5'!$AN$8:$AN$158</definedName>
    <definedName name="ACAIDACI_D_Yr1">'[2]LA Details_Yr1 (Sept)'!$AI$8:$AI$158</definedName>
    <definedName name="ACAIDACI_D_Yr2">'[2]LA Details_Yr2 (July)'!$AD$8:$AD$158</definedName>
    <definedName name="ACAIDACI_E_Yr1">'[2]LA Details_Yr1 (Sept)'!$AF$8:$AF$158</definedName>
    <definedName name="ACAIDACI_E_Yr2">'[2]LA Details_Yr2 (July)'!$AA$8:$AA$158</definedName>
    <definedName name="ACAIDACI_E_Yr3">'[2]LA Details_Yr3'!$AH$8:$AH$158</definedName>
    <definedName name="ACAIDACI_E_Yr4">'[2]LA Details_Yr4'!$AH$8:$AH$158</definedName>
    <definedName name="ACAIDACI_E_Yr5">'[2]LA Details_Yr5'!$AH$8:$AH$158</definedName>
    <definedName name="ACAIDACI_F_Yr1">'[2]LA Details_Yr1 (Sept)'!$AC$8:$AC$158</definedName>
    <definedName name="ACAIDACI_F_Yr2">'[2]LA Details_Yr2 (July)'!$X$8:$X$158</definedName>
    <definedName name="ACAIDACI_F_Yr3">'[2]LA Details_Yr3'!$AE$8:$AE$158</definedName>
    <definedName name="ACAIDACI_F_Yr4">'[2]LA Details_Yr4'!$AE$8:$AE$158</definedName>
    <definedName name="ACAIDACI_F_Yr5">'[2]LA Details_Yr5'!$AE$8:$AE$158</definedName>
    <definedName name="ACAKS2_Yr1">'[2]LA Details_Yr1 (Sept)'!$BA$8:$BA$158</definedName>
    <definedName name="ACAKS2_Yr2">'[2]LA Details_Yr2 (July)'!$AV$8:$AV$158</definedName>
    <definedName name="ACAKS2_Yr3">'[2]LA Details_Yr3'!$BC$8:$BC$158</definedName>
    <definedName name="ACAKS2_Yr4">'[2]LA Details_Yr4'!$BC$8:$BC$158</definedName>
    <definedName name="ACAKS2_Yr5">'[2]LA Details_Yr5'!$BC$8:$BC$158</definedName>
    <definedName name="ACAKS4_Yr1">'[2]LA Details_Yr1 (Sept)'!$BD$8:$BD$158</definedName>
    <definedName name="ACAKS4_Yr2">'[2]LA Details_Yr2 (July)'!$AY$8:$AY$158</definedName>
    <definedName name="ACAKS4_Yr3">'[2]LA Details_Yr3'!$BF$8:$BF$158</definedName>
    <definedName name="ACAKS4_Yr4">'[2]LA Details_Yr4'!$BF$8:$BF$158</definedName>
    <definedName name="ACAKS4_Yr5">'[2]LA Details_Yr5'!$BF$8:$BF$158</definedName>
    <definedName name="ACAPopulation_Yr1">'[2]LA Details_Yr1 (Sept)'!$V$8:$V$158</definedName>
    <definedName name="ACAPopulation_Yr2">'[2]LA Details_Yr2 (July)'!$Q$8:$Q$158</definedName>
    <definedName name="ACAPopulation_Yr3">'[2]LA Details_Yr3'!$X$8:$X$158</definedName>
    <definedName name="ACAPopulation_Yr4">'[2]LA Details_Yr4'!$X$8:$X$158</definedName>
    <definedName name="ACAPopulation_Yr5">'[2]LA Details_Yr5'!$X$8:$X$158</definedName>
    <definedName name="BadHealthFactor_Yr1">'[2]LA Details_Yr1 (Sept)'!$AV$8:$AV$158</definedName>
    <definedName name="BadHealthFactor_Yr1_CORRECTED">[2]LA_1819_CORRECTED!$AV$8:$AV$158</definedName>
    <definedName name="BadHealthFactor_Yr2">'[2]LA Details_Yr2 (July)'!$AQ$8:$AQ$158</definedName>
    <definedName name="BasicEntitlement_Dec_Yr1">'[2]LA Details_Yr1 (Dec)'!$M$8:$M$158</definedName>
    <definedName name="BasicEntitlement_Yr1">'[2]LA Details_Yr1 (Sept)'!$M$8:$M$158</definedName>
    <definedName name="BasicEntitlement_Yr1_CORRECTED">[2]LA_1819_CORRECTED!$M$8:$M$158</definedName>
    <definedName name="BasicEntitlement_Yr2">'[2]LA Details_Yr2 (July)'!$M$8:$M$158</definedName>
    <definedName name="BasicEntitlementRate_Yr1">'[2]Formula Parameters'!$D$19</definedName>
    <definedName name="BasicEntitlementRate_Yr2">'[2]Formula Parameters'!$E$19</definedName>
    <definedName name="BasicEntitlementRate_Yr3">'[2]Formula Parameters'!$F$19</definedName>
    <definedName name="BasicEntitlementRate_Yr4">'[2]Formula Parameters'!$G$19</definedName>
    <definedName name="BasicEntitlementRate_Yr5">'[2]Formula Parameters'!$H$19</definedName>
    <definedName name="CoL_Adjustment_Yr2">'[2]LA Details_Yr2 (July)'!#REF!</definedName>
    <definedName name="CoL_Adjustment_Yr3">'[2]LA Details_Yr3'!$BN$8:$BN$158</definedName>
    <definedName name="CoL_Adjustment_Yr4">'[2]LA Details_Yr4'!$BN$8:$BN$158</definedName>
    <definedName name="CoL_Adjustment_Yr5">'[2]LA Details_Yr5'!$BN$8:$BN$158</definedName>
    <definedName name="ColorIndex">'[2]Outputs - Compare Funding'!$AD$5:$AD$9</definedName>
    <definedName name="Correction_APAcad">'[2]Formula Parameters'!$E$42</definedName>
    <definedName name="Correction_APFS">'[2]Formula Parameters'!$E$40</definedName>
    <definedName name="Correction_HF_BE">'[2]Formula Parameters'!$E$44</definedName>
    <definedName name="CrossBorderAdjustment_Dec_Yr1">'[2]LA Details_Yr1 (Dec)'!$Q$8:$Q$158</definedName>
    <definedName name="CrossBorderAdjustment_May_Yr1">'[2]LA Details_Yr1 (May)'!$N$8:$N$158</definedName>
    <definedName name="CrossBorderAdjustment_Yr1">'[2]LA Details_Yr1 (Sept)'!$Q$8:$Q$158</definedName>
    <definedName name="CrossBorderAdjustment_Yr1_CORRECTED">[2]LA_1819_CORRECTED!$Q$8:$Q$158</definedName>
    <definedName name="CrossBorderAdjustment_Yr2">'[2]LA Details_Yr2 (July)'!$BD$8:$BD$158</definedName>
    <definedName name="Demographics">'[2]Formula Parameters'!$E$2</definedName>
    <definedName name="DisabilityFactor_Yr1">'[2]LA Details_Yr1 (Sept)'!$AY$8:$AY$158</definedName>
    <definedName name="DisabilityFactor_Yr1_CORRECTED">[2]LA_1819_CORRECTED!$AY$8:$AY$158</definedName>
    <definedName name="DisabilityFactor_Yr2">'[2]LA Details_Yr2 (July)'!$AT$8:$AT$158</definedName>
    <definedName name="Floor_factor_Yr1">'[2]LA Details_Yr1 (Sept)'!$BR$8:$BR$158</definedName>
    <definedName name="Floor_factor_Yr1_CORRECTED">[2]LA_1819_CORRECTED!$BR$8:$BR$158</definedName>
    <definedName name="Floor_factor_Yr2">'[2]LA Details_Yr2 (July)'!$BR$8:$BR$158</definedName>
    <definedName name="FSMFactor_Yr1">'[2]LA Details_Yr1 (Sept)'!$Z$8:$Z$158</definedName>
    <definedName name="FSMFactor_Yr1_CORRECTED">[2]LA_1819_CORRECTED!$Z$8:$Z$158</definedName>
    <definedName name="FSMFactor_Yr2">'[2]LA Details_Yr2 (July)'!$U$8:$U$158</definedName>
    <definedName name="GainsCapYr1">'[2]LA Details_Yr1 (Sept)'!$BS$8:$BS$158</definedName>
    <definedName name="GainsCapYr1_CORRECTED">[2]LA_1819_CORRECTED!$BS$8:$BS$158</definedName>
    <definedName name="GainsCapYr2">'[2]LA Details_Yr2 (July)'!$BS$8:$BS$158</definedName>
    <definedName name="GDP1718to1819">'[2]Formula Parameters'!$L$12</definedName>
    <definedName name="GDP1718to1920">'[2]Formula Parameters'!$M$12</definedName>
    <definedName name="GDP1718to2021">'[2]Formula Parameters'!$N$12</definedName>
    <definedName name="GDP1718to2122">'[2]Formula Parameters'!$O$12</definedName>
    <definedName name="HistFact_1819_Orig">[2]HistoricFactor_Original!$P$8:$P$158</definedName>
    <definedName name="HistoricFactor_CORRECTED">[2]HistoricFactor_Corrected!$R$8:$R$158</definedName>
    <definedName name="HistoricFactor_Yr1">'[2]LA Details_Yr1 (Sept)'!$T$8:$T$158</definedName>
    <definedName name="HistoricFactor_Yr1_CORRECTED">[2]LA_1819_CORRECTED!$T$8:$T$158</definedName>
    <definedName name="HistoricFactor_Yr2">'[2]LA Details_Yr2 (July)'!$O$8:$O$158</definedName>
    <definedName name="HistoricFactorWeight_Yr1">'[2]Formula Parameters'!$D$22</definedName>
    <definedName name="HistoricFactorWeight_Yr3">'[2]Formula Parameters'!$F$22</definedName>
    <definedName name="HistoricFactorWeight_Yr4">'[2]Formula Parameters'!$G$22</definedName>
    <definedName name="HistoricFactorWeight_Yr5">'[2]Formula Parameters'!$H$22</definedName>
    <definedName name="HNNFF_pre_floor_Dec_Yr1">'[2]LA Details_Yr1 (Dec)'!$F$8:$F$158</definedName>
    <definedName name="HNNFF_pre_floor_Yr1">'[2]LA Details_Yr1 (Sept)'!$F$8:$F$158</definedName>
    <definedName name="HNNFF_pre_floor_Yr1_CORRECTED">[2]LA_1819_CORRECTED!$F$8:$F$158</definedName>
    <definedName name="HNNFF_pre_floor_Yr2">'[2]LA Details_Yr2 (July)'!$F$8:$F$158</definedName>
    <definedName name="HospitalFunding_Dec_Yr1">'[2]LA Details_Yr1 (Dec)'!$R$8:$R$158</definedName>
    <definedName name="HospitalFunding_Yr1">'[2]LA Details_Yr1 (Sept)'!$R$8:$R$158</definedName>
    <definedName name="HospitalFunding_Yr1_CORRECTED">[2]LA_1819_CORRECTED!$R$8:$R$158</definedName>
    <definedName name="HospitalFunding_Yr2">'[2]LA Details_Yr2 (July)'!$BE$8:$BE$158</definedName>
    <definedName name="IDACI_AFactor_Yr1">'[2]LA Details_Yr1 (Sept)'!$AS$8:$AS$158</definedName>
    <definedName name="IDACI_AFactor_Yr1_CORRECTED">[2]LA_1819_CORRECTED!$AS$8:$AS$158</definedName>
    <definedName name="IDACI_AFactor_Yr2">'[2]LA Details_Yr2 (July)'!$AN$8:$AN$158</definedName>
    <definedName name="IDACI_BFactor_Yr1">'[2]LA Details_Yr1 (Sept)'!$AP$8:$AP$158</definedName>
    <definedName name="IDACI_BFactor_Yr1_CORRECTED">[2]LA_1819_CORRECTED!$AP$8:$AP$158</definedName>
    <definedName name="IDACI_BFactor_Yr2">'[2]LA Details_Yr2 (July)'!$AK$8:$AK$158</definedName>
    <definedName name="IDACI_C_Factor_Yr1">'[2]LA Details_Yr1 (Sept)'!$AM$8:$AM$158</definedName>
    <definedName name="IDACI_C_Factor_Yr2">'[2]LA Details_Yr2 (July)'!$AH$8:$AH$158</definedName>
    <definedName name="IDACI_CFactor_Yr1_CORRECTED">[2]LA_1819_CORRECTED!$AM$8:$AM$158</definedName>
    <definedName name="IDACI_D_Factor_Yr1">'[2]LA Details_Yr1 (Sept)'!$AJ$8:$AJ$158</definedName>
    <definedName name="IDACI_DFactor_Yr1_CORRECTED">[2]LA_1819_CORRECTED!$AJ$8:$AJ$158</definedName>
    <definedName name="IDACI_DFactor_Yr2">'[2]LA Details_Yr2 (July)'!$AE$8:$AE$158</definedName>
    <definedName name="IDACI_EFactor_Yr1">'[2]LA Details_Yr1 (Sept)'!$AG$8:$AG$158</definedName>
    <definedName name="IDACI_EFactor_Yr1_CORRECTED">[2]LA_1819_CORRECTED!$AG$8:$AG$158</definedName>
    <definedName name="IDACI_EFactor_Yr2">'[2]LA Details_Yr2 (July)'!$AB$8:$AB$158</definedName>
    <definedName name="IDACI_Factor_Yr1_CORRECTED">[2]LA_1819_CORRECTED!$AA$8:$AA$158</definedName>
    <definedName name="IDACI_FFactor_Yr1">'[2]LA Details_Yr1 (Sept)'!$AD$8:$AD$158</definedName>
    <definedName name="IDACI_FFactor_Yr1_CORRECTED">[2]LA_1819_CORRECTED!$AD$8:$AD$158</definedName>
    <definedName name="IDACI_FFactor_Yr2">'[2]LA Details_Yr2 (July)'!$Y$8:$Y$158</definedName>
    <definedName name="IDACIFactor_Yr1">'[2]LA Details_Yr1 (Sept)'!$AA$8:$AA$158</definedName>
    <definedName name="IDACIFactor_Yr2">'[2]LA Details_Yr2 (July)'!$V$8:$V$158</definedName>
    <definedName name="KS2Factor_Yr1">'[2]LA Details_Yr1 (Sept)'!$BB$8:$BB$158</definedName>
    <definedName name="KS2Factor_Yr1_CORRECTED">[2]LA_1819_CORRECTED!$BB$8:$BB$158</definedName>
    <definedName name="KS2Factor_Yr2">'[2]LA Details_Yr2 (July)'!$AW$8:$AW$158</definedName>
    <definedName name="KS4Factor_Yr1">'[2]LA Details_Yr1 (Sept)'!$BE$8:$BE$158</definedName>
    <definedName name="KS4Factor_Yr1_CORRECTED">[2]LA_1819_CORRECTED!$BE$8:$BE$158</definedName>
    <definedName name="KS4Factor_Yr2">'[2]LA Details_Yr2 (July)'!$AZ$8:$AZ$158</definedName>
    <definedName name="LA_List">'2019-20 StepbyStep Allocations'!$A$9:$A$158</definedName>
    <definedName name="LA_Name_Yr3">'[2]LA Details_Yr3'!$C$8:$C$158</definedName>
    <definedName name="LA_Name_Yr4">'[2]LA Details_Yr4'!$C$8:$C$158</definedName>
    <definedName name="LA_Name_Yr5">'[2]LA Details_Yr5'!$C$8:$C$158</definedName>
    <definedName name="LA_Num_Dec_Yr1">'[2]LA Details_Yr1 (Dec)'!$B$8:$B$158</definedName>
    <definedName name="LA_Num_HF_CORRECTED">[2]HistoricFactor_Corrected!$B$8:$B$158</definedName>
    <definedName name="LA_Num_HF1819">[2]HistoricFactor_Original!$B$8:$B$158</definedName>
    <definedName name="LA_Num_Yr1">'[2]LA Details_Yr1 (Sept)'!$B$8:$B$158</definedName>
    <definedName name="LA_Num_Yr2">'[2]LA Details_Yr2 (July)'!$B$8:$B$158</definedName>
    <definedName name="LA_Num_Yr3">'[2]LA Details_Yr3'!$B$8:$B$158</definedName>
    <definedName name="LA_Num_Yr4">'[2]LA Details_Yr4'!$B$8:$B$158</definedName>
    <definedName name="LA_Num_Yr5">'[2]LA Details_Yr5'!$B$8:$B$158</definedName>
    <definedName name="ND_Ceiling_Yr1">'[2]Formula Parameters'!$D$18</definedName>
    <definedName name="ND_Ceiling_Yr2">'[2]Formula Parameters'!$E$18</definedName>
    <definedName name="ND_Ceiling_Yr3">'[2]Formula Parameters'!$F$18</definedName>
    <definedName name="ND_Ceiling_Yr4">'[2]Formula Parameters'!$G$18</definedName>
    <definedName name="ND_Ceiling_Yr5">'[2]Formula Parameters'!$H$18</definedName>
    <definedName name="Pal_Workbook_GUID" hidden="1">"KQLMPBLEGBTJMFGZIUGRU27J"</definedName>
    <definedName name="PopulationFactor_Yr1">'[2]LA Details_Yr1 (Sept)'!$W$8:$W$158</definedName>
    <definedName name="PopulationFactor_Yr1_CORRECTED">[2]LA_1819_CORRECTED!$W$8:$W$158</definedName>
    <definedName name="PopulationFactor_Yr2">'[2]LA Details_Yr2 (July)'!$R$8:$R$158</definedName>
    <definedName name="PPFloor">'[2]Formula Parameters'!$E$4</definedName>
    <definedName name="Proxy_uplift">'[2]Formula Parameters'!$E$8</definedName>
    <definedName name="ProxyFactors_Yr1">'[2]LA Details_Yr1 (Dec)'!$U$8:$U$158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TopUpRate_Yr1">'[2]Formula Parameters'!$D$20</definedName>
    <definedName name="TopUpRate_Yr2">'[2]Formula Parameters'!$E$20</definedName>
    <definedName name="TopUpRate_Yr3">'[2]Formula Parameters'!$F$20</definedName>
    <definedName name="TopUpRate_Yr4">'[2]Formula Parameters'!$G$20</definedName>
    <definedName name="TopUpRate_Yr5">'[2]Formula Parameters'!$H$20</definedName>
    <definedName name="TotalBadHealthFactorFunding_Yr1">[2]Budget!$D$45</definedName>
    <definedName name="TotalBadHealthFactorFunding_Yr1_CORRECTED">#REF!</definedName>
    <definedName name="TotalBadHealthFactorFunding_Yr2">[2]Budget!$E$45</definedName>
    <definedName name="TotalDisabilityFactorFunding_Yr1">[2]Budget!$D$46</definedName>
    <definedName name="TotalDisabilityFactorFunding_Yr1_CORRECTED">#REF!</definedName>
    <definedName name="TotalDisabilityFactorFunding_Yr2">[2]Budget!$E$46</definedName>
    <definedName name="TotalFSMFactorFunding_Yr1">[2]Budget!$D$37</definedName>
    <definedName name="TotalFSMFactorFunding_Yr1_CORRECTED">#REF!</definedName>
    <definedName name="TotalFSMFactorFunding_Yr2">[2]Budget!$E$37</definedName>
    <definedName name="TotalIDACI_AFactorFunding_Yr1">[2]Budget!$D$44</definedName>
    <definedName name="TotalIDACI_AFactorFunding_Yr2">[2]Budget!$E$44</definedName>
    <definedName name="TotalIDACI_BFactorFunding_Yr1">[2]Budget!$D$43</definedName>
    <definedName name="TotalIDACI_BFactorFunding_Yr2">[2]Budget!$E$43</definedName>
    <definedName name="TotalIDACI_CFactorFunding_Yr1">[2]Budget!$D$42</definedName>
    <definedName name="TotalIDACI_CFactorFunding_Yr2">[2]Budget!$E$42</definedName>
    <definedName name="TotalIDACI_DFactorFunding_Yr1">[2]Budget!$D$41</definedName>
    <definedName name="TotalIDACI_DFactorFunding_Yr2">[2]Budget!$E$41</definedName>
    <definedName name="TotalIDACI_EFactorFunding_Yr1">[2]Budget!$D$40</definedName>
    <definedName name="TotalIDACI_EFactorFunding_Yr2">[2]Budget!$E$40</definedName>
    <definedName name="TotalIDACI_FFactorFunding_Yr1">[2]Budget!$D$39</definedName>
    <definedName name="TotalIDACI_FFactorFunding_Yr2">[2]Budget!$E$39</definedName>
    <definedName name="TotalIDACIAFactorFunding_Yr1_CORRECTED">#REF!</definedName>
    <definedName name="TotalIDACIBFactorFunding_Yr1_CORRECTED">#REF!</definedName>
    <definedName name="TotalIDACICFactorFunding_Yr1_CORRECTED">#REF!</definedName>
    <definedName name="TotalIDACIDFactorFunding_Yr1_CORRECTED">#REF!</definedName>
    <definedName name="TotalIDACIEFactorFunding_Yr1_CORRECTED">#REF!</definedName>
    <definedName name="TotalIDACIFactorFunding_Yr2">[2]Budget!$E$38</definedName>
    <definedName name="TotalIDACIFFactorFunding_Yr1_CORRECTED">#REF!</definedName>
    <definedName name="TotalKS2FactorFunding_Yr1">[2]Budget!$D$47</definedName>
    <definedName name="TotalKS2FactorFunding_Yr1_CORRECTED">#REF!</definedName>
    <definedName name="TotalKS2FactorFunding_Yr2">[2]Budget!$E$47</definedName>
    <definedName name="TotalKS4FactorFunding_Yr1">[2]Budget!$D$48</definedName>
    <definedName name="TotalKS4FactorFunding_Yr1_CORRECTED">#REF!</definedName>
    <definedName name="TotalKS4FactorFunding_Yr2">[2]Budget!$E$48</definedName>
    <definedName name="TotalNMSS_SPI_Yr1">[2]Budget!$D$12</definedName>
    <definedName name="TotalPopulationFactorFunding_Yr1">[2]Budget!$D$36</definedName>
    <definedName name="TotalPopulationFactorFunding_Yr1_CORRECTED">#REF!</definedName>
    <definedName name="TotalPopulationFactorFunding_Yr2">[2]Budget!$E$36</definedName>
    <definedName name="Uplift_Yr2">'[2]Formula Parameters'!$E$15</definedName>
    <definedName name="Uplift_Yr3">'[2]Formula Parameters'!$F$15</definedName>
    <definedName name="Uplift_Yr4">'[2]Formula Parameters'!$G$15</definedName>
    <definedName name="Uplift_Yr5">'[2]Formula Parameters'!$H$15</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4" l="1"/>
  <c r="G159" i="5" l="1"/>
  <c r="H159" i="5" s="1"/>
  <c r="P159" i="9"/>
  <c r="J159" i="9"/>
  <c r="I9" i="8"/>
  <c r="J9" i="8" s="1"/>
  <c r="N9" i="8"/>
  <c r="O9" i="8" s="1"/>
  <c r="I10" i="8"/>
  <c r="J10" i="8"/>
  <c r="N10" i="8"/>
  <c r="O10" i="8" s="1"/>
  <c r="I11" i="8"/>
  <c r="J11" i="8" s="1"/>
  <c r="N11" i="8"/>
  <c r="O11" i="8" s="1"/>
  <c r="I12" i="8"/>
  <c r="J12" i="8" s="1"/>
  <c r="N12" i="8"/>
  <c r="O12" i="8" s="1"/>
  <c r="I13" i="8"/>
  <c r="J13" i="8" s="1"/>
  <c r="N13" i="8"/>
  <c r="O13" i="8" s="1"/>
  <c r="I14" i="8"/>
  <c r="J14" i="8" s="1"/>
  <c r="N14" i="8"/>
  <c r="O14" i="8" s="1"/>
  <c r="I15" i="8"/>
  <c r="J15" i="8" s="1"/>
  <c r="N15" i="8"/>
  <c r="O15" i="8" s="1"/>
  <c r="I16" i="8"/>
  <c r="J16" i="8" s="1"/>
  <c r="N16" i="8"/>
  <c r="O16" i="8"/>
  <c r="I17" i="8"/>
  <c r="J17" i="8" s="1"/>
  <c r="N17" i="8"/>
  <c r="O17" i="8" s="1"/>
  <c r="I18" i="8"/>
  <c r="J18" i="8"/>
  <c r="N18" i="8"/>
  <c r="O18" i="8" s="1"/>
  <c r="I19" i="8"/>
  <c r="J19" i="8" s="1"/>
  <c r="N19" i="8"/>
  <c r="O19" i="8" s="1"/>
  <c r="I20" i="8"/>
  <c r="J20" i="8" s="1"/>
  <c r="N20" i="8"/>
  <c r="O20" i="8" s="1"/>
  <c r="I21" i="8"/>
  <c r="J21" i="8" s="1"/>
  <c r="N21" i="8"/>
  <c r="O21" i="8" s="1"/>
  <c r="I22" i="8"/>
  <c r="J22" i="8" s="1"/>
  <c r="N22" i="8"/>
  <c r="O22" i="8" s="1"/>
  <c r="I23" i="8"/>
  <c r="J23" i="8" s="1"/>
  <c r="N23" i="8"/>
  <c r="O23" i="8" s="1"/>
  <c r="P23" i="8" s="1"/>
  <c r="I24" i="8"/>
  <c r="J24" i="8" s="1"/>
  <c r="N24" i="8"/>
  <c r="O24" i="8" s="1"/>
  <c r="I25" i="8"/>
  <c r="J25" i="8" s="1"/>
  <c r="N25" i="8"/>
  <c r="O25" i="8" s="1"/>
  <c r="I26" i="8"/>
  <c r="J26" i="8" s="1"/>
  <c r="N26" i="8"/>
  <c r="O26" i="8"/>
  <c r="I27" i="8"/>
  <c r="J27" i="8" s="1"/>
  <c r="P27" i="8" s="1"/>
  <c r="N27" i="8"/>
  <c r="O27" i="8" s="1"/>
  <c r="I28" i="8"/>
  <c r="J28" i="8"/>
  <c r="N28" i="8"/>
  <c r="O28" i="8" s="1"/>
  <c r="I29" i="8"/>
  <c r="J29" i="8" s="1"/>
  <c r="N29" i="8"/>
  <c r="O29" i="8" s="1"/>
  <c r="I30" i="8"/>
  <c r="J30" i="8" s="1"/>
  <c r="N30" i="8"/>
  <c r="O30" i="8" s="1"/>
  <c r="I31" i="8"/>
  <c r="J31" i="8" s="1"/>
  <c r="N31" i="8"/>
  <c r="O31" i="8" s="1"/>
  <c r="I32" i="8"/>
  <c r="J32" i="8" s="1"/>
  <c r="N32" i="8"/>
  <c r="O32" i="8" s="1"/>
  <c r="I33" i="8"/>
  <c r="J33" i="8" s="1"/>
  <c r="N33" i="8"/>
  <c r="O33" i="8" s="1"/>
  <c r="I34" i="8"/>
  <c r="J34" i="8" s="1"/>
  <c r="N34" i="8"/>
  <c r="O34" i="8" s="1"/>
  <c r="I35" i="8"/>
  <c r="J35" i="8" s="1"/>
  <c r="N35" i="8"/>
  <c r="O35" i="8" s="1"/>
  <c r="I36" i="8"/>
  <c r="J36" i="8" s="1"/>
  <c r="N36" i="8"/>
  <c r="O36" i="8" s="1"/>
  <c r="I37" i="8"/>
  <c r="J37" i="8" s="1"/>
  <c r="N37" i="8"/>
  <c r="O37" i="8" s="1"/>
  <c r="I38" i="8"/>
  <c r="J38" i="8" s="1"/>
  <c r="P38" i="8" s="1"/>
  <c r="N38" i="8"/>
  <c r="O38" i="8"/>
  <c r="I39" i="8"/>
  <c r="J39" i="8" s="1"/>
  <c r="P39" i="8" s="1"/>
  <c r="N39" i="8"/>
  <c r="O39" i="8" s="1"/>
  <c r="I40" i="8"/>
  <c r="J40" i="8"/>
  <c r="N40" i="8"/>
  <c r="O40" i="8" s="1"/>
  <c r="I41" i="8"/>
  <c r="J41" i="8" s="1"/>
  <c r="N41" i="8"/>
  <c r="O41" i="8" s="1"/>
  <c r="I42" i="8"/>
  <c r="J42" i="8" s="1"/>
  <c r="N42" i="8"/>
  <c r="O42" i="8" s="1"/>
  <c r="I43" i="8"/>
  <c r="J43" i="8" s="1"/>
  <c r="N43" i="8"/>
  <c r="O43" i="8" s="1"/>
  <c r="I44" i="8"/>
  <c r="J44" i="8" s="1"/>
  <c r="N44" i="8"/>
  <c r="O44" i="8" s="1"/>
  <c r="I45" i="8"/>
  <c r="J45" i="8" s="1"/>
  <c r="N45" i="8"/>
  <c r="O45" i="8" s="1"/>
  <c r="I46" i="8"/>
  <c r="J46" i="8" s="1"/>
  <c r="N46" i="8"/>
  <c r="O46" i="8"/>
  <c r="I47" i="8"/>
  <c r="J47" i="8" s="1"/>
  <c r="P47" i="8" s="1"/>
  <c r="Q47" i="8" s="1"/>
  <c r="I47" i="5" s="1"/>
  <c r="N47" i="8"/>
  <c r="O47" i="8" s="1"/>
  <c r="I48" i="8"/>
  <c r="J48" i="8"/>
  <c r="N48" i="8"/>
  <c r="O48" i="8" s="1"/>
  <c r="I49" i="8"/>
  <c r="J49" i="8" s="1"/>
  <c r="N49" i="8"/>
  <c r="O49" i="8" s="1"/>
  <c r="P49" i="8" s="1"/>
  <c r="I50" i="8"/>
  <c r="J50" i="8" s="1"/>
  <c r="N50" i="8"/>
  <c r="O50" i="8"/>
  <c r="I51" i="8"/>
  <c r="J51" i="8" s="1"/>
  <c r="N51" i="8"/>
  <c r="O51" i="8" s="1"/>
  <c r="I52" i="8"/>
  <c r="J52" i="8"/>
  <c r="N52" i="8"/>
  <c r="O52" i="8" s="1"/>
  <c r="I53" i="8"/>
  <c r="J53" i="8" s="1"/>
  <c r="N53" i="8"/>
  <c r="O53" i="8" s="1"/>
  <c r="I54" i="8"/>
  <c r="J54" i="8" s="1"/>
  <c r="N54" i="8"/>
  <c r="O54" i="8"/>
  <c r="I55" i="8"/>
  <c r="J55" i="8" s="1"/>
  <c r="P55" i="8" s="1"/>
  <c r="AV55" i="5" s="1"/>
  <c r="N55" i="8"/>
  <c r="O55" i="8" s="1"/>
  <c r="I56" i="8"/>
  <c r="J56" i="8" s="1"/>
  <c r="N56" i="8"/>
  <c r="O56" i="8"/>
  <c r="I57" i="8"/>
  <c r="J57" i="8" s="1"/>
  <c r="N57" i="8"/>
  <c r="O57" i="8" s="1"/>
  <c r="I58" i="8"/>
  <c r="J58" i="8" s="1"/>
  <c r="N58" i="8"/>
  <c r="O58" i="8" s="1"/>
  <c r="I59" i="8"/>
  <c r="J59" i="8" s="1"/>
  <c r="N59" i="8"/>
  <c r="O59" i="8" s="1"/>
  <c r="I60" i="8"/>
  <c r="J60" i="8" s="1"/>
  <c r="N60" i="8"/>
  <c r="O60" i="8" s="1"/>
  <c r="I61" i="8"/>
  <c r="J61" i="8" s="1"/>
  <c r="N61" i="8"/>
  <c r="O61" i="8" s="1"/>
  <c r="I62" i="8"/>
  <c r="J62" i="8" s="1"/>
  <c r="N62" i="8"/>
  <c r="O62" i="8"/>
  <c r="I63" i="8"/>
  <c r="J63" i="8" s="1"/>
  <c r="P63" i="8" s="1"/>
  <c r="N63" i="8"/>
  <c r="O63" i="8" s="1"/>
  <c r="I64" i="8"/>
  <c r="J64" i="8"/>
  <c r="N64" i="8"/>
  <c r="O64" i="8" s="1"/>
  <c r="I65" i="8"/>
  <c r="J65" i="8" s="1"/>
  <c r="N65" i="8"/>
  <c r="O65" i="8" s="1"/>
  <c r="P65" i="8" s="1"/>
  <c r="AV65" i="5" s="1"/>
  <c r="I66" i="8"/>
  <c r="J66" i="8" s="1"/>
  <c r="N66" i="8"/>
  <c r="O66" i="8" s="1"/>
  <c r="I67" i="8"/>
  <c r="J67" i="8" s="1"/>
  <c r="N67" i="8"/>
  <c r="O67" i="8" s="1"/>
  <c r="I68" i="8"/>
  <c r="J68" i="8" s="1"/>
  <c r="N68" i="8"/>
  <c r="O68" i="8" s="1"/>
  <c r="I69" i="8"/>
  <c r="J69" i="8" s="1"/>
  <c r="N69" i="8"/>
  <c r="O69" i="8" s="1"/>
  <c r="P69" i="8" s="1"/>
  <c r="Q69" i="8" s="1"/>
  <c r="I69" i="5" s="1"/>
  <c r="I70" i="8"/>
  <c r="J70" i="8" s="1"/>
  <c r="N70" i="8"/>
  <c r="O70" i="8"/>
  <c r="I71" i="8"/>
  <c r="J71" i="8" s="1"/>
  <c r="P71" i="8" s="1"/>
  <c r="N71" i="8"/>
  <c r="O71" i="8" s="1"/>
  <c r="I72" i="8"/>
  <c r="J72" i="8"/>
  <c r="N72" i="8"/>
  <c r="O72" i="8" s="1"/>
  <c r="I73" i="8"/>
  <c r="J73" i="8" s="1"/>
  <c r="N73" i="8"/>
  <c r="O73" i="8" s="1"/>
  <c r="I74" i="8"/>
  <c r="J74" i="8" s="1"/>
  <c r="N74" i="8"/>
  <c r="O74" i="8"/>
  <c r="I75" i="8"/>
  <c r="J75" i="8" s="1"/>
  <c r="N75" i="8"/>
  <c r="O75" i="8" s="1"/>
  <c r="I76" i="8"/>
  <c r="J76" i="8"/>
  <c r="P76" i="8" s="1"/>
  <c r="N76" i="8"/>
  <c r="O76" i="8" s="1"/>
  <c r="I77" i="8"/>
  <c r="J77" i="8" s="1"/>
  <c r="N77" i="8"/>
  <c r="O77" i="8" s="1"/>
  <c r="P77" i="8" s="1"/>
  <c r="Q77" i="8" s="1"/>
  <c r="I77" i="5" s="1"/>
  <c r="I78" i="8"/>
  <c r="J78" i="8" s="1"/>
  <c r="N78" i="8"/>
  <c r="O78" i="8"/>
  <c r="I79" i="8"/>
  <c r="J79" i="8" s="1"/>
  <c r="P79" i="8" s="1"/>
  <c r="N79" i="8"/>
  <c r="O79" i="8" s="1"/>
  <c r="I80" i="8"/>
  <c r="J80" i="8" s="1"/>
  <c r="N80" i="8"/>
  <c r="O80" i="8" s="1"/>
  <c r="I81" i="8"/>
  <c r="J81" i="8" s="1"/>
  <c r="N81" i="8"/>
  <c r="O81" i="8" s="1"/>
  <c r="I82" i="8"/>
  <c r="J82" i="8" s="1"/>
  <c r="N82" i="8"/>
  <c r="O82" i="8"/>
  <c r="I83" i="8"/>
  <c r="J83" i="8" s="1"/>
  <c r="P83" i="8" s="1"/>
  <c r="N83" i="8"/>
  <c r="O83" i="8" s="1"/>
  <c r="I84" i="8"/>
  <c r="J84" i="8"/>
  <c r="N84" i="8"/>
  <c r="O84" i="8" s="1"/>
  <c r="I85" i="8"/>
  <c r="J85" i="8" s="1"/>
  <c r="N85" i="8"/>
  <c r="O85" i="8" s="1"/>
  <c r="I86" i="8"/>
  <c r="J86" i="8" s="1"/>
  <c r="N86" i="8"/>
  <c r="O86" i="8" s="1"/>
  <c r="I87" i="8"/>
  <c r="J87" i="8" s="1"/>
  <c r="N87" i="8"/>
  <c r="O87" i="8" s="1"/>
  <c r="I88" i="8"/>
  <c r="J88" i="8" s="1"/>
  <c r="N88" i="8"/>
  <c r="O88" i="8" s="1"/>
  <c r="I89" i="8"/>
  <c r="J89" i="8" s="1"/>
  <c r="N89" i="8"/>
  <c r="O89" i="8" s="1"/>
  <c r="P89" i="8" s="1"/>
  <c r="I90" i="8"/>
  <c r="J90" i="8"/>
  <c r="N90" i="8"/>
  <c r="O90" i="8" s="1"/>
  <c r="I91" i="8"/>
  <c r="J91" i="8" s="1"/>
  <c r="N91" i="8"/>
  <c r="O91" i="8" s="1"/>
  <c r="I92" i="8"/>
  <c r="J92" i="8" s="1"/>
  <c r="P92" i="8" s="1"/>
  <c r="N92" i="8"/>
  <c r="O92" i="8"/>
  <c r="I93" i="8"/>
  <c r="J93" i="8" s="1"/>
  <c r="N93" i="8"/>
  <c r="O93" i="8" s="1"/>
  <c r="I94" i="8"/>
  <c r="J94" i="8"/>
  <c r="N94" i="8"/>
  <c r="O94" i="8" s="1"/>
  <c r="I95" i="8"/>
  <c r="J95" i="8" s="1"/>
  <c r="N95" i="8"/>
  <c r="O95" i="8" s="1"/>
  <c r="P95" i="8"/>
  <c r="Q95" i="8" s="1"/>
  <c r="I95" i="5" s="1"/>
  <c r="I96" i="8"/>
  <c r="J96" i="8" s="1"/>
  <c r="N96" i="8"/>
  <c r="O96" i="8"/>
  <c r="I97" i="8"/>
  <c r="J97" i="8" s="1"/>
  <c r="P97" i="8" s="1"/>
  <c r="N97" i="8"/>
  <c r="O97" i="8" s="1"/>
  <c r="I98" i="8"/>
  <c r="J98" i="8" s="1"/>
  <c r="N98" i="8"/>
  <c r="O98" i="8" s="1"/>
  <c r="I99" i="8"/>
  <c r="J99" i="8" s="1"/>
  <c r="N99" i="8"/>
  <c r="O99" i="8" s="1"/>
  <c r="I100" i="8"/>
  <c r="J100" i="8" s="1"/>
  <c r="N100" i="8"/>
  <c r="O100" i="8"/>
  <c r="I101" i="8"/>
  <c r="J101" i="8" s="1"/>
  <c r="P101" i="8" s="1"/>
  <c r="N101" i="8"/>
  <c r="O101" i="8" s="1"/>
  <c r="I102" i="8"/>
  <c r="J102" i="8"/>
  <c r="N102" i="8"/>
  <c r="O102" i="8" s="1"/>
  <c r="I103" i="8"/>
  <c r="J103" i="8" s="1"/>
  <c r="N103" i="8"/>
  <c r="O103" i="8" s="1"/>
  <c r="I104" i="8"/>
  <c r="J104" i="8" s="1"/>
  <c r="N104" i="8"/>
  <c r="O104" i="8" s="1"/>
  <c r="I105" i="8"/>
  <c r="J105" i="8" s="1"/>
  <c r="N105" i="8"/>
  <c r="O105" i="8" s="1"/>
  <c r="P105" i="8" s="1"/>
  <c r="AV105" i="5" s="1"/>
  <c r="AX105" i="5" s="1"/>
  <c r="I106" i="8"/>
  <c r="J106" i="8" s="1"/>
  <c r="N106" i="8"/>
  <c r="O106" i="8"/>
  <c r="I107" i="8"/>
  <c r="J107" i="8" s="1"/>
  <c r="P107" i="8" s="1"/>
  <c r="N107" i="8"/>
  <c r="O107" i="8" s="1"/>
  <c r="I108" i="8"/>
  <c r="J108" i="8"/>
  <c r="N108" i="8"/>
  <c r="O108" i="8" s="1"/>
  <c r="I109" i="8"/>
  <c r="J109" i="8" s="1"/>
  <c r="N109" i="8"/>
  <c r="O109" i="8" s="1"/>
  <c r="I110" i="8"/>
  <c r="J110" i="8" s="1"/>
  <c r="N110" i="8"/>
  <c r="O110" i="8" s="1"/>
  <c r="I111" i="8"/>
  <c r="J111" i="8" s="1"/>
  <c r="N111" i="8"/>
  <c r="O111" i="8" s="1"/>
  <c r="P111" i="8"/>
  <c r="Q111" i="8" s="1"/>
  <c r="I111" i="5" s="1"/>
  <c r="I112" i="8"/>
  <c r="J112" i="8" s="1"/>
  <c r="N112" i="8"/>
  <c r="O112" i="8"/>
  <c r="I113" i="8"/>
  <c r="J113" i="8" s="1"/>
  <c r="P113" i="8" s="1"/>
  <c r="N113" i="8"/>
  <c r="O113" i="8" s="1"/>
  <c r="I114" i="8"/>
  <c r="J114" i="8"/>
  <c r="N114" i="8"/>
  <c r="O114" i="8" s="1"/>
  <c r="I115" i="8"/>
  <c r="J115" i="8" s="1"/>
  <c r="N115" i="8"/>
  <c r="O115" i="8" s="1"/>
  <c r="I116" i="8"/>
  <c r="J116" i="8" s="1"/>
  <c r="N116" i="8"/>
  <c r="O116" i="8" s="1"/>
  <c r="I117" i="8"/>
  <c r="J117" i="8" s="1"/>
  <c r="P117" i="8" s="1"/>
  <c r="N117" i="8"/>
  <c r="O117" i="8" s="1"/>
  <c r="I118" i="8"/>
  <c r="J118" i="8" s="1"/>
  <c r="N118" i="8"/>
  <c r="O118" i="8" s="1"/>
  <c r="I119" i="8"/>
  <c r="J119" i="8" s="1"/>
  <c r="P119" i="8" s="1"/>
  <c r="AV119" i="5" s="1"/>
  <c r="AX119" i="5" s="1"/>
  <c r="N119" i="8"/>
  <c r="O119" i="8" s="1"/>
  <c r="I120" i="8"/>
  <c r="J120" i="8" s="1"/>
  <c r="N120" i="8"/>
  <c r="O120" i="8" s="1"/>
  <c r="I121" i="8"/>
  <c r="J121" i="8" s="1"/>
  <c r="N121" i="8"/>
  <c r="O121" i="8" s="1"/>
  <c r="I122" i="8"/>
  <c r="J122" i="8" s="1"/>
  <c r="P122" i="8" s="1"/>
  <c r="N122" i="8"/>
  <c r="O122" i="8" s="1"/>
  <c r="I123" i="8"/>
  <c r="J123" i="8" s="1"/>
  <c r="N123" i="8"/>
  <c r="O123" i="8" s="1"/>
  <c r="I124" i="8"/>
  <c r="J124" i="8" s="1"/>
  <c r="N124" i="8"/>
  <c r="O124" i="8" s="1"/>
  <c r="I125" i="8"/>
  <c r="J125" i="8"/>
  <c r="N125" i="8"/>
  <c r="O125" i="8" s="1"/>
  <c r="I126" i="8"/>
  <c r="J126" i="8" s="1"/>
  <c r="N126" i="8"/>
  <c r="O126" i="8" s="1"/>
  <c r="I127" i="8"/>
  <c r="J127" i="8" s="1"/>
  <c r="N127" i="8"/>
  <c r="O127" i="8" s="1"/>
  <c r="I128" i="8"/>
  <c r="J128" i="8" s="1"/>
  <c r="P128" i="8" s="1"/>
  <c r="N128" i="8"/>
  <c r="O128" i="8" s="1"/>
  <c r="I129" i="8"/>
  <c r="J129" i="8"/>
  <c r="P129" i="8" s="1"/>
  <c r="N129" i="8"/>
  <c r="O129" i="8" s="1"/>
  <c r="I130" i="8"/>
  <c r="J130" i="8"/>
  <c r="N130" i="8"/>
  <c r="O130" i="8" s="1"/>
  <c r="I131" i="8"/>
  <c r="J131" i="8" s="1"/>
  <c r="N131" i="8"/>
  <c r="O131" i="8"/>
  <c r="P131" i="8"/>
  <c r="AV131" i="5" s="1"/>
  <c r="AX131" i="5" s="1"/>
  <c r="I132" i="8"/>
  <c r="J132" i="8" s="1"/>
  <c r="N132" i="8"/>
  <c r="O132" i="8"/>
  <c r="I133" i="8"/>
  <c r="J133" i="8" s="1"/>
  <c r="P133" i="8" s="1"/>
  <c r="N133" i="8"/>
  <c r="O133" i="8" s="1"/>
  <c r="I134" i="8"/>
  <c r="J134" i="8"/>
  <c r="N134" i="8"/>
  <c r="O134" i="8" s="1"/>
  <c r="I135" i="8"/>
  <c r="J135" i="8" s="1"/>
  <c r="N135" i="8"/>
  <c r="O135" i="8"/>
  <c r="I136" i="8"/>
  <c r="J136" i="8" s="1"/>
  <c r="N136" i="8"/>
  <c r="O136" i="8" s="1"/>
  <c r="I137" i="8"/>
  <c r="J137" i="8" s="1"/>
  <c r="N137" i="8"/>
  <c r="O137" i="8" s="1"/>
  <c r="I138" i="8"/>
  <c r="J138" i="8" s="1"/>
  <c r="P138" i="8" s="1"/>
  <c r="Q138" i="8" s="1"/>
  <c r="I138" i="5" s="1"/>
  <c r="N138" i="8"/>
  <c r="O138" i="8" s="1"/>
  <c r="I139" i="8"/>
  <c r="J139" i="8" s="1"/>
  <c r="N139" i="8"/>
  <c r="O139" i="8" s="1"/>
  <c r="I140" i="8"/>
  <c r="J140" i="8" s="1"/>
  <c r="N140" i="8"/>
  <c r="O140" i="8"/>
  <c r="I141" i="8"/>
  <c r="J141" i="8" s="1"/>
  <c r="N141" i="8"/>
  <c r="O141" i="8" s="1"/>
  <c r="I142" i="8"/>
  <c r="J142" i="8"/>
  <c r="N142" i="8"/>
  <c r="O142" i="8" s="1"/>
  <c r="I143" i="8"/>
  <c r="J143" i="8" s="1"/>
  <c r="N143" i="8"/>
  <c r="O143" i="8"/>
  <c r="I144" i="8"/>
  <c r="J144" i="8"/>
  <c r="N144" i="8"/>
  <c r="O144" i="8" s="1"/>
  <c r="I145" i="8"/>
  <c r="J145" i="8" s="1"/>
  <c r="P145" i="8" s="1"/>
  <c r="AV145" i="5" s="1"/>
  <c r="N145" i="8"/>
  <c r="O145" i="8" s="1"/>
  <c r="I146" i="8"/>
  <c r="J146" i="8" s="1"/>
  <c r="N146" i="8"/>
  <c r="O146" i="8" s="1"/>
  <c r="I147" i="8"/>
  <c r="J147" i="8" s="1"/>
  <c r="N147" i="8"/>
  <c r="O147" i="8" s="1"/>
  <c r="I148" i="8"/>
  <c r="J148" i="8" s="1"/>
  <c r="N148" i="8"/>
  <c r="O148" i="8"/>
  <c r="I149" i="8"/>
  <c r="J149" i="8" s="1"/>
  <c r="P149" i="8" s="1"/>
  <c r="N149" i="8"/>
  <c r="O149" i="8" s="1"/>
  <c r="I150" i="8"/>
  <c r="J150" i="8"/>
  <c r="P150" i="8" s="1"/>
  <c r="N150" i="8"/>
  <c r="O150" i="8" s="1"/>
  <c r="I151" i="8"/>
  <c r="J151" i="8" s="1"/>
  <c r="N151" i="8"/>
  <c r="O151" i="8" s="1"/>
  <c r="I152" i="8"/>
  <c r="J152" i="8" s="1"/>
  <c r="P152" i="8" s="1"/>
  <c r="N152" i="8"/>
  <c r="O152" i="8" s="1"/>
  <c r="I153" i="8"/>
  <c r="J153" i="8"/>
  <c r="P153" i="8" s="1"/>
  <c r="Q153" i="8" s="1"/>
  <c r="I153" i="5" s="1"/>
  <c r="N153" i="8"/>
  <c r="O153" i="8" s="1"/>
  <c r="I154" i="8"/>
  <c r="J154" i="8"/>
  <c r="N154" i="8"/>
  <c r="O154" i="8" s="1"/>
  <c r="I155" i="8"/>
  <c r="J155" i="8" s="1"/>
  <c r="N155" i="8"/>
  <c r="O155" i="8"/>
  <c r="I156" i="8"/>
  <c r="J156" i="8" s="1"/>
  <c r="N156" i="8"/>
  <c r="O156" i="8" s="1"/>
  <c r="I157" i="8"/>
  <c r="J157" i="8"/>
  <c r="N157" i="8"/>
  <c r="O157" i="8" s="1"/>
  <c r="I158" i="8"/>
  <c r="J158" i="8" s="1"/>
  <c r="N158" i="8"/>
  <c r="O158" i="8"/>
  <c r="M35" i="6" s="1"/>
  <c r="I159" i="8"/>
  <c r="J159" i="8" s="1"/>
  <c r="N159" i="8"/>
  <c r="O159" i="8"/>
  <c r="P159" i="8"/>
  <c r="Q159" i="8" s="1"/>
  <c r="I159" i="5" s="1"/>
  <c r="E14" i="7"/>
  <c r="G14" i="7" s="1"/>
  <c r="BF14" i="5" s="1"/>
  <c r="E20" i="3"/>
  <c r="G14" i="4"/>
  <c r="K168" i="4"/>
  <c r="BI10" i="5"/>
  <c r="BI11" i="5"/>
  <c r="BI19" i="5"/>
  <c r="BI22" i="5"/>
  <c r="BI23" i="5"/>
  <c r="BI26" i="5"/>
  <c r="BI30" i="5"/>
  <c r="BI31" i="5"/>
  <c r="BI34" i="5"/>
  <c r="BI35" i="5"/>
  <c r="BI38" i="5"/>
  <c r="BI42" i="5"/>
  <c r="BI43" i="5"/>
  <c r="BI46" i="5"/>
  <c r="BI47" i="5"/>
  <c r="BI50" i="5"/>
  <c r="BI51" i="5"/>
  <c r="BI54" i="5"/>
  <c r="BI55" i="5"/>
  <c r="BI58" i="5"/>
  <c r="BI62" i="5"/>
  <c r="BI67" i="5"/>
  <c r="BI70" i="5"/>
  <c r="BI71" i="5"/>
  <c r="BI75" i="5"/>
  <c r="BI79" i="5"/>
  <c r="BI83" i="5"/>
  <c r="BI87" i="5"/>
  <c r="BI90" i="5"/>
  <c r="BI91" i="5"/>
  <c r="BI94" i="5"/>
  <c r="BI95" i="5"/>
  <c r="BI98" i="5"/>
  <c r="BI99" i="5"/>
  <c r="BI102" i="5"/>
  <c r="BI103" i="5"/>
  <c r="BI107" i="5"/>
  <c r="BI111" i="5"/>
  <c r="BI114" i="5"/>
  <c r="BI118" i="5"/>
  <c r="BI119" i="5"/>
  <c r="BI122" i="5"/>
  <c r="BI123" i="5"/>
  <c r="BI126" i="5"/>
  <c r="BI130" i="5"/>
  <c r="BI131" i="5"/>
  <c r="BI134" i="5"/>
  <c r="BI135" i="5"/>
  <c r="BI138" i="5"/>
  <c r="BI139" i="5"/>
  <c r="BI143" i="5"/>
  <c r="BI146" i="5"/>
  <c r="BI147" i="5"/>
  <c r="BI155" i="5"/>
  <c r="BI159" i="5"/>
  <c r="G10" i="5"/>
  <c r="G11" i="5"/>
  <c r="G20" i="4" s="1"/>
  <c r="G12" i="5"/>
  <c r="G13" i="5"/>
  <c r="G14" i="5"/>
  <c r="G23" i="4" s="1"/>
  <c r="G15" i="5"/>
  <c r="G16" i="5"/>
  <c r="G17" i="5"/>
  <c r="G18" i="5"/>
  <c r="G19" i="5"/>
  <c r="G28" i="4" s="1"/>
  <c r="G20" i="5"/>
  <c r="G21" i="5"/>
  <c r="G22" i="5"/>
  <c r="G23" i="5"/>
  <c r="G24" i="5"/>
  <c r="G25" i="5"/>
  <c r="G34" i="4"/>
  <c r="G26" i="5"/>
  <c r="G35" i="4" s="1"/>
  <c r="G27" i="5"/>
  <c r="G28" i="5"/>
  <c r="G29" i="5"/>
  <c r="G30" i="5"/>
  <c r="G39" i="4" s="1"/>
  <c r="G31" i="5"/>
  <c r="G32" i="5"/>
  <c r="G33" i="5"/>
  <c r="G34" i="5"/>
  <c r="H34" i="5" s="1"/>
  <c r="H43" i="4" s="1"/>
  <c r="G35" i="5"/>
  <c r="G36" i="5"/>
  <c r="G37" i="5"/>
  <c r="G46" i="4" s="1"/>
  <c r="G38" i="5"/>
  <c r="G39" i="5"/>
  <c r="G40" i="5"/>
  <c r="H40" i="5" s="1"/>
  <c r="G41" i="5"/>
  <c r="G42" i="5"/>
  <c r="G43" i="5"/>
  <c r="H43" i="5" s="1"/>
  <c r="G44" i="5"/>
  <c r="G45" i="5"/>
  <c r="G54" i="4" s="1"/>
  <c r="G46" i="5"/>
  <c r="G47" i="5"/>
  <c r="G48" i="5"/>
  <c r="G49" i="5"/>
  <c r="G50" i="5"/>
  <c r="G51" i="5"/>
  <c r="G52" i="5"/>
  <c r="H52" i="5" s="1"/>
  <c r="H61" i="4" s="1"/>
  <c r="G53" i="5"/>
  <c r="G54" i="5"/>
  <c r="G55" i="5"/>
  <c r="G56" i="5"/>
  <c r="G57" i="5"/>
  <c r="G58" i="5"/>
  <c r="G59" i="5"/>
  <c r="G60" i="5"/>
  <c r="G61" i="5"/>
  <c r="G62" i="5"/>
  <c r="G63" i="5"/>
  <c r="G64" i="5"/>
  <c r="H64" i="5" s="1"/>
  <c r="H73" i="4" s="1"/>
  <c r="G65" i="5"/>
  <c r="H65" i="5" s="1"/>
  <c r="H74" i="4" s="1"/>
  <c r="G66" i="5"/>
  <c r="G67" i="5"/>
  <c r="G68" i="5"/>
  <c r="H68" i="5" s="1"/>
  <c r="H77" i="4" s="1"/>
  <c r="G69" i="5"/>
  <c r="G70" i="5"/>
  <c r="G71" i="5"/>
  <c r="G72" i="5"/>
  <c r="G73" i="5"/>
  <c r="G74" i="5"/>
  <c r="G75" i="5"/>
  <c r="G76" i="5"/>
  <c r="G77" i="5"/>
  <c r="G78" i="5"/>
  <c r="G79" i="5"/>
  <c r="G80" i="5"/>
  <c r="G89" i="4" s="1"/>
  <c r="G81" i="5"/>
  <c r="G82" i="5"/>
  <c r="G83" i="5"/>
  <c r="G84" i="5"/>
  <c r="G85" i="5"/>
  <c r="G86" i="5"/>
  <c r="G87" i="5"/>
  <c r="G88" i="5"/>
  <c r="G89" i="5"/>
  <c r="G90" i="5"/>
  <c r="G91" i="5"/>
  <c r="G92" i="5"/>
  <c r="G101" i="4" s="1"/>
  <c r="G93" i="5"/>
  <c r="G94" i="5"/>
  <c r="G95" i="5"/>
  <c r="G96" i="5"/>
  <c r="G97" i="5"/>
  <c r="G98" i="5"/>
  <c r="G99" i="5"/>
  <c r="G100" i="5"/>
  <c r="G101" i="5"/>
  <c r="G102" i="5"/>
  <c r="G103" i="5"/>
  <c r="G104" i="5"/>
  <c r="G105" i="5"/>
  <c r="G106" i="5"/>
  <c r="G107" i="5"/>
  <c r="G108" i="5"/>
  <c r="G109" i="5"/>
  <c r="G110" i="5"/>
  <c r="G111" i="5"/>
  <c r="G112" i="5"/>
  <c r="H112" i="5" s="1"/>
  <c r="H121" i="4" s="1"/>
  <c r="G113" i="5"/>
  <c r="G114" i="5"/>
  <c r="G115" i="5"/>
  <c r="G116" i="5"/>
  <c r="G117" i="5"/>
  <c r="G118" i="5"/>
  <c r="G119" i="5"/>
  <c r="G120" i="5"/>
  <c r="G121" i="5"/>
  <c r="G122" i="5"/>
  <c r="G123" i="5"/>
  <c r="G124" i="5"/>
  <c r="G125" i="5"/>
  <c r="G126" i="5"/>
  <c r="G127" i="5"/>
  <c r="G128" i="5"/>
  <c r="G129" i="5"/>
  <c r="G130" i="5"/>
  <c r="G131" i="5"/>
  <c r="G132" i="5"/>
  <c r="G141" i="4" s="1"/>
  <c r="G133" i="5"/>
  <c r="G134" i="5"/>
  <c r="G135" i="5"/>
  <c r="G136" i="5"/>
  <c r="H136" i="5" s="1"/>
  <c r="H145" i="4" s="1"/>
  <c r="G137" i="5"/>
  <c r="G138" i="5"/>
  <c r="G139" i="5"/>
  <c r="G140" i="5"/>
  <c r="G141" i="5"/>
  <c r="G142" i="5"/>
  <c r="G143" i="5"/>
  <c r="G144" i="5"/>
  <c r="G145" i="5"/>
  <c r="G146" i="5"/>
  <c r="G147" i="5"/>
  <c r="G148" i="5"/>
  <c r="G149" i="5"/>
  <c r="G158" i="4" s="1"/>
  <c r="G150" i="5"/>
  <c r="G151" i="5"/>
  <c r="G152" i="5"/>
  <c r="H152" i="5" s="1"/>
  <c r="H161" i="4" s="1"/>
  <c r="G153" i="5"/>
  <c r="G154" i="5"/>
  <c r="G155" i="5"/>
  <c r="G156" i="5"/>
  <c r="G165" i="4" s="1"/>
  <c r="G157" i="5"/>
  <c r="G158" i="5"/>
  <c r="G9" i="5"/>
  <c r="P158" i="9"/>
  <c r="Q158" i="9" s="1"/>
  <c r="J158" i="9"/>
  <c r="H165" i="6" s="1"/>
  <c r="P157" i="9"/>
  <c r="J157" i="9"/>
  <c r="P156" i="9"/>
  <c r="Q156" i="9" s="1"/>
  <c r="BG156" i="5" s="1"/>
  <c r="J156" i="9"/>
  <c r="P155" i="9"/>
  <c r="J155" i="9"/>
  <c r="P154" i="9"/>
  <c r="Q154" i="9" s="1"/>
  <c r="BG154" i="5" s="1"/>
  <c r="BH154" i="5" s="1"/>
  <c r="J163" i="4" s="1"/>
  <c r="J154" i="9"/>
  <c r="P153" i="9"/>
  <c r="J153" i="9"/>
  <c r="P152" i="9"/>
  <c r="Q152" i="9" s="1"/>
  <c r="BG152" i="5" s="1"/>
  <c r="J152" i="9"/>
  <c r="P151" i="9"/>
  <c r="J151" i="9"/>
  <c r="P150" i="9"/>
  <c r="Q150" i="9" s="1"/>
  <c r="BG150" i="5" s="1"/>
  <c r="I159" i="4" s="1"/>
  <c r="J150" i="9"/>
  <c r="P149" i="9"/>
  <c r="J149" i="9"/>
  <c r="P148" i="9"/>
  <c r="Q148" i="9" s="1"/>
  <c r="BG148" i="5" s="1"/>
  <c r="BH148" i="5" s="1"/>
  <c r="J157" i="4" s="1"/>
  <c r="J148" i="9"/>
  <c r="P147" i="9"/>
  <c r="J147" i="9"/>
  <c r="P146" i="9"/>
  <c r="Q146" i="9" s="1"/>
  <c r="BG146" i="5" s="1"/>
  <c r="J146" i="9"/>
  <c r="P145" i="9"/>
  <c r="J145" i="9"/>
  <c r="P144" i="9"/>
  <c r="Q144" i="9" s="1"/>
  <c r="BG144" i="5" s="1"/>
  <c r="J144" i="9"/>
  <c r="P143" i="9"/>
  <c r="J143" i="9"/>
  <c r="P142" i="9"/>
  <c r="Q142" i="9" s="1"/>
  <c r="BG142" i="5" s="1"/>
  <c r="J142" i="9"/>
  <c r="P141" i="9"/>
  <c r="J141" i="9"/>
  <c r="P140" i="9"/>
  <c r="Q140" i="9" s="1"/>
  <c r="BG140" i="5" s="1"/>
  <c r="J140" i="9"/>
  <c r="P139" i="9"/>
  <c r="J139" i="9"/>
  <c r="P138" i="9"/>
  <c r="Q138" i="9" s="1"/>
  <c r="BG138" i="5" s="1"/>
  <c r="J138" i="9"/>
  <c r="P137" i="9"/>
  <c r="J137" i="9"/>
  <c r="P136" i="9"/>
  <c r="Q136" i="9" s="1"/>
  <c r="BG136" i="5" s="1"/>
  <c r="BH136" i="5" s="1"/>
  <c r="J136" i="9"/>
  <c r="P135" i="9"/>
  <c r="J135" i="9"/>
  <c r="P134" i="9"/>
  <c r="Q134" i="9" s="1"/>
  <c r="BG134" i="5" s="1"/>
  <c r="J134" i="9"/>
  <c r="P133" i="9"/>
  <c r="J133" i="9"/>
  <c r="P132" i="9"/>
  <c r="Q132" i="9" s="1"/>
  <c r="BG132" i="5" s="1"/>
  <c r="BH132" i="5" s="1"/>
  <c r="J141" i="4" s="1"/>
  <c r="J132" i="9"/>
  <c r="P131" i="9"/>
  <c r="J131" i="9"/>
  <c r="P130" i="9"/>
  <c r="Q130" i="9" s="1"/>
  <c r="BG130" i="5" s="1"/>
  <c r="J130" i="9"/>
  <c r="P129" i="9"/>
  <c r="J129" i="9"/>
  <c r="P128" i="9"/>
  <c r="Q128" i="9" s="1"/>
  <c r="BG128" i="5" s="1"/>
  <c r="I137" i="4" s="1"/>
  <c r="J128" i="9"/>
  <c r="P127" i="9"/>
  <c r="J127" i="9"/>
  <c r="P126" i="9"/>
  <c r="Q126" i="9" s="1"/>
  <c r="BG126" i="5" s="1"/>
  <c r="I135" i="4" s="1"/>
  <c r="J126" i="9"/>
  <c r="P125" i="9"/>
  <c r="J125" i="9"/>
  <c r="P124" i="9"/>
  <c r="Q124" i="9" s="1"/>
  <c r="BG124" i="5" s="1"/>
  <c r="J124" i="9"/>
  <c r="P123" i="9"/>
  <c r="J123" i="9"/>
  <c r="P122" i="9"/>
  <c r="J122" i="9"/>
  <c r="P121" i="9"/>
  <c r="J121" i="9"/>
  <c r="P120" i="9"/>
  <c r="Q120" i="9" s="1"/>
  <c r="BG120" i="5" s="1"/>
  <c r="BH120" i="5" s="1"/>
  <c r="J129" i="4" s="1"/>
  <c r="J120" i="9"/>
  <c r="P119" i="9"/>
  <c r="J119" i="9"/>
  <c r="P118" i="9"/>
  <c r="Q118" i="9" s="1"/>
  <c r="BG118" i="5" s="1"/>
  <c r="BH118" i="5" s="1"/>
  <c r="J127" i="4" s="1"/>
  <c r="J118" i="9"/>
  <c r="P117" i="9"/>
  <c r="J117" i="9"/>
  <c r="P116" i="9"/>
  <c r="J116" i="9"/>
  <c r="P115" i="9"/>
  <c r="J115" i="9"/>
  <c r="P114" i="9"/>
  <c r="Q114" i="9" s="1"/>
  <c r="BG114" i="5" s="1"/>
  <c r="J114" i="9"/>
  <c r="P113" i="9"/>
  <c r="J113" i="9"/>
  <c r="P112" i="9"/>
  <c r="Q112" i="9" s="1"/>
  <c r="BG112" i="5" s="1"/>
  <c r="BH112" i="5" s="1"/>
  <c r="J121" i="4" s="1"/>
  <c r="J112" i="9"/>
  <c r="P111" i="9"/>
  <c r="J111" i="9"/>
  <c r="P110" i="9"/>
  <c r="Q110" i="9" s="1"/>
  <c r="BG110" i="5" s="1"/>
  <c r="J110" i="9"/>
  <c r="P109" i="9"/>
  <c r="J109" i="9"/>
  <c r="P108" i="9"/>
  <c r="Q108" i="9" s="1"/>
  <c r="BG108" i="5" s="1"/>
  <c r="J108" i="9"/>
  <c r="P107" i="9"/>
  <c r="J107" i="9"/>
  <c r="P106" i="9"/>
  <c r="J106" i="9"/>
  <c r="P105" i="9"/>
  <c r="J105" i="9"/>
  <c r="P104" i="9"/>
  <c r="Q104" i="9" s="1"/>
  <c r="BG104" i="5" s="1"/>
  <c r="J104" i="9"/>
  <c r="P103" i="9"/>
  <c r="J103" i="9"/>
  <c r="P102" i="9"/>
  <c r="Q102" i="9" s="1"/>
  <c r="BG102" i="5" s="1"/>
  <c r="J102" i="9"/>
  <c r="P101" i="9"/>
  <c r="J101" i="9"/>
  <c r="P100" i="9"/>
  <c r="Q100" i="9" s="1"/>
  <c r="BG100" i="5" s="1"/>
  <c r="BH100" i="5" s="1"/>
  <c r="J109" i="4" s="1"/>
  <c r="J100" i="9"/>
  <c r="P99" i="9"/>
  <c r="J99" i="9"/>
  <c r="P98" i="9"/>
  <c r="Q98" i="9" s="1"/>
  <c r="BG98" i="5" s="1"/>
  <c r="I107" i="4" s="1"/>
  <c r="J98" i="9"/>
  <c r="P97" i="9"/>
  <c r="J97" i="9"/>
  <c r="P96" i="9"/>
  <c r="Q96" i="9" s="1"/>
  <c r="BG96" i="5" s="1"/>
  <c r="I105" i="4" s="1"/>
  <c r="J96" i="9"/>
  <c r="P95" i="9"/>
  <c r="Q95" i="9" s="1"/>
  <c r="BG95" i="5" s="1"/>
  <c r="J95" i="9"/>
  <c r="P94" i="9"/>
  <c r="Q94" i="9" s="1"/>
  <c r="BG94" i="5" s="1"/>
  <c r="J94" i="9"/>
  <c r="P93" i="9"/>
  <c r="J93" i="9"/>
  <c r="P92" i="9"/>
  <c r="Q92" i="9" s="1"/>
  <c r="BG92" i="5" s="1"/>
  <c r="J92" i="9"/>
  <c r="P91" i="9"/>
  <c r="J91" i="9"/>
  <c r="P90" i="9"/>
  <c r="Q90" i="9" s="1"/>
  <c r="BG90" i="5" s="1"/>
  <c r="J90" i="9"/>
  <c r="P89" i="9"/>
  <c r="J89" i="9"/>
  <c r="P88" i="9"/>
  <c r="Q88" i="9" s="1"/>
  <c r="BG88" i="5" s="1"/>
  <c r="BH88" i="5" s="1"/>
  <c r="J97" i="4" s="1"/>
  <c r="J88" i="9"/>
  <c r="P87" i="9"/>
  <c r="J87" i="9"/>
  <c r="P86" i="9"/>
  <c r="Q86" i="9" s="1"/>
  <c r="BG86" i="5" s="1"/>
  <c r="J86" i="9"/>
  <c r="P85" i="9"/>
  <c r="J85" i="9"/>
  <c r="P84" i="9"/>
  <c r="Q84" i="9" s="1"/>
  <c r="BG84" i="5" s="1"/>
  <c r="J84" i="9"/>
  <c r="P83" i="9"/>
  <c r="J83" i="9"/>
  <c r="P82" i="9"/>
  <c r="Q82" i="9" s="1"/>
  <c r="BG82" i="5" s="1"/>
  <c r="J82" i="9"/>
  <c r="P81" i="9"/>
  <c r="J81" i="9"/>
  <c r="P80" i="9"/>
  <c r="Q80" i="9" s="1"/>
  <c r="BG80" i="5" s="1"/>
  <c r="J80" i="9"/>
  <c r="P79" i="9"/>
  <c r="J79" i="9"/>
  <c r="P78" i="9"/>
  <c r="Q78" i="9" s="1"/>
  <c r="BG78" i="5" s="1"/>
  <c r="J78" i="9"/>
  <c r="P77" i="9"/>
  <c r="J77" i="9"/>
  <c r="P76" i="9"/>
  <c r="Q76" i="9" s="1"/>
  <c r="BG76" i="5" s="1"/>
  <c r="BH76" i="5" s="1"/>
  <c r="J85" i="4" s="1"/>
  <c r="J76" i="9"/>
  <c r="P75" i="9"/>
  <c r="J75" i="9"/>
  <c r="P74" i="9"/>
  <c r="Q74" i="9" s="1"/>
  <c r="BG74" i="5" s="1"/>
  <c r="J74" i="9"/>
  <c r="P73" i="9"/>
  <c r="J73" i="9"/>
  <c r="P72" i="9"/>
  <c r="Q72" i="9" s="1"/>
  <c r="BG72" i="5" s="1"/>
  <c r="BH72" i="5" s="1"/>
  <c r="J81" i="4" s="1"/>
  <c r="J72" i="9"/>
  <c r="P71" i="9"/>
  <c r="J71" i="9"/>
  <c r="Q71" i="9"/>
  <c r="BG71" i="5" s="1"/>
  <c r="P70" i="9"/>
  <c r="J70" i="9"/>
  <c r="P69" i="9"/>
  <c r="J69" i="9"/>
  <c r="Q69" i="9" s="1"/>
  <c r="BG69" i="5" s="1"/>
  <c r="P68" i="9"/>
  <c r="J68" i="9"/>
  <c r="P67" i="9"/>
  <c r="J67" i="9"/>
  <c r="P66" i="9"/>
  <c r="J66" i="9"/>
  <c r="P65" i="9"/>
  <c r="J65" i="9"/>
  <c r="P64" i="9"/>
  <c r="J64" i="9"/>
  <c r="P63" i="9"/>
  <c r="J63" i="9"/>
  <c r="P62" i="9"/>
  <c r="J62" i="9"/>
  <c r="P61" i="9"/>
  <c r="J61" i="9"/>
  <c r="P60" i="9"/>
  <c r="J60" i="9"/>
  <c r="P59" i="9"/>
  <c r="J59" i="9"/>
  <c r="P58" i="9"/>
  <c r="J58" i="9"/>
  <c r="P57" i="9"/>
  <c r="J57" i="9"/>
  <c r="P56" i="9"/>
  <c r="J56" i="9"/>
  <c r="P55" i="9"/>
  <c r="J55" i="9"/>
  <c r="P54" i="9"/>
  <c r="J54" i="9"/>
  <c r="P53" i="9"/>
  <c r="J53" i="9"/>
  <c r="P52" i="9"/>
  <c r="Q52" i="9" s="1"/>
  <c r="BG52" i="5" s="1"/>
  <c r="I61" i="4" s="1"/>
  <c r="J52" i="9"/>
  <c r="P51" i="9"/>
  <c r="J51" i="9"/>
  <c r="P50" i="9"/>
  <c r="J50" i="9"/>
  <c r="P49" i="9"/>
  <c r="J49" i="9"/>
  <c r="P48" i="9"/>
  <c r="J48" i="9"/>
  <c r="P47" i="9"/>
  <c r="J47" i="9"/>
  <c r="P46" i="9"/>
  <c r="J46" i="9"/>
  <c r="P45" i="9"/>
  <c r="J45" i="9"/>
  <c r="P44" i="9"/>
  <c r="J44" i="9"/>
  <c r="P43" i="9"/>
  <c r="J43" i="9"/>
  <c r="P42" i="9"/>
  <c r="Q42" i="9" s="1"/>
  <c r="J42" i="9"/>
  <c r="P41" i="9"/>
  <c r="J41" i="9"/>
  <c r="P40" i="9"/>
  <c r="Q40" i="9" s="1"/>
  <c r="BG40" i="5" s="1"/>
  <c r="J40" i="9"/>
  <c r="P39" i="9"/>
  <c r="J39" i="9"/>
  <c r="P38" i="9"/>
  <c r="J38" i="9"/>
  <c r="P37" i="9"/>
  <c r="J37" i="9"/>
  <c r="P36" i="9"/>
  <c r="Q36" i="9" s="1"/>
  <c r="J36" i="9"/>
  <c r="P35" i="9"/>
  <c r="J35" i="9"/>
  <c r="P34" i="9"/>
  <c r="Q34" i="9" s="1"/>
  <c r="BG34" i="5" s="1"/>
  <c r="BH34" i="5" s="1"/>
  <c r="J34" i="9"/>
  <c r="P33" i="9"/>
  <c r="J33" i="9"/>
  <c r="P32" i="9"/>
  <c r="J32" i="9"/>
  <c r="P31" i="9"/>
  <c r="J31" i="9"/>
  <c r="P30" i="9"/>
  <c r="Q30" i="9" s="1"/>
  <c r="J30" i="9"/>
  <c r="P29" i="9"/>
  <c r="J29" i="9"/>
  <c r="P28" i="9"/>
  <c r="Q28" i="9" s="1"/>
  <c r="BG28" i="5" s="1"/>
  <c r="BH28" i="5" s="1"/>
  <c r="J37" i="4" s="1"/>
  <c r="J28" i="9"/>
  <c r="P27" i="9"/>
  <c r="J27" i="9"/>
  <c r="P26" i="9"/>
  <c r="J26" i="9"/>
  <c r="P25" i="9"/>
  <c r="J25" i="9"/>
  <c r="P24" i="9"/>
  <c r="J24" i="9"/>
  <c r="P23" i="9"/>
  <c r="J23" i="9"/>
  <c r="P22" i="9"/>
  <c r="Q22" i="9" s="1"/>
  <c r="BG22" i="5" s="1"/>
  <c r="J22" i="9"/>
  <c r="P21" i="9"/>
  <c r="J21" i="9"/>
  <c r="P20" i="9"/>
  <c r="Q20" i="9" s="1"/>
  <c r="BG20" i="5" s="1"/>
  <c r="J20" i="9"/>
  <c r="P19" i="9"/>
  <c r="J19" i="9"/>
  <c r="P18" i="9"/>
  <c r="J18" i="9"/>
  <c r="P17" i="9"/>
  <c r="J17" i="9"/>
  <c r="P16" i="9"/>
  <c r="J16" i="9"/>
  <c r="P15" i="9"/>
  <c r="J15" i="9"/>
  <c r="P14" i="9"/>
  <c r="Q14" i="9" s="1"/>
  <c r="BG14" i="5" s="1"/>
  <c r="J14" i="9"/>
  <c r="P13" i="9"/>
  <c r="J13" i="9"/>
  <c r="P12" i="9"/>
  <c r="Q12" i="9" s="1"/>
  <c r="BG12" i="5" s="1"/>
  <c r="J12" i="9"/>
  <c r="P11" i="9"/>
  <c r="J11" i="9"/>
  <c r="P10" i="9"/>
  <c r="J10" i="9"/>
  <c r="P9" i="9"/>
  <c r="J9" i="9"/>
  <c r="O8" i="9"/>
  <c r="N8" i="9"/>
  <c r="M8" i="9"/>
  <c r="L8" i="9"/>
  <c r="K8" i="9"/>
  <c r="I8" i="9"/>
  <c r="H8" i="9"/>
  <c r="G8" i="9"/>
  <c r="F8" i="9"/>
  <c r="E8" i="9"/>
  <c r="E49" i="7"/>
  <c r="G49" i="7" s="1"/>
  <c r="BF49" i="5" s="1"/>
  <c r="K58" i="4" s="1"/>
  <c r="E41" i="7"/>
  <c r="G41" i="7" s="1"/>
  <c r="BF41" i="5" s="1"/>
  <c r="K50" i="4" s="1"/>
  <c r="E33" i="7"/>
  <c r="E25" i="7"/>
  <c r="G25" i="7" s="1"/>
  <c r="BF25" i="5" s="1"/>
  <c r="K34" i="4" s="1"/>
  <c r="E17" i="7"/>
  <c r="G17" i="7" s="1"/>
  <c r="BF17" i="5" s="1"/>
  <c r="K26" i="4" s="1"/>
  <c r="F8" i="8"/>
  <c r="G159" i="7"/>
  <c r="E158" i="7"/>
  <c r="G158" i="7" s="1"/>
  <c r="BF158" i="5" s="1"/>
  <c r="K167" i="4" s="1"/>
  <c r="E157" i="7"/>
  <c r="G157" i="7" s="1"/>
  <c r="BF157" i="5" s="1"/>
  <c r="K166" i="4" s="1"/>
  <c r="E156" i="7"/>
  <c r="G156" i="7" s="1"/>
  <c r="BF156" i="5" s="1"/>
  <c r="K165" i="4" s="1"/>
  <c r="E155" i="7"/>
  <c r="G155" i="7" s="1"/>
  <c r="BF155" i="5" s="1"/>
  <c r="K164" i="4" s="1"/>
  <c r="E154" i="7"/>
  <c r="G154" i="7"/>
  <c r="BF154" i="5" s="1"/>
  <c r="K163" i="4" s="1"/>
  <c r="E153" i="7"/>
  <c r="G153" i="7" s="1"/>
  <c r="BF153" i="5" s="1"/>
  <c r="K162" i="4" s="1"/>
  <c r="E152" i="7"/>
  <c r="G152" i="7" s="1"/>
  <c r="E151" i="7"/>
  <c r="G151" i="7"/>
  <c r="BF151" i="5" s="1"/>
  <c r="K160" i="4" s="1"/>
  <c r="E150" i="7"/>
  <c r="G150" i="7" s="1"/>
  <c r="BF150" i="5" s="1"/>
  <c r="K159" i="4" s="1"/>
  <c r="E149" i="7"/>
  <c r="G149" i="7" s="1"/>
  <c r="BF149" i="5" s="1"/>
  <c r="K158" i="4" s="1"/>
  <c r="E148" i="7"/>
  <c r="G148" i="7" s="1"/>
  <c r="BF148" i="5" s="1"/>
  <c r="K157" i="4" s="1"/>
  <c r="E147" i="7"/>
  <c r="G147" i="7" s="1"/>
  <c r="BF147" i="5" s="1"/>
  <c r="K156" i="4" s="1"/>
  <c r="E146" i="7"/>
  <c r="G146" i="7" s="1"/>
  <c r="BF146" i="5" s="1"/>
  <c r="K155" i="4" s="1"/>
  <c r="E145" i="7"/>
  <c r="G145" i="7" s="1"/>
  <c r="BF145" i="5" s="1"/>
  <c r="K154" i="4" s="1"/>
  <c r="E144" i="7"/>
  <c r="G144" i="7" s="1"/>
  <c r="BF144" i="5" s="1"/>
  <c r="K153" i="4" s="1"/>
  <c r="E143" i="7"/>
  <c r="G143" i="7" s="1"/>
  <c r="BF143" i="5" s="1"/>
  <c r="E142" i="7"/>
  <c r="G142" i="7" s="1"/>
  <c r="E141" i="7"/>
  <c r="G141" i="7" s="1"/>
  <c r="BF141" i="5" s="1"/>
  <c r="K150" i="4" s="1"/>
  <c r="E140" i="7"/>
  <c r="G140" i="7" s="1"/>
  <c r="BF140" i="5" s="1"/>
  <c r="K149" i="4" s="1"/>
  <c r="E139" i="7"/>
  <c r="G139" i="7" s="1"/>
  <c r="BF139" i="5" s="1"/>
  <c r="K148" i="4" s="1"/>
  <c r="E138" i="7"/>
  <c r="G138" i="7" s="1"/>
  <c r="BF138" i="5" s="1"/>
  <c r="K147" i="4" s="1"/>
  <c r="E137" i="7"/>
  <c r="G137" i="7" s="1"/>
  <c r="BF137" i="5" s="1"/>
  <c r="K146" i="4" s="1"/>
  <c r="E136" i="7"/>
  <c r="G136" i="7" s="1"/>
  <c r="BF136" i="5" s="1"/>
  <c r="K145" i="4" s="1"/>
  <c r="E135" i="7"/>
  <c r="G135" i="7" s="1"/>
  <c r="BF135" i="5" s="1"/>
  <c r="K144" i="4" s="1"/>
  <c r="E134" i="7"/>
  <c r="G134" i="7" s="1"/>
  <c r="BF134" i="5" s="1"/>
  <c r="K143" i="4" s="1"/>
  <c r="E133" i="7"/>
  <c r="G133" i="7" s="1"/>
  <c r="BF133" i="5" s="1"/>
  <c r="K142" i="4" s="1"/>
  <c r="E132" i="7"/>
  <c r="G132" i="7" s="1"/>
  <c r="BF132" i="5" s="1"/>
  <c r="K141" i="4" s="1"/>
  <c r="E131" i="7"/>
  <c r="G131" i="7" s="1"/>
  <c r="BF131" i="5" s="1"/>
  <c r="K140" i="4" s="1"/>
  <c r="E130" i="7"/>
  <c r="G130" i="7" s="1"/>
  <c r="E129" i="7"/>
  <c r="G129" i="7" s="1"/>
  <c r="BF129" i="5" s="1"/>
  <c r="K138" i="4" s="1"/>
  <c r="E128" i="7"/>
  <c r="G128" i="7"/>
  <c r="BF128" i="5" s="1"/>
  <c r="K137" i="4" s="1"/>
  <c r="E127" i="7"/>
  <c r="G127" i="7" s="1"/>
  <c r="BF127" i="5" s="1"/>
  <c r="K136" i="4" s="1"/>
  <c r="E126" i="7"/>
  <c r="G126" i="7" s="1"/>
  <c r="BF126" i="5" s="1"/>
  <c r="K135" i="4" s="1"/>
  <c r="E125" i="7"/>
  <c r="G125" i="7" s="1"/>
  <c r="BF125" i="5" s="1"/>
  <c r="E124" i="7"/>
  <c r="G124" i="7" s="1"/>
  <c r="BF124" i="5" s="1"/>
  <c r="K133" i="4" s="1"/>
  <c r="E123" i="7"/>
  <c r="G123" i="7" s="1"/>
  <c r="BF123" i="5" s="1"/>
  <c r="K132" i="4" s="1"/>
  <c r="E122" i="7"/>
  <c r="G122" i="7" s="1"/>
  <c r="BF122" i="5" s="1"/>
  <c r="K131" i="4" s="1"/>
  <c r="E121" i="7"/>
  <c r="G121" i="7" s="1"/>
  <c r="BF121" i="5" s="1"/>
  <c r="K130" i="4" s="1"/>
  <c r="E120" i="7"/>
  <c r="G120" i="7" s="1"/>
  <c r="BF120" i="5" s="1"/>
  <c r="K129" i="4" s="1"/>
  <c r="E119" i="7"/>
  <c r="G119" i="7" s="1"/>
  <c r="BF119" i="5" s="1"/>
  <c r="K128" i="4" s="1"/>
  <c r="E118" i="7"/>
  <c r="G118" i="7"/>
  <c r="BF118" i="5" s="1"/>
  <c r="K127" i="4" s="1"/>
  <c r="E117" i="7"/>
  <c r="G117" i="7" s="1"/>
  <c r="BF117" i="5" s="1"/>
  <c r="K126" i="4" s="1"/>
  <c r="E116" i="7"/>
  <c r="G116" i="7" s="1"/>
  <c r="E115" i="7"/>
  <c r="G115" i="7"/>
  <c r="BF115" i="5" s="1"/>
  <c r="K124" i="4" s="1"/>
  <c r="E114" i="7"/>
  <c r="G114" i="7" s="1"/>
  <c r="BF114" i="5" s="1"/>
  <c r="K123" i="4" s="1"/>
  <c r="E113" i="7"/>
  <c r="G113" i="7" s="1"/>
  <c r="BF113" i="5" s="1"/>
  <c r="K122" i="4" s="1"/>
  <c r="E112" i="7"/>
  <c r="G112" i="7" s="1"/>
  <c r="BF112" i="5" s="1"/>
  <c r="K121" i="4" s="1"/>
  <c r="E111" i="7"/>
  <c r="G111" i="7" s="1"/>
  <c r="BF111" i="5" s="1"/>
  <c r="K120" i="4" s="1"/>
  <c r="E110" i="7"/>
  <c r="G110" i="7" s="1"/>
  <c r="BF110" i="5" s="1"/>
  <c r="K119" i="4" s="1"/>
  <c r="E109" i="7"/>
  <c r="G109" i="7" s="1"/>
  <c r="BF109" i="5" s="1"/>
  <c r="K118" i="4" s="1"/>
  <c r="E108" i="7"/>
  <c r="G108" i="7" s="1"/>
  <c r="BF108" i="5" s="1"/>
  <c r="K117" i="4" s="1"/>
  <c r="E107" i="7"/>
  <c r="G107" i="7" s="1"/>
  <c r="BF107" i="5" s="1"/>
  <c r="K116" i="4" s="1"/>
  <c r="E106" i="7"/>
  <c r="G106" i="7" s="1"/>
  <c r="BF106" i="5" s="1"/>
  <c r="K115" i="4" s="1"/>
  <c r="E105" i="7"/>
  <c r="G105" i="7" s="1"/>
  <c r="BF105" i="5" s="1"/>
  <c r="K114" i="4" s="1"/>
  <c r="E104" i="7"/>
  <c r="G104" i="7"/>
  <c r="BF104" i="5" s="1"/>
  <c r="K113" i="4" s="1"/>
  <c r="E103" i="7"/>
  <c r="G103" i="7" s="1"/>
  <c r="BF103" i="5" s="1"/>
  <c r="K112" i="4" s="1"/>
  <c r="E102" i="7"/>
  <c r="G102" i="7" s="1"/>
  <c r="BF102" i="5" s="1"/>
  <c r="K111" i="4" s="1"/>
  <c r="E101" i="7"/>
  <c r="G101" i="7"/>
  <c r="BF101" i="5" s="1"/>
  <c r="K110" i="4" s="1"/>
  <c r="E100" i="7"/>
  <c r="G100" i="7" s="1"/>
  <c r="BF100" i="5" s="1"/>
  <c r="K109" i="4" s="1"/>
  <c r="E99" i="7"/>
  <c r="G99" i="7"/>
  <c r="BF99" i="5" s="1"/>
  <c r="K108" i="4" s="1"/>
  <c r="E98" i="7"/>
  <c r="G98" i="7" s="1"/>
  <c r="BF98" i="5" s="1"/>
  <c r="K107" i="4" s="1"/>
  <c r="E97" i="7"/>
  <c r="G97" i="7" s="1"/>
  <c r="BF97" i="5" s="1"/>
  <c r="K106" i="4" s="1"/>
  <c r="E96" i="7"/>
  <c r="G96" i="7" s="1"/>
  <c r="BF96" i="5" s="1"/>
  <c r="K105" i="4" s="1"/>
  <c r="E95" i="7"/>
  <c r="G95" i="7" s="1"/>
  <c r="BF95" i="5" s="1"/>
  <c r="K104" i="4" s="1"/>
  <c r="E94" i="7"/>
  <c r="G94" i="7" s="1"/>
  <c r="BF94" i="5" s="1"/>
  <c r="K103" i="4" s="1"/>
  <c r="E93" i="7"/>
  <c r="G93" i="7" s="1"/>
  <c r="BF93" i="5" s="1"/>
  <c r="K102" i="4" s="1"/>
  <c r="E92" i="7"/>
  <c r="G92" i="7" s="1"/>
  <c r="BF92" i="5" s="1"/>
  <c r="K101" i="4" s="1"/>
  <c r="E91" i="7"/>
  <c r="G91" i="7" s="1"/>
  <c r="BF91" i="5" s="1"/>
  <c r="K100" i="4" s="1"/>
  <c r="E90" i="7"/>
  <c r="G90" i="7"/>
  <c r="BF90" i="5" s="1"/>
  <c r="K99" i="4" s="1"/>
  <c r="E89" i="7"/>
  <c r="G89" i="7" s="1"/>
  <c r="BF89" i="5" s="1"/>
  <c r="K98" i="4" s="1"/>
  <c r="E88" i="7"/>
  <c r="G88" i="7" s="1"/>
  <c r="BF88" i="5" s="1"/>
  <c r="K97" i="4" s="1"/>
  <c r="E87" i="7"/>
  <c r="G87" i="7"/>
  <c r="BF87" i="5" s="1"/>
  <c r="K96" i="4" s="1"/>
  <c r="E86" i="7"/>
  <c r="G86" i="7" s="1"/>
  <c r="BF86" i="5" s="1"/>
  <c r="E85" i="7"/>
  <c r="G85" i="7" s="1"/>
  <c r="E84" i="7"/>
  <c r="G84" i="7" s="1"/>
  <c r="BF84" i="5" s="1"/>
  <c r="K93" i="4" s="1"/>
  <c r="E83" i="7"/>
  <c r="G83" i="7" s="1"/>
  <c r="BF83" i="5" s="1"/>
  <c r="K92" i="4" s="1"/>
  <c r="E82" i="7"/>
  <c r="G82" i="7" s="1"/>
  <c r="BF82" i="5" s="1"/>
  <c r="K91" i="4" s="1"/>
  <c r="E81" i="7"/>
  <c r="G81" i="7" s="1"/>
  <c r="BF81" i="5" s="1"/>
  <c r="K90" i="4" s="1"/>
  <c r="E80" i="7"/>
  <c r="G80" i="7" s="1"/>
  <c r="E79" i="7"/>
  <c r="G79" i="7" s="1"/>
  <c r="BF79" i="5" s="1"/>
  <c r="K88" i="4" s="1"/>
  <c r="E78" i="7"/>
  <c r="G78" i="7" s="1"/>
  <c r="BF78" i="5" s="1"/>
  <c r="K87" i="4" s="1"/>
  <c r="E77" i="7"/>
  <c r="G77" i="7" s="1"/>
  <c r="BF77" i="5" s="1"/>
  <c r="K86" i="4" s="1"/>
  <c r="E76" i="7"/>
  <c r="G76" i="7" s="1"/>
  <c r="BF76" i="5" s="1"/>
  <c r="K85" i="4" s="1"/>
  <c r="E75" i="7"/>
  <c r="G75" i="7" s="1"/>
  <c r="BF75" i="5" s="1"/>
  <c r="K84" i="4" s="1"/>
  <c r="E74" i="7"/>
  <c r="G74" i="7" s="1"/>
  <c r="BF74" i="5" s="1"/>
  <c r="K83" i="4" s="1"/>
  <c r="E73" i="7"/>
  <c r="G73" i="7" s="1"/>
  <c r="BF73" i="5" s="1"/>
  <c r="K82" i="4" s="1"/>
  <c r="E72" i="7"/>
  <c r="G72" i="7"/>
  <c r="BF72" i="5" s="1"/>
  <c r="K81" i="4" s="1"/>
  <c r="E71" i="7"/>
  <c r="G71" i="7" s="1"/>
  <c r="BF71" i="5" s="1"/>
  <c r="K80" i="4" s="1"/>
  <c r="E70" i="7"/>
  <c r="G70" i="7" s="1"/>
  <c r="E69" i="7"/>
  <c r="G69" i="7"/>
  <c r="BF69" i="5" s="1"/>
  <c r="K78" i="4" s="1"/>
  <c r="E68" i="7"/>
  <c r="G68" i="7" s="1"/>
  <c r="BF68" i="5" s="1"/>
  <c r="K77" i="4" s="1"/>
  <c r="E67" i="7"/>
  <c r="G67" i="7" s="1"/>
  <c r="BF67" i="5" s="1"/>
  <c r="K76" i="4" s="1"/>
  <c r="E66" i="7"/>
  <c r="G66" i="7" s="1"/>
  <c r="BF66" i="5" s="1"/>
  <c r="K75" i="4" s="1"/>
  <c r="E65" i="7"/>
  <c r="G65" i="7" s="1"/>
  <c r="BF65" i="5" s="1"/>
  <c r="K74" i="4" s="1"/>
  <c r="E64" i="7"/>
  <c r="G64" i="7" s="1"/>
  <c r="BF64" i="5" s="1"/>
  <c r="K73" i="4" s="1"/>
  <c r="E63" i="7"/>
  <c r="G63" i="7" s="1"/>
  <c r="BF63" i="5" s="1"/>
  <c r="K72" i="4" s="1"/>
  <c r="E62" i="7"/>
  <c r="G62" i="7" s="1"/>
  <c r="BF62" i="5" s="1"/>
  <c r="K71" i="4" s="1"/>
  <c r="E61" i="7"/>
  <c r="G61" i="7" s="1"/>
  <c r="BF61" i="5" s="1"/>
  <c r="K70" i="4" s="1"/>
  <c r="E60" i="7"/>
  <c r="G60" i="7" s="1"/>
  <c r="BF60" i="5" s="1"/>
  <c r="K69" i="4" s="1"/>
  <c r="E59" i="7"/>
  <c r="G59" i="7" s="1"/>
  <c r="BF59" i="5" s="1"/>
  <c r="K68" i="4" s="1"/>
  <c r="E58" i="7"/>
  <c r="G58" i="7" s="1"/>
  <c r="BF58" i="5" s="1"/>
  <c r="K67" i="4" s="1"/>
  <c r="E57" i="7"/>
  <c r="G57" i="7" s="1"/>
  <c r="BF57" i="5" s="1"/>
  <c r="K66" i="4" s="1"/>
  <c r="E56" i="7"/>
  <c r="G56" i="7" s="1"/>
  <c r="BF56" i="5" s="1"/>
  <c r="K65" i="4" s="1"/>
  <c r="E55" i="7"/>
  <c r="G55" i="7" s="1"/>
  <c r="BF55" i="5" s="1"/>
  <c r="K64" i="4" s="1"/>
  <c r="E54" i="7"/>
  <c r="G54" i="7"/>
  <c r="BF54" i="5" s="1"/>
  <c r="K63" i="4" s="1"/>
  <c r="E53" i="7"/>
  <c r="G53" i="7" s="1"/>
  <c r="BF53" i="5" s="1"/>
  <c r="K62" i="4" s="1"/>
  <c r="E52" i="7"/>
  <c r="G52" i="7" s="1"/>
  <c r="BF52" i="5" s="1"/>
  <c r="K61" i="4" s="1"/>
  <c r="E51" i="7"/>
  <c r="G51" i="7"/>
  <c r="BF51" i="5" s="1"/>
  <c r="K60" i="4" s="1"/>
  <c r="E50" i="7"/>
  <c r="G50" i="7" s="1"/>
  <c r="BF50" i="5" s="1"/>
  <c r="K59" i="4" s="1"/>
  <c r="E48" i="7"/>
  <c r="G48" i="7"/>
  <c r="BF48" i="5" s="1"/>
  <c r="K57" i="4" s="1"/>
  <c r="E47" i="7"/>
  <c r="G47" i="7" s="1"/>
  <c r="E46" i="7"/>
  <c r="G46" i="7" s="1"/>
  <c r="BF46" i="5" s="1"/>
  <c r="K55" i="4" s="1"/>
  <c r="E45" i="7"/>
  <c r="G45" i="7" s="1"/>
  <c r="BF45" i="5" s="1"/>
  <c r="K54" i="4" s="1"/>
  <c r="E44" i="7"/>
  <c r="G44" i="7" s="1"/>
  <c r="BF44" i="5" s="1"/>
  <c r="K53" i="4" s="1"/>
  <c r="E43" i="7"/>
  <c r="G43" i="7" s="1"/>
  <c r="BF43" i="5" s="1"/>
  <c r="K52" i="4" s="1"/>
  <c r="E42" i="7"/>
  <c r="G42" i="7" s="1"/>
  <c r="BF42" i="5" s="1"/>
  <c r="K51" i="4" s="1"/>
  <c r="E40" i="7"/>
  <c r="G40" i="7"/>
  <c r="BF40" i="5" s="1"/>
  <c r="K49" i="4" s="1"/>
  <c r="E39" i="7"/>
  <c r="G39" i="7" s="1"/>
  <c r="BF39" i="5" s="1"/>
  <c r="K48" i="4" s="1"/>
  <c r="E38" i="7"/>
  <c r="G38" i="7"/>
  <c r="BF38" i="5" s="1"/>
  <c r="K47" i="4" s="1"/>
  <c r="E37" i="7"/>
  <c r="G37" i="7" s="1"/>
  <c r="BF37" i="5" s="1"/>
  <c r="K46" i="4" s="1"/>
  <c r="E36" i="7"/>
  <c r="G36" i="7" s="1"/>
  <c r="BF36" i="5" s="1"/>
  <c r="K45" i="4" s="1"/>
  <c r="E35" i="7"/>
  <c r="G35" i="7"/>
  <c r="BF35" i="5" s="1"/>
  <c r="K44" i="4" s="1"/>
  <c r="E34" i="7"/>
  <c r="G34" i="7" s="1"/>
  <c r="BF34" i="5" s="1"/>
  <c r="K43" i="4" s="1"/>
  <c r="G33" i="7"/>
  <c r="E32" i="7"/>
  <c r="G32" i="7"/>
  <c r="BF32" i="5" s="1"/>
  <c r="K41" i="4" s="1"/>
  <c r="E31" i="7"/>
  <c r="G31" i="7" s="1"/>
  <c r="BF31" i="5" s="1"/>
  <c r="E30" i="7"/>
  <c r="G30" i="7"/>
  <c r="BF30" i="5" s="1"/>
  <c r="K39" i="4" s="1"/>
  <c r="E29" i="7"/>
  <c r="G29" i="7" s="1"/>
  <c r="BF29" i="5" s="1"/>
  <c r="K38" i="4" s="1"/>
  <c r="E28" i="7"/>
  <c r="G28" i="7" s="1"/>
  <c r="BF28" i="5" s="1"/>
  <c r="K37" i="4" s="1"/>
  <c r="E27" i="7"/>
  <c r="G27" i="7" s="1"/>
  <c r="BF27" i="5" s="1"/>
  <c r="K36" i="4" s="1"/>
  <c r="E26" i="7"/>
  <c r="G26" i="7" s="1"/>
  <c r="BF26" i="5" s="1"/>
  <c r="K35" i="4" s="1"/>
  <c r="E24" i="7"/>
  <c r="G24" i="7" s="1"/>
  <c r="BF24" i="5" s="1"/>
  <c r="K33" i="4" s="1"/>
  <c r="E23" i="7"/>
  <c r="G23" i="7" s="1"/>
  <c r="BF23" i="5" s="1"/>
  <c r="K32" i="4" s="1"/>
  <c r="E22" i="7"/>
  <c r="G22" i="7" s="1"/>
  <c r="BF22" i="5" s="1"/>
  <c r="K31" i="4" s="1"/>
  <c r="E21" i="7"/>
  <c r="G21" i="7" s="1"/>
  <c r="E20" i="7"/>
  <c r="G20" i="7" s="1"/>
  <c r="BF20" i="5" s="1"/>
  <c r="K29" i="4" s="1"/>
  <c r="E19" i="7"/>
  <c r="G19" i="7" s="1"/>
  <c r="BF19" i="5" s="1"/>
  <c r="K28" i="4" s="1"/>
  <c r="E18" i="7"/>
  <c r="G18" i="7" s="1"/>
  <c r="BF18" i="5" s="1"/>
  <c r="K27" i="4" s="1"/>
  <c r="E16" i="7"/>
  <c r="G16" i="7" s="1"/>
  <c r="BF16" i="5" s="1"/>
  <c r="K25" i="4" s="1"/>
  <c r="E15" i="7"/>
  <c r="G15" i="7" s="1"/>
  <c r="BF15" i="5" s="1"/>
  <c r="K24" i="4" s="1"/>
  <c r="E13" i="7"/>
  <c r="G13" i="7" s="1"/>
  <c r="BF13" i="5" s="1"/>
  <c r="E12" i="7"/>
  <c r="G12" i="7" s="1"/>
  <c r="BF12" i="5" s="1"/>
  <c r="K21" i="4" s="1"/>
  <c r="E11" i="7"/>
  <c r="G11" i="7" s="1"/>
  <c r="BF11" i="5" s="1"/>
  <c r="K20" i="4" s="1"/>
  <c r="E10" i="7"/>
  <c r="G10" i="7"/>
  <c r="BF10" i="5" s="1"/>
  <c r="K19" i="4" s="1"/>
  <c r="F8" i="7"/>
  <c r="M130" i="6"/>
  <c r="F130" i="6"/>
  <c r="M122" i="6"/>
  <c r="F122" i="6"/>
  <c r="M114" i="6"/>
  <c r="F114" i="6"/>
  <c r="M106" i="6"/>
  <c r="F106" i="6"/>
  <c r="M96" i="6"/>
  <c r="K96" i="6"/>
  <c r="F96" i="6"/>
  <c r="M88" i="6"/>
  <c r="K88" i="6"/>
  <c r="F88" i="6"/>
  <c r="M80" i="6"/>
  <c r="K80" i="6"/>
  <c r="F80" i="6"/>
  <c r="M72" i="6"/>
  <c r="K72" i="6"/>
  <c r="F72" i="6"/>
  <c r="M64" i="6"/>
  <c r="K64" i="6"/>
  <c r="F64" i="6"/>
  <c r="M56" i="6"/>
  <c r="K56" i="6"/>
  <c r="F56" i="6"/>
  <c r="M48" i="6"/>
  <c r="F48" i="6"/>
  <c r="M40" i="6"/>
  <c r="F40" i="6"/>
  <c r="C23" i="6"/>
  <c r="C22" i="6"/>
  <c r="K9" i="6"/>
  <c r="F7" i="6"/>
  <c r="F6" i="6"/>
  <c r="AX159" i="5"/>
  <c r="AY159" i="5" s="1"/>
  <c r="AS159" i="5"/>
  <c r="AM159" i="5"/>
  <c r="W159" i="5"/>
  <c r="Q159" i="5"/>
  <c r="BI158" i="5"/>
  <c r="AM158" i="5"/>
  <c r="Z158" i="5"/>
  <c r="N158" i="5"/>
  <c r="AS158" i="5"/>
  <c r="BI157" i="5"/>
  <c r="AS157" i="5"/>
  <c r="AP157" i="5"/>
  <c r="AC157" i="5"/>
  <c r="Z157" i="5"/>
  <c r="W157" i="5"/>
  <c r="Q157" i="5"/>
  <c r="N157" i="5"/>
  <c r="BI156" i="5"/>
  <c r="Z156" i="5"/>
  <c r="Z155" i="5"/>
  <c r="BI154" i="5"/>
  <c r="AS154" i="5"/>
  <c r="AP154" i="5"/>
  <c r="AM154" i="5"/>
  <c r="AC154" i="5"/>
  <c r="Z154" i="5"/>
  <c r="W154" i="5"/>
  <c r="Q154" i="5"/>
  <c r="N154" i="5"/>
  <c r="BI153" i="5"/>
  <c r="AS153" i="5"/>
  <c r="AP153" i="5"/>
  <c r="AC153" i="5"/>
  <c r="Z153" i="5"/>
  <c r="Q153" i="5"/>
  <c r="N153" i="5"/>
  <c r="AJ153" i="5"/>
  <c r="BI152" i="5"/>
  <c r="BF152" i="5"/>
  <c r="K161" i="4" s="1"/>
  <c r="AS152" i="5"/>
  <c r="Z152" i="5"/>
  <c r="W152" i="5"/>
  <c r="T152" i="5"/>
  <c r="N152" i="5"/>
  <c r="K152" i="5"/>
  <c r="AP152" i="5"/>
  <c r="BI151" i="5"/>
  <c r="AP151" i="5"/>
  <c r="AM151" i="5"/>
  <c r="AJ151" i="5"/>
  <c r="AF151" i="5"/>
  <c r="Z151" i="5"/>
  <c r="W151" i="5"/>
  <c r="T151" i="5"/>
  <c r="N151" i="5"/>
  <c r="K151" i="5"/>
  <c r="H151" i="5"/>
  <c r="H160" i="4" s="1"/>
  <c r="AS151" i="5"/>
  <c r="BI150" i="5"/>
  <c r="AP150" i="5"/>
  <c r="AM150" i="5"/>
  <c r="AJ150" i="5"/>
  <c r="AF150" i="5"/>
  <c r="Z150" i="5"/>
  <c r="W150" i="5"/>
  <c r="T150" i="5"/>
  <c r="N150" i="5"/>
  <c r="K150" i="5"/>
  <c r="AS150" i="5"/>
  <c r="BI149" i="5"/>
  <c r="AF149" i="5"/>
  <c r="Z149" i="5"/>
  <c r="T149" i="5"/>
  <c r="N149" i="5"/>
  <c r="AC149" i="5"/>
  <c r="BI148" i="5"/>
  <c r="AF148" i="5"/>
  <c r="Z148" i="5"/>
  <c r="W148" i="5"/>
  <c r="Q148" i="5"/>
  <c r="N148" i="5"/>
  <c r="K148" i="5"/>
  <c r="AM147" i="5"/>
  <c r="W147" i="5"/>
  <c r="N147" i="5"/>
  <c r="AP146" i="5"/>
  <c r="AF146" i="5"/>
  <c r="Z146" i="5"/>
  <c r="W146" i="5"/>
  <c r="Q146" i="5"/>
  <c r="N146" i="5"/>
  <c r="AS146" i="5"/>
  <c r="BI145" i="5"/>
  <c r="AS145" i="5"/>
  <c r="AP145" i="5"/>
  <c r="AM145" i="5"/>
  <c r="AJ145" i="5"/>
  <c r="AF145" i="5"/>
  <c r="AC145" i="5"/>
  <c r="Z145" i="5"/>
  <c r="W145" i="5"/>
  <c r="T145" i="5"/>
  <c r="Q145" i="5"/>
  <c r="N145" i="5"/>
  <c r="K145" i="5"/>
  <c r="BI144" i="5"/>
  <c r="AS144" i="5"/>
  <c r="AP144" i="5"/>
  <c r="AM144" i="5"/>
  <c r="AJ144" i="5"/>
  <c r="AF144" i="5"/>
  <c r="AC144" i="5"/>
  <c r="Z144" i="5"/>
  <c r="W144" i="5"/>
  <c r="T144" i="5"/>
  <c r="Q144" i="5"/>
  <c r="N144" i="5"/>
  <c r="K144" i="5"/>
  <c r="K152" i="4"/>
  <c r="AS143" i="5"/>
  <c r="AP143" i="5"/>
  <c r="AM143" i="5"/>
  <c r="AJ143" i="5"/>
  <c r="AF143" i="5"/>
  <c r="AC143" i="5"/>
  <c r="Z143" i="5"/>
  <c r="W143" i="5"/>
  <c r="T143" i="5"/>
  <c r="Q143" i="5"/>
  <c r="N143" i="5"/>
  <c r="K143" i="5"/>
  <c r="BI142" i="5"/>
  <c r="BF142" i="5"/>
  <c r="K151" i="4" s="1"/>
  <c r="AS142" i="5"/>
  <c r="AP142" i="5"/>
  <c r="AM142" i="5"/>
  <c r="AJ142" i="5"/>
  <c r="AF142" i="5"/>
  <c r="AC142" i="5"/>
  <c r="Z142" i="5"/>
  <c r="W142" i="5"/>
  <c r="T142" i="5"/>
  <c r="Q142" i="5"/>
  <c r="N142" i="5"/>
  <c r="K142" i="5"/>
  <c r="BI141" i="5"/>
  <c r="AS141" i="5"/>
  <c r="AP141" i="5"/>
  <c r="AM141" i="5"/>
  <c r="AJ141" i="5"/>
  <c r="AF141" i="5"/>
  <c r="AC141" i="5"/>
  <c r="Z141" i="5"/>
  <c r="W141" i="5"/>
  <c r="T141" i="5"/>
  <c r="Q141" i="5"/>
  <c r="N141" i="5"/>
  <c r="K141" i="5"/>
  <c r="BI140" i="5"/>
  <c r="AS140" i="5"/>
  <c r="AP140" i="5"/>
  <c r="AM140" i="5"/>
  <c r="AJ140" i="5"/>
  <c r="AF140" i="5"/>
  <c r="AC140" i="5"/>
  <c r="Z140" i="5"/>
  <c r="W140" i="5"/>
  <c r="T140" i="5"/>
  <c r="Q140" i="5"/>
  <c r="N140" i="5"/>
  <c r="K140" i="5"/>
  <c r="AS139" i="5"/>
  <c r="AP139" i="5"/>
  <c r="AM139" i="5"/>
  <c r="AJ139" i="5"/>
  <c r="AF139" i="5"/>
  <c r="AC139" i="5"/>
  <c r="Z139" i="5"/>
  <c r="W139" i="5"/>
  <c r="T139" i="5"/>
  <c r="Q139" i="5"/>
  <c r="N139" i="5"/>
  <c r="K139" i="5"/>
  <c r="AS138" i="5"/>
  <c r="AP138" i="5"/>
  <c r="AM138" i="5"/>
  <c r="AJ138" i="5"/>
  <c r="AF138" i="5"/>
  <c r="AC138" i="5"/>
  <c r="Z138" i="5"/>
  <c r="W138" i="5"/>
  <c r="T138" i="5"/>
  <c r="Q138" i="5"/>
  <c r="N138" i="5"/>
  <c r="K138" i="5"/>
  <c r="BI137" i="5"/>
  <c r="AS137" i="5"/>
  <c r="AP137" i="5"/>
  <c r="AM137" i="5"/>
  <c r="AJ137" i="5"/>
  <c r="AF137" i="5"/>
  <c r="AC137" i="5"/>
  <c r="Z137" i="5"/>
  <c r="W137" i="5"/>
  <c r="T137" i="5"/>
  <c r="Q137" i="5"/>
  <c r="N137" i="5"/>
  <c r="K137" i="5"/>
  <c r="BI136" i="5"/>
  <c r="AS136" i="5"/>
  <c r="AP136" i="5"/>
  <c r="AM136" i="5"/>
  <c r="AJ136" i="5"/>
  <c r="AF136" i="5"/>
  <c r="AC136" i="5"/>
  <c r="Z136" i="5"/>
  <c r="W136" i="5"/>
  <c r="T136" i="5"/>
  <c r="Q136" i="5"/>
  <c r="N136" i="5"/>
  <c r="K136" i="5"/>
  <c r="AS135" i="5"/>
  <c r="AP135" i="5"/>
  <c r="AM135" i="5"/>
  <c r="AJ135" i="5"/>
  <c r="AF135" i="5"/>
  <c r="AC135" i="5"/>
  <c r="Z135" i="5"/>
  <c r="W135" i="5"/>
  <c r="T135" i="5"/>
  <c r="Q135" i="5"/>
  <c r="N135" i="5"/>
  <c r="K135" i="5"/>
  <c r="AS134" i="5"/>
  <c r="AP134" i="5"/>
  <c r="AM134" i="5"/>
  <c r="AJ134" i="5"/>
  <c r="AF134" i="5"/>
  <c r="AC134" i="5"/>
  <c r="Z134" i="5"/>
  <c r="W134" i="5"/>
  <c r="T134" i="5"/>
  <c r="Q134" i="5"/>
  <c r="N134" i="5"/>
  <c r="K134" i="5"/>
  <c r="BI133" i="5"/>
  <c r="AS133" i="5"/>
  <c r="AP133" i="5"/>
  <c r="AM133" i="5"/>
  <c r="AJ133" i="5"/>
  <c r="AF133" i="5"/>
  <c r="AC133" i="5"/>
  <c r="Z133" i="5"/>
  <c r="W133" i="5"/>
  <c r="T133" i="5"/>
  <c r="Q133" i="5"/>
  <c r="N133" i="5"/>
  <c r="K133" i="5"/>
  <c r="BI132" i="5"/>
  <c r="AS132" i="5"/>
  <c r="AP132" i="5"/>
  <c r="AM132" i="5"/>
  <c r="AJ132" i="5"/>
  <c r="AF132" i="5"/>
  <c r="AC132" i="5"/>
  <c r="Z132" i="5"/>
  <c r="W132" i="5"/>
  <c r="T132" i="5"/>
  <c r="Q132" i="5"/>
  <c r="N132" i="5"/>
  <c r="K132" i="5"/>
  <c r="AS131" i="5"/>
  <c r="AP131" i="5"/>
  <c r="AM131" i="5"/>
  <c r="AJ131" i="5"/>
  <c r="AF131" i="5"/>
  <c r="AC131" i="5"/>
  <c r="Z131" i="5"/>
  <c r="W131" i="5"/>
  <c r="T131" i="5"/>
  <c r="Q131" i="5"/>
  <c r="N131" i="5"/>
  <c r="K131" i="5"/>
  <c r="BF130" i="5"/>
  <c r="K139" i="4" s="1"/>
  <c r="AS130" i="5"/>
  <c r="AP130" i="5"/>
  <c r="AM130" i="5"/>
  <c r="AJ130" i="5"/>
  <c r="AF130" i="5"/>
  <c r="AC130" i="5"/>
  <c r="Z130" i="5"/>
  <c r="W130" i="5"/>
  <c r="T130" i="5"/>
  <c r="Q130" i="5"/>
  <c r="N130" i="5"/>
  <c r="K130" i="5"/>
  <c r="BI129" i="5"/>
  <c r="AS129" i="5"/>
  <c r="AM129" i="5"/>
  <c r="AJ129" i="5"/>
  <c r="AF129" i="5"/>
  <c r="AC129" i="5"/>
  <c r="W129" i="5"/>
  <c r="T129" i="5"/>
  <c r="Q129" i="5"/>
  <c r="N129" i="5"/>
  <c r="K129" i="5"/>
  <c r="BI128" i="5"/>
  <c r="AS128" i="5"/>
  <c r="AM128" i="5"/>
  <c r="AJ128" i="5"/>
  <c r="AF128" i="5"/>
  <c r="AC128" i="5"/>
  <c r="Z128" i="5"/>
  <c r="W128" i="5"/>
  <c r="T128" i="5"/>
  <c r="Q128" i="5"/>
  <c r="N128" i="5"/>
  <c r="BI127" i="5"/>
  <c r="AS127" i="5"/>
  <c r="AP127" i="5"/>
  <c r="AC127" i="5"/>
  <c r="Z127" i="5"/>
  <c r="Q127" i="5"/>
  <c r="N127" i="5"/>
  <c r="AS126" i="5"/>
  <c r="AP126" i="5"/>
  <c r="AC126" i="5"/>
  <c r="Z126" i="5"/>
  <c r="Q126" i="5"/>
  <c r="N126" i="5"/>
  <c r="BI125" i="5"/>
  <c r="K134" i="4"/>
  <c r="AS125" i="5"/>
  <c r="AP125" i="5"/>
  <c r="AC125" i="5"/>
  <c r="Z125" i="5"/>
  <c r="Q125" i="5"/>
  <c r="N125" i="5"/>
  <c r="BI124" i="5"/>
  <c r="AS124" i="5"/>
  <c r="AP124" i="5"/>
  <c r="AC124" i="5"/>
  <c r="Q124" i="5"/>
  <c r="N124" i="5"/>
  <c r="AS123" i="5"/>
  <c r="AP123" i="5"/>
  <c r="AC123" i="5"/>
  <c r="Z123" i="5"/>
  <c r="Q123" i="5"/>
  <c r="N123" i="5"/>
  <c r="AS122" i="5"/>
  <c r="AP122" i="5"/>
  <c r="AC122" i="5"/>
  <c r="Z122" i="5"/>
  <c r="W122" i="5"/>
  <c r="T122" i="5"/>
  <c r="Q122" i="5"/>
  <c r="N122" i="5"/>
  <c r="AJ122" i="5"/>
  <c r="BI121" i="5"/>
  <c r="AS121" i="5"/>
  <c r="AP121" i="5"/>
  <c r="AM121" i="5"/>
  <c r="AJ121" i="5"/>
  <c r="AF121" i="5"/>
  <c r="AC121" i="5"/>
  <c r="Z121" i="5"/>
  <c r="W121" i="5"/>
  <c r="T121" i="5"/>
  <c r="Q121" i="5"/>
  <c r="N121" i="5"/>
  <c r="K121" i="5"/>
  <c r="BI120" i="5"/>
  <c r="AS120" i="5"/>
  <c r="AP120" i="5"/>
  <c r="AM120" i="5"/>
  <c r="AJ120" i="5"/>
  <c r="AF120" i="5"/>
  <c r="AC120" i="5"/>
  <c r="Z120" i="5"/>
  <c r="W120" i="5"/>
  <c r="T120" i="5"/>
  <c r="Q120" i="5"/>
  <c r="N120" i="5"/>
  <c r="K120" i="5"/>
  <c r="AS119" i="5"/>
  <c r="AP119" i="5"/>
  <c r="AM119" i="5"/>
  <c r="AJ119" i="5"/>
  <c r="AF119" i="5"/>
  <c r="AC119" i="5"/>
  <c r="Z119" i="5"/>
  <c r="W119" i="5"/>
  <c r="T119" i="5"/>
  <c r="Q119" i="5"/>
  <c r="N119" i="5"/>
  <c r="K119" i="5"/>
  <c r="AS118" i="5"/>
  <c r="AP118" i="5"/>
  <c r="AM118" i="5"/>
  <c r="AJ118" i="5"/>
  <c r="AF118" i="5"/>
  <c r="AC118" i="5"/>
  <c r="Z118" i="5"/>
  <c r="W118" i="5"/>
  <c r="T118" i="5"/>
  <c r="Q118" i="5"/>
  <c r="N118" i="5"/>
  <c r="K118" i="5"/>
  <c r="BI117" i="5"/>
  <c r="AS117" i="5"/>
  <c r="AP117" i="5"/>
  <c r="AM117" i="5"/>
  <c r="AJ117" i="5"/>
  <c r="AF117" i="5"/>
  <c r="AC117" i="5"/>
  <c r="Z117" i="5"/>
  <c r="W117" i="5"/>
  <c r="T117" i="5"/>
  <c r="Q117" i="5"/>
  <c r="N117" i="5"/>
  <c r="K117" i="5"/>
  <c r="BI116" i="5"/>
  <c r="BF116" i="5"/>
  <c r="K125" i="4" s="1"/>
  <c r="AS116" i="5"/>
  <c r="AP116" i="5"/>
  <c r="AM116" i="5"/>
  <c r="AJ116" i="5"/>
  <c r="AF116" i="5"/>
  <c r="AC116" i="5"/>
  <c r="Z116" i="5"/>
  <c r="W116" i="5"/>
  <c r="T116" i="5"/>
  <c r="Q116" i="5"/>
  <c r="N116" i="5"/>
  <c r="K116" i="5"/>
  <c r="BI115" i="5"/>
  <c r="AS115" i="5"/>
  <c r="AP115" i="5"/>
  <c r="AM115" i="5"/>
  <c r="AJ115" i="5"/>
  <c r="AF115" i="5"/>
  <c r="AC115" i="5"/>
  <c r="Z115" i="5"/>
  <c r="W115" i="5"/>
  <c r="T115" i="5"/>
  <c r="Q115" i="5"/>
  <c r="N115" i="5"/>
  <c r="K115" i="5"/>
  <c r="AS114" i="5"/>
  <c r="AP114" i="5"/>
  <c r="AM114" i="5"/>
  <c r="AJ114" i="5"/>
  <c r="AF114" i="5"/>
  <c r="AC114" i="5"/>
  <c r="Z114" i="5"/>
  <c r="W114" i="5"/>
  <c r="T114" i="5"/>
  <c r="Q114" i="5"/>
  <c r="N114" i="5"/>
  <c r="K114" i="5"/>
  <c r="BI113" i="5"/>
  <c r="AS113" i="5"/>
  <c r="AP113" i="5"/>
  <c r="AM113" i="5"/>
  <c r="AJ113" i="5"/>
  <c r="AF113" i="5"/>
  <c r="AC113" i="5"/>
  <c r="Z113" i="5"/>
  <c r="W113" i="5"/>
  <c r="T113" i="5"/>
  <c r="Q113" i="5"/>
  <c r="N113" i="5"/>
  <c r="K113" i="5"/>
  <c r="BI112" i="5"/>
  <c r="AS112" i="5"/>
  <c r="AP112" i="5"/>
  <c r="AM112" i="5"/>
  <c r="AJ112" i="5"/>
  <c r="AF112" i="5"/>
  <c r="AC112" i="5"/>
  <c r="Z112" i="5"/>
  <c r="W112" i="5"/>
  <c r="T112" i="5"/>
  <c r="Q112" i="5"/>
  <c r="N112" i="5"/>
  <c r="K112" i="5"/>
  <c r="AS111" i="5"/>
  <c r="AP111" i="5"/>
  <c r="AM111" i="5"/>
  <c r="AJ111" i="5"/>
  <c r="AF111" i="5"/>
  <c r="AC111" i="5"/>
  <c r="Z111" i="5"/>
  <c r="W111" i="5"/>
  <c r="T111" i="5"/>
  <c r="Q111" i="5"/>
  <c r="N111" i="5"/>
  <c r="K111" i="5"/>
  <c r="BI110" i="5"/>
  <c r="AS110" i="5"/>
  <c r="AP110" i="5"/>
  <c r="AM110" i="5"/>
  <c r="AJ110" i="5"/>
  <c r="AF110" i="5"/>
  <c r="AC110" i="5"/>
  <c r="Z110" i="5"/>
  <c r="W110" i="5"/>
  <c r="T110" i="5"/>
  <c r="Q110" i="5"/>
  <c r="N110" i="5"/>
  <c r="K110" i="5"/>
  <c r="BI109" i="5"/>
  <c r="AS109" i="5"/>
  <c r="AP109" i="5"/>
  <c r="AM109" i="5"/>
  <c r="AJ109" i="5"/>
  <c r="AF109" i="5"/>
  <c r="AC109" i="5"/>
  <c r="Z109" i="5"/>
  <c r="W109" i="5"/>
  <c r="T109" i="5"/>
  <c r="Q109" i="5"/>
  <c r="N109" i="5"/>
  <c r="K109" i="5"/>
  <c r="BI108" i="5"/>
  <c r="AS108" i="5"/>
  <c r="AP108" i="5"/>
  <c r="AM108" i="5"/>
  <c r="AJ108" i="5"/>
  <c r="AF108" i="5"/>
  <c r="AC108" i="5"/>
  <c r="Z108" i="5"/>
  <c r="W108" i="5"/>
  <c r="T108" i="5"/>
  <c r="Q108" i="5"/>
  <c r="N108" i="5"/>
  <c r="K108" i="5"/>
  <c r="AS107" i="5"/>
  <c r="AP107" i="5"/>
  <c r="AM107" i="5"/>
  <c r="AJ107" i="5"/>
  <c r="AF107" i="5"/>
  <c r="AC107" i="5"/>
  <c r="Z107" i="5"/>
  <c r="W107" i="5"/>
  <c r="T107" i="5"/>
  <c r="Q107" i="5"/>
  <c r="N107" i="5"/>
  <c r="K107" i="5"/>
  <c r="BI106" i="5"/>
  <c r="AS106" i="5"/>
  <c r="AP106" i="5"/>
  <c r="AM106" i="5"/>
  <c r="AJ106" i="5"/>
  <c r="AF106" i="5"/>
  <c r="AC106" i="5"/>
  <c r="Z106" i="5"/>
  <c r="W106" i="5"/>
  <c r="T106" i="5"/>
  <c r="Q106" i="5"/>
  <c r="N106" i="5"/>
  <c r="K106" i="5"/>
  <c r="BI105" i="5"/>
  <c r="AS105" i="5"/>
  <c r="AP105" i="5"/>
  <c r="AM105" i="5"/>
  <c r="AJ105" i="5"/>
  <c r="AF105" i="5"/>
  <c r="AC105" i="5"/>
  <c r="Z105" i="5"/>
  <c r="W105" i="5"/>
  <c r="T105" i="5"/>
  <c r="Q105" i="5"/>
  <c r="N105" i="5"/>
  <c r="K105" i="5"/>
  <c r="BI104" i="5"/>
  <c r="AS104" i="5"/>
  <c r="AP104" i="5"/>
  <c r="AM104" i="5"/>
  <c r="AJ104" i="5"/>
  <c r="AC104" i="5"/>
  <c r="Z104" i="5"/>
  <c r="T104" i="5"/>
  <c r="Q104" i="5"/>
  <c r="N104" i="5"/>
  <c r="AF104" i="5"/>
  <c r="AS103" i="5"/>
  <c r="AP103" i="5"/>
  <c r="AM103" i="5"/>
  <c r="AJ103" i="5"/>
  <c r="AC103" i="5"/>
  <c r="Q103" i="5"/>
  <c r="N103" i="5"/>
  <c r="AS102" i="5"/>
  <c r="AC102" i="5"/>
  <c r="Z102" i="5"/>
  <c r="Q102" i="5"/>
  <c r="N102" i="5"/>
  <c r="BI101" i="5"/>
  <c r="AP101" i="5"/>
  <c r="AC101" i="5"/>
  <c r="Z101" i="5"/>
  <c r="Q101" i="5"/>
  <c r="N101" i="5"/>
  <c r="BI100" i="5"/>
  <c r="AP100" i="5"/>
  <c r="AC100" i="5"/>
  <c r="Z100" i="5"/>
  <c r="Q100" i="5"/>
  <c r="N100" i="5"/>
  <c r="AP99" i="5"/>
  <c r="AC99" i="5"/>
  <c r="Z99" i="5"/>
  <c r="Q99" i="5"/>
  <c r="N99" i="5"/>
  <c r="AS98" i="5"/>
  <c r="AP98" i="5"/>
  <c r="AM98" i="5"/>
  <c r="AJ98" i="5"/>
  <c r="AF98" i="5"/>
  <c r="AC98" i="5"/>
  <c r="Z98" i="5"/>
  <c r="W98" i="5"/>
  <c r="T98" i="5"/>
  <c r="Q98" i="5"/>
  <c r="N98" i="5"/>
  <c r="BI97" i="5"/>
  <c r="AS97" i="5"/>
  <c r="AP97" i="5"/>
  <c r="AM97" i="5"/>
  <c r="AJ97" i="5"/>
  <c r="AF97" i="5"/>
  <c r="AC97" i="5"/>
  <c r="Z97" i="5"/>
  <c r="W97" i="5"/>
  <c r="T97" i="5"/>
  <c r="Q97" i="5"/>
  <c r="N97" i="5"/>
  <c r="BI96" i="5"/>
  <c r="AS96" i="5"/>
  <c r="AP96" i="5"/>
  <c r="AM96" i="5"/>
  <c r="AJ96" i="5"/>
  <c r="AF96" i="5"/>
  <c r="AC96" i="5"/>
  <c r="Z96" i="5"/>
  <c r="W96" i="5"/>
  <c r="T96" i="5"/>
  <c r="Q96" i="5"/>
  <c r="N96" i="5"/>
  <c r="K96" i="5"/>
  <c r="AS95" i="5"/>
  <c r="AP95" i="5"/>
  <c r="AM95" i="5"/>
  <c r="AJ95" i="5"/>
  <c r="AF95" i="5"/>
  <c r="AC95" i="5"/>
  <c r="Z95" i="5"/>
  <c r="W95" i="5"/>
  <c r="T95" i="5"/>
  <c r="Q95" i="5"/>
  <c r="N95" i="5"/>
  <c r="K95" i="5"/>
  <c r="AS94" i="5"/>
  <c r="AP94" i="5"/>
  <c r="AM94" i="5"/>
  <c r="AJ94" i="5"/>
  <c r="AF94" i="5"/>
  <c r="AC94" i="5"/>
  <c r="Z94" i="5"/>
  <c r="W94" i="5"/>
  <c r="T94" i="5"/>
  <c r="Q94" i="5"/>
  <c r="N94" i="5"/>
  <c r="BI93" i="5"/>
  <c r="AS93" i="5"/>
  <c r="AP93" i="5"/>
  <c r="AM93" i="5"/>
  <c r="AJ93" i="5"/>
  <c r="AF93" i="5"/>
  <c r="AC93" i="5"/>
  <c r="Z93" i="5"/>
  <c r="W93" i="5"/>
  <c r="T93" i="5"/>
  <c r="Q93" i="5"/>
  <c r="N93" i="5"/>
  <c r="BI92" i="5"/>
  <c r="AS92" i="5"/>
  <c r="AP92" i="5"/>
  <c r="AC92" i="5"/>
  <c r="N92" i="5"/>
  <c r="AJ92" i="5"/>
  <c r="AS91" i="5"/>
  <c r="AP91" i="5"/>
  <c r="AC91" i="5"/>
  <c r="Z91" i="5"/>
  <c r="Q91" i="5"/>
  <c r="N91" i="5"/>
  <c r="AJ91" i="5"/>
  <c r="AS90" i="5"/>
  <c r="AP90" i="5"/>
  <c r="AM90" i="5"/>
  <c r="AC90" i="5"/>
  <c r="Z90" i="5"/>
  <c r="T90" i="5"/>
  <c r="Q90" i="5"/>
  <c r="N90" i="5"/>
  <c r="K90" i="5"/>
  <c r="BI89" i="5"/>
  <c r="AS89" i="5"/>
  <c r="AP89" i="5"/>
  <c r="AM89" i="5"/>
  <c r="AC89" i="5"/>
  <c r="Z89" i="5"/>
  <c r="W89" i="5"/>
  <c r="Q89" i="5"/>
  <c r="N89" i="5"/>
  <c r="AJ89" i="5"/>
  <c r="BI88" i="5"/>
  <c r="AP88" i="5"/>
  <c r="AM88" i="5"/>
  <c r="Z88" i="5"/>
  <c r="W88" i="5"/>
  <c r="N88" i="5"/>
  <c r="AJ88" i="5"/>
  <c r="AP87" i="5"/>
  <c r="AM87" i="5"/>
  <c r="Z87" i="5"/>
  <c r="W87" i="5"/>
  <c r="N87" i="5"/>
  <c r="AJ87" i="5"/>
  <c r="BI86" i="5"/>
  <c r="K95" i="4"/>
  <c r="AP86" i="5"/>
  <c r="AM86" i="5"/>
  <c r="Z86" i="5"/>
  <c r="W86" i="5"/>
  <c r="N86" i="5"/>
  <c r="AJ86" i="5"/>
  <c r="BI85" i="5"/>
  <c r="BF85" i="5"/>
  <c r="K94" i="4" s="1"/>
  <c r="AP85" i="5"/>
  <c r="AM85" i="5"/>
  <c r="Z85" i="5"/>
  <c r="W85" i="5"/>
  <c r="N85" i="5"/>
  <c r="AJ85" i="5"/>
  <c r="BI84" i="5"/>
  <c r="AP84" i="5"/>
  <c r="AM84" i="5"/>
  <c r="Z84" i="5"/>
  <c r="W84" i="5"/>
  <c r="N84" i="5"/>
  <c r="AJ84" i="5"/>
  <c r="AP83" i="5"/>
  <c r="AM83" i="5"/>
  <c r="Z83" i="5"/>
  <c r="W83" i="5"/>
  <c r="N83" i="5"/>
  <c r="AJ83" i="5"/>
  <c r="BI82" i="5"/>
  <c r="AP82" i="5"/>
  <c r="AM82" i="5"/>
  <c r="Z82" i="5"/>
  <c r="W82" i="5"/>
  <c r="N82" i="5"/>
  <c r="AJ82" i="5"/>
  <c r="BI81" i="5"/>
  <c r="AP81" i="5"/>
  <c r="AM81" i="5"/>
  <c r="Z81" i="5"/>
  <c r="W81" i="5"/>
  <c r="N81" i="5"/>
  <c r="AJ81" i="5"/>
  <c r="BI80" i="5"/>
  <c r="BF80" i="5"/>
  <c r="K89" i="4" s="1"/>
  <c r="AP80" i="5"/>
  <c r="AM80" i="5"/>
  <c r="Z80" i="5"/>
  <c r="W80" i="5"/>
  <c r="N80" i="5"/>
  <c r="AJ80" i="5"/>
  <c r="AP79" i="5"/>
  <c r="AM79" i="5"/>
  <c r="Z79" i="5"/>
  <c r="W79" i="5"/>
  <c r="N79" i="5"/>
  <c r="AJ79" i="5"/>
  <c r="BI78" i="5"/>
  <c r="AP78" i="5"/>
  <c r="AM78" i="5"/>
  <c r="Z78" i="5"/>
  <c r="W78" i="5"/>
  <c r="N78" i="5"/>
  <c r="AJ78" i="5"/>
  <c r="BI77" i="5"/>
  <c r="AP77" i="5"/>
  <c r="AM77" i="5"/>
  <c r="Z77" i="5"/>
  <c r="W77" i="5"/>
  <c r="N77" i="5"/>
  <c r="AJ77" i="5"/>
  <c r="BI76" i="5"/>
  <c r="AP76" i="5"/>
  <c r="AM76" i="5"/>
  <c r="Z76" i="5"/>
  <c r="W76" i="5"/>
  <c r="N76" i="5"/>
  <c r="AJ76" i="5"/>
  <c r="AP75" i="5"/>
  <c r="AM75" i="5"/>
  <c r="Z75" i="5"/>
  <c r="W75" i="5"/>
  <c r="N75" i="5"/>
  <c r="AJ75" i="5"/>
  <c r="BI74" i="5"/>
  <c r="AP74" i="5"/>
  <c r="AM74" i="5"/>
  <c r="AJ74" i="5"/>
  <c r="AF74" i="5"/>
  <c r="Z74" i="5"/>
  <c r="W74" i="5"/>
  <c r="T74" i="5"/>
  <c r="N74" i="5"/>
  <c r="K74" i="5"/>
  <c r="BI73" i="5"/>
  <c r="AP73" i="5"/>
  <c r="AM73" i="5"/>
  <c r="AJ73" i="5"/>
  <c r="AF73" i="5"/>
  <c r="Z73" i="5"/>
  <c r="W73" i="5"/>
  <c r="T73" i="5"/>
  <c r="N73" i="5"/>
  <c r="K73" i="5"/>
  <c r="BI72" i="5"/>
  <c r="AP72" i="5"/>
  <c r="AM72" i="5"/>
  <c r="AJ72" i="5"/>
  <c r="AF72" i="5"/>
  <c r="Z72" i="5"/>
  <c r="W72" i="5"/>
  <c r="T72" i="5"/>
  <c r="N72" i="5"/>
  <c r="K72" i="5"/>
  <c r="AP71" i="5"/>
  <c r="AM71" i="5"/>
  <c r="AJ71" i="5"/>
  <c r="AF71" i="5"/>
  <c r="Z71" i="5"/>
  <c r="W71" i="5"/>
  <c r="T71" i="5"/>
  <c r="N71" i="5"/>
  <c r="K71" i="5"/>
  <c r="BF70" i="5"/>
  <c r="K79" i="4" s="1"/>
  <c r="AP70" i="5"/>
  <c r="AM70" i="5"/>
  <c r="AJ70" i="5"/>
  <c r="AF70" i="5"/>
  <c r="Z70" i="5"/>
  <c r="W70" i="5"/>
  <c r="T70" i="5"/>
  <c r="N70" i="5"/>
  <c r="K70" i="5"/>
  <c r="BI69" i="5"/>
  <c r="AP69" i="5"/>
  <c r="AM69" i="5"/>
  <c r="AJ69" i="5"/>
  <c r="AF69" i="5"/>
  <c r="Z69" i="5"/>
  <c r="W69" i="5"/>
  <c r="T69" i="5"/>
  <c r="N69" i="5"/>
  <c r="K69" i="5"/>
  <c r="BI68" i="5"/>
  <c r="AP68" i="5"/>
  <c r="T68" i="5"/>
  <c r="AJ67" i="5"/>
  <c r="T67" i="5"/>
  <c r="BI66" i="5"/>
  <c r="AJ66" i="5"/>
  <c r="T66" i="5"/>
  <c r="BI65" i="5"/>
  <c r="AJ65" i="5"/>
  <c r="T65" i="5"/>
  <c r="BI64" i="5"/>
  <c r="AJ64" i="5"/>
  <c r="T64" i="5"/>
  <c r="BI63" i="5"/>
  <c r="AJ63" i="5"/>
  <c r="T63" i="5"/>
  <c r="AM62" i="5"/>
  <c r="AF62" i="5"/>
  <c r="Z62" i="5"/>
  <c r="T62" i="5"/>
  <c r="N62" i="5"/>
  <c r="AS62" i="5"/>
  <c r="BI61" i="5"/>
  <c r="AS61" i="5"/>
  <c r="AP61" i="5"/>
  <c r="AC61" i="5"/>
  <c r="Z61" i="5"/>
  <c r="W61" i="5"/>
  <c r="Q61" i="5"/>
  <c r="N61" i="5"/>
  <c r="BI60" i="5"/>
  <c r="AP60" i="5"/>
  <c r="AM60" i="5"/>
  <c r="AJ60" i="5"/>
  <c r="AF60" i="5"/>
  <c r="Z60" i="5"/>
  <c r="W60" i="5"/>
  <c r="Q60" i="5"/>
  <c r="N60" i="5"/>
  <c r="K60" i="5"/>
  <c r="AS60" i="5"/>
  <c r="BI59" i="5"/>
  <c r="AS59" i="5"/>
  <c r="AM59" i="5"/>
  <c r="AJ59" i="5"/>
  <c r="AF59" i="5"/>
  <c r="AC59" i="5"/>
  <c r="W59" i="5"/>
  <c r="T59" i="5"/>
  <c r="Q59" i="5"/>
  <c r="N59" i="5"/>
  <c r="K59" i="5"/>
  <c r="H59" i="5"/>
  <c r="H68" i="4"/>
  <c r="AP59" i="5"/>
  <c r="AS58" i="5"/>
  <c r="AP58" i="5"/>
  <c r="AM58" i="5"/>
  <c r="AJ58" i="5"/>
  <c r="AF58" i="5"/>
  <c r="AC58" i="5"/>
  <c r="Z58" i="5"/>
  <c r="W58" i="5"/>
  <c r="T58" i="5"/>
  <c r="Q58" i="5"/>
  <c r="N58" i="5"/>
  <c r="K58" i="5"/>
  <c r="H58" i="5"/>
  <c r="H67" i="4" s="1"/>
  <c r="BI57" i="5"/>
  <c r="AS57" i="5"/>
  <c r="AP57" i="5"/>
  <c r="AM57" i="5"/>
  <c r="AJ57" i="5"/>
  <c r="AF57" i="5"/>
  <c r="AC57" i="5"/>
  <c r="Z57" i="5"/>
  <c r="W57" i="5"/>
  <c r="T57" i="5"/>
  <c r="Q57" i="5"/>
  <c r="N57" i="5"/>
  <c r="K57" i="5"/>
  <c r="BI56" i="5"/>
  <c r="AS56" i="5"/>
  <c r="AP56" i="5"/>
  <c r="AM56" i="5"/>
  <c r="AJ56" i="5"/>
  <c r="AF56" i="5"/>
  <c r="AC56" i="5"/>
  <c r="Z56" i="5"/>
  <c r="W56" i="5"/>
  <c r="T56" i="5"/>
  <c r="Q56" i="5"/>
  <c r="N56" i="5"/>
  <c r="K56" i="5"/>
  <c r="AS55" i="5"/>
  <c r="AP55" i="5"/>
  <c r="AM55" i="5"/>
  <c r="AJ55" i="5"/>
  <c r="AF55" i="5"/>
  <c r="AC55" i="5"/>
  <c r="Z55" i="5"/>
  <c r="W55" i="5"/>
  <c r="T55" i="5"/>
  <c r="Q55" i="5"/>
  <c r="K55" i="5"/>
  <c r="H55" i="5"/>
  <c r="N55" i="5"/>
  <c r="AS54" i="5"/>
  <c r="AM54" i="5"/>
  <c r="AJ54" i="5"/>
  <c r="AF54" i="5"/>
  <c r="AC54" i="5"/>
  <c r="W54" i="5"/>
  <c r="T54" i="5"/>
  <c r="Q54" i="5"/>
  <c r="K54" i="5"/>
  <c r="H54" i="5"/>
  <c r="H63" i="4" s="1"/>
  <c r="AP54" i="5"/>
  <c r="BI53" i="5"/>
  <c r="AS53" i="5"/>
  <c r="AM53" i="5"/>
  <c r="AJ53" i="5"/>
  <c r="AF53" i="5"/>
  <c r="AC53" i="5"/>
  <c r="W53" i="5"/>
  <c r="T53" i="5"/>
  <c r="Q53" i="5"/>
  <c r="K53" i="5"/>
  <c r="AP53" i="5"/>
  <c r="BI52" i="5"/>
  <c r="AS52" i="5"/>
  <c r="AP52" i="5"/>
  <c r="AM52" i="5"/>
  <c r="AJ52" i="5"/>
  <c r="AF52" i="5"/>
  <c r="AC52" i="5"/>
  <c r="Z52" i="5"/>
  <c r="W52" i="5"/>
  <c r="T52" i="5"/>
  <c r="Q52" i="5"/>
  <c r="N52" i="5"/>
  <c r="K52" i="5"/>
  <c r="AS51" i="5"/>
  <c r="AP51" i="5"/>
  <c r="AM51" i="5"/>
  <c r="AJ51" i="5"/>
  <c r="AF51" i="5"/>
  <c r="AC51" i="5"/>
  <c r="Z51" i="5"/>
  <c r="W51" i="5"/>
  <c r="T51" i="5"/>
  <c r="Q51" i="5"/>
  <c r="N51" i="5"/>
  <c r="K51" i="5"/>
  <c r="H51" i="5"/>
  <c r="H60" i="4"/>
  <c r="AS50" i="5"/>
  <c r="AP50" i="5"/>
  <c r="AM50" i="5"/>
  <c r="AJ50" i="5"/>
  <c r="AF50" i="5"/>
  <c r="AC50" i="5"/>
  <c r="Z50" i="5"/>
  <c r="W50" i="5"/>
  <c r="T50" i="5"/>
  <c r="Q50" i="5"/>
  <c r="N50" i="5"/>
  <c r="K50" i="5"/>
  <c r="H50" i="5"/>
  <c r="H59" i="4" s="1"/>
  <c r="BI49" i="5"/>
  <c r="AS49" i="5"/>
  <c r="AP49" i="5"/>
  <c r="AM49" i="5"/>
  <c r="AJ49" i="5"/>
  <c r="AF49" i="5"/>
  <c r="AC49" i="5"/>
  <c r="Z49" i="5"/>
  <c r="W49" i="5"/>
  <c r="T49" i="5"/>
  <c r="Q49" i="5"/>
  <c r="N49" i="5"/>
  <c r="K49" i="5"/>
  <c r="BI48" i="5"/>
  <c r="AS48" i="5"/>
  <c r="AP48" i="5"/>
  <c r="AM48" i="5"/>
  <c r="AJ48" i="5"/>
  <c r="AF48" i="5"/>
  <c r="AC48" i="5"/>
  <c r="Z48" i="5"/>
  <c r="W48" i="5"/>
  <c r="T48" i="5"/>
  <c r="Q48" i="5"/>
  <c r="N48" i="5"/>
  <c r="K48" i="5"/>
  <c r="H48" i="5"/>
  <c r="H57" i="4" s="1"/>
  <c r="BF47" i="5"/>
  <c r="K56" i="4" s="1"/>
  <c r="AS47" i="5"/>
  <c r="AP47" i="5"/>
  <c r="AM47" i="5"/>
  <c r="AJ47" i="5"/>
  <c r="AF47" i="5"/>
  <c r="AC47" i="5"/>
  <c r="Z47" i="5"/>
  <c r="W47" i="5"/>
  <c r="T47" i="5"/>
  <c r="Q47" i="5"/>
  <c r="N47" i="5"/>
  <c r="K47" i="5"/>
  <c r="H47" i="5"/>
  <c r="H56" i="4" s="1"/>
  <c r="AS46" i="5"/>
  <c r="AP46" i="5"/>
  <c r="AM46" i="5"/>
  <c r="AJ46" i="5"/>
  <c r="AF46" i="5"/>
  <c r="AC46" i="5"/>
  <c r="Z46" i="5"/>
  <c r="W46" i="5"/>
  <c r="T46" i="5"/>
  <c r="Q46" i="5"/>
  <c r="N46" i="5"/>
  <c r="K46" i="5"/>
  <c r="H46" i="5"/>
  <c r="H55" i="4" s="1"/>
  <c r="BI45" i="5"/>
  <c r="AP45" i="5"/>
  <c r="AM45" i="5"/>
  <c r="AJ45" i="5"/>
  <c r="AF45" i="5"/>
  <c r="Z45" i="5"/>
  <c r="W45" i="5"/>
  <c r="T45" i="5"/>
  <c r="N45" i="5"/>
  <c r="K45" i="5"/>
  <c r="AS45" i="5"/>
  <c r="BI44" i="5"/>
  <c r="AP44" i="5"/>
  <c r="AM44" i="5"/>
  <c r="AJ44" i="5"/>
  <c r="AF44" i="5"/>
  <c r="Z44" i="5"/>
  <c r="W44" i="5"/>
  <c r="T44" i="5"/>
  <c r="N44" i="5"/>
  <c r="K44" i="5"/>
  <c r="H44" i="5"/>
  <c r="AS44" i="5"/>
  <c r="AP43" i="5"/>
  <c r="AM43" i="5"/>
  <c r="AJ43" i="5"/>
  <c r="AF43" i="5"/>
  <c r="Z43" i="5"/>
  <c r="W43" i="5"/>
  <c r="T43" i="5"/>
  <c r="N43" i="5"/>
  <c r="K43" i="5"/>
  <c r="AS43" i="5"/>
  <c r="AP42" i="5"/>
  <c r="AM42" i="5"/>
  <c r="AJ42" i="5"/>
  <c r="AF42" i="5"/>
  <c r="Z42" i="5"/>
  <c r="W42" i="5"/>
  <c r="T42" i="5"/>
  <c r="N42" i="5"/>
  <c r="K42" i="5"/>
  <c r="AS42" i="5"/>
  <c r="BI41" i="5"/>
  <c r="AP41" i="5"/>
  <c r="AM41" i="5"/>
  <c r="AJ41" i="5"/>
  <c r="AF41" i="5"/>
  <c r="Z41" i="5"/>
  <c r="W41" i="5"/>
  <c r="T41" i="5"/>
  <c r="N41" i="5"/>
  <c r="K41" i="5"/>
  <c r="AS41" i="5"/>
  <c r="BI40" i="5"/>
  <c r="AP40" i="5"/>
  <c r="AM40" i="5"/>
  <c r="AJ40" i="5"/>
  <c r="AF40" i="5"/>
  <c r="Z40" i="5"/>
  <c r="W40" i="5"/>
  <c r="T40" i="5"/>
  <c r="N40" i="5"/>
  <c r="K40" i="5"/>
  <c r="AS40" i="5"/>
  <c r="BI39" i="5"/>
  <c r="AP39" i="5"/>
  <c r="AM39" i="5"/>
  <c r="AJ39" i="5"/>
  <c r="AF39" i="5"/>
  <c r="Z39" i="5"/>
  <c r="W39" i="5"/>
  <c r="T39" i="5"/>
  <c r="N39" i="5"/>
  <c r="K39" i="5"/>
  <c r="AS39" i="5"/>
  <c r="AP38" i="5"/>
  <c r="AM38" i="5"/>
  <c r="AJ38" i="5"/>
  <c r="AF38" i="5"/>
  <c r="Z38" i="5"/>
  <c r="W38" i="5"/>
  <c r="T38" i="5"/>
  <c r="N38" i="5"/>
  <c r="K38" i="5"/>
  <c r="AS38" i="5"/>
  <c r="BI37" i="5"/>
  <c r="AP37" i="5"/>
  <c r="AM37" i="5"/>
  <c r="AJ37" i="5"/>
  <c r="AF37" i="5"/>
  <c r="Z37" i="5"/>
  <c r="W37" i="5"/>
  <c r="T37" i="5"/>
  <c r="N37" i="5"/>
  <c r="K37" i="5"/>
  <c r="AS37" i="5"/>
  <c r="BI36" i="5"/>
  <c r="AP36" i="5"/>
  <c r="AM36" i="5"/>
  <c r="AJ36" i="5"/>
  <c r="AF36" i="5"/>
  <c r="Z36" i="5"/>
  <c r="W36" i="5"/>
  <c r="T36" i="5"/>
  <c r="N36" i="5"/>
  <c r="K36" i="5"/>
  <c r="H36" i="5"/>
  <c r="H45" i="4" s="1"/>
  <c r="AS36" i="5"/>
  <c r="AP35" i="5"/>
  <c r="AM35" i="5"/>
  <c r="AJ35" i="5"/>
  <c r="AF35" i="5"/>
  <c r="Z35" i="5"/>
  <c r="W35" i="5"/>
  <c r="T35" i="5"/>
  <c r="N35" i="5"/>
  <c r="K35" i="5"/>
  <c r="AS35" i="5"/>
  <c r="AP34" i="5"/>
  <c r="AM34" i="5"/>
  <c r="AJ34" i="5"/>
  <c r="AF34" i="5"/>
  <c r="Z34" i="5"/>
  <c r="W34" i="5"/>
  <c r="T34" i="5"/>
  <c r="N34" i="5"/>
  <c r="K34" i="5"/>
  <c r="AS34" i="5"/>
  <c r="BI33" i="5"/>
  <c r="BF33" i="5"/>
  <c r="K42" i="4" s="1"/>
  <c r="AP33" i="5"/>
  <c r="AM33" i="5"/>
  <c r="AJ33" i="5"/>
  <c r="AF33" i="5"/>
  <c r="Z33" i="5"/>
  <c r="W33" i="5"/>
  <c r="T33" i="5"/>
  <c r="N33" i="5"/>
  <c r="K33" i="5"/>
  <c r="AS33" i="5"/>
  <c r="BI32" i="5"/>
  <c r="AP32" i="5"/>
  <c r="AM32" i="5"/>
  <c r="AJ32" i="5"/>
  <c r="AF32" i="5"/>
  <c r="Z32" i="5"/>
  <c r="W32" i="5"/>
  <c r="T32" i="5"/>
  <c r="N32" i="5"/>
  <c r="K32" i="5"/>
  <c r="AS32" i="5"/>
  <c r="K40" i="4"/>
  <c r="AP31" i="5"/>
  <c r="AM31" i="5"/>
  <c r="AJ31" i="5"/>
  <c r="AF31" i="5"/>
  <c r="Z31" i="5"/>
  <c r="W31" i="5"/>
  <c r="T31" i="5"/>
  <c r="N31" i="5"/>
  <c r="K31" i="5"/>
  <c r="H31" i="5"/>
  <c r="AS31" i="5"/>
  <c r="AP30" i="5"/>
  <c r="AM30" i="5"/>
  <c r="AJ30" i="5"/>
  <c r="AF30" i="5"/>
  <c r="Z30" i="5"/>
  <c r="W30" i="5"/>
  <c r="T30" i="5"/>
  <c r="N30" i="5"/>
  <c r="K30" i="5"/>
  <c r="H30" i="5"/>
  <c r="H39" i="4" s="1"/>
  <c r="AS30" i="5"/>
  <c r="BI29" i="5"/>
  <c r="AM29" i="5"/>
  <c r="AJ29" i="5"/>
  <c r="AF29" i="5"/>
  <c r="Z29" i="5"/>
  <c r="W29" i="5"/>
  <c r="T29" i="5"/>
  <c r="N29" i="5"/>
  <c r="K29" i="5"/>
  <c r="BI28" i="5"/>
  <c r="AP28" i="5"/>
  <c r="AM28" i="5"/>
  <c r="AJ28" i="5"/>
  <c r="AF28" i="5"/>
  <c r="Z28" i="5"/>
  <c r="W28" i="5"/>
  <c r="T28" i="5"/>
  <c r="N28" i="5"/>
  <c r="K28" i="5"/>
  <c r="H28" i="5"/>
  <c r="H37" i="4" s="1"/>
  <c r="AS28" i="5"/>
  <c r="BI27" i="5"/>
  <c r="AP27" i="5"/>
  <c r="AM27" i="5"/>
  <c r="AJ27" i="5"/>
  <c r="AF27" i="5"/>
  <c r="Z27" i="5"/>
  <c r="W27" i="5"/>
  <c r="T27" i="5"/>
  <c r="N27" i="5"/>
  <c r="K27" i="5"/>
  <c r="AS27" i="5"/>
  <c r="AP26" i="5"/>
  <c r="AM26" i="5"/>
  <c r="AJ26" i="5"/>
  <c r="AF26" i="5"/>
  <c r="Z26" i="5"/>
  <c r="W26" i="5"/>
  <c r="T26" i="5"/>
  <c r="N26" i="5"/>
  <c r="K26" i="5"/>
  <c r="H26" i="5"/>
  <c r="H35" i="4" s="1"/>
  <c r="AS26" i="5"/>
  <c r="BI25" i="5"/>
  <c r="AM25" i="5"/>
  <c r="AF25" i="5"/>
  <c r="Z25" i="5"/>
  <c r="T25" i="5"/>
  <c r="N25" i="5"/>
  <c r="AS25" i="5"/>
  <c r="BI24" i="5"/>
  <c r="AS24" i="5"/>
  <c r="AM24" i="5"/>
  <c r="AF24" i="5"/>
  <c r="Z24" i="5"/>
  <c r="T24" i="5"/>
  <c r="N24" i="5"/>
  <c r="G33" i="4"/>
  <c r="AC24" i="5"/>
  <c r="AS23" i="5"/>
  <c r="AM23" i="5"/>
  <c r="AF23" i="5"/>
  <c r="Z23" i="5"/>
  <c r="T23" i="5"/>
  <c r="N23" i="5"/>
  <c r="AC23" i="5"/>
  <c r="Z22" i="5"/>
  <c r="W22" i="5"/>
  <c r="N22" i="5"/>
  <c r="Q22" i="5"/>
  <c r="BI21" i="5"/>
  <c r="BF21" i="5"/>
  <c r="K30" i="4" s="1"/>
  <c r="AS21" i="5"/>
  <c r="AP21" i="5"/>
  <c r="AM21" i="5"/>
  <c r="AJ21" i="5"/>
  <c r="Z21" i="5"/>
  <c r="W21" i="5"/>
  <c r="N21" i="5"/>
  <c r="K21" i="5"/>
  <c r="F30" i="4"/>
  <c r="AC21" i="5"/>
  <c r="BI20" i="5"/>
  <c r="AP20" i="5"/>
  <c r="Z20" i="5"/>
  <c r="W20" i="5"/>
  <c r="AP19" i="5"/>
  <c r="AM19" i="5"/>
  <c r="AF19" i="5"/>
  <c r="Z19" i="5"/>
  <c r="W19" i="5"/>
  <c r="Q19" i="5"/>
  <c r="N19" i="5"/>
  <c r="AS19" i="5"/>
  <c r="BI18" i="5"/>
  <c r="Z18" i="5"/>
  <c r="W18" i="5"/>
  <c r="N18" i="5"/>
  <c r="AP18" i="5"/>
  <c r="BI17" i="5"/>
  <c r="AS17" i="5"/>
  <c r="AP17" i="5"/>
  <c r="AM17" i="5"/>
  <c r="AJ17" i="5"/>
  <c r="AF17" i="5"/>
  <c r="AC17" i="5"/>
  <c r="Z17" i="5"/>
  <c r="W17" i="5"/>
  <c r="T17" i="5"/>
  <c r="Q17" i="5"/>
  <c r="N17" i="5"/>
  <c r="K17" i="5"/>
  <c r="BI16" i="5"/>
  <c r="AS16" i="5"/>
  <c r="AP16" i="5"/>
  <c r="AM16" i="5"/>
  <c r="AC16" i="5"/>
  <c r="Z16" i="5"/>
  <c r="W16" i="5"/>
  <c r="Q16" i="5"/>
  <c r="N16" i="5"/>
  <c r="AJ16" i="5"/>
  <c r="BI15" i="5"/>
  <c r="AP15" i="5"/>
  <c r="AM15" i="5"/>
  <c r="Z15" i="5"/>
  <c r="W15" i="5"/>
  <c r="N15" i="5"/>
  <c r="F24" i="4"/>
  <c r="AS15" i="5"/>
  <c r="BI14" i="5"/>
  <c r="K23" i="4"/>
  <c r="AP14" i="5"/>
  <c r="AM14" i="5"/>
  <c r="Z14" i="5"/>
  <c r="W14" i="5"/>
  <c r="N14" i="5"/>
  <c r="AS14" i="5"/>
  <c r="BI13" i="5"/>
  <c r="K22" i="4"/>
  <c r="AP13" i="5"/>
  <c r="AM13" i="5"/>
  <c r="AJ13" i="5"/>
  <c r="AF13" i="5"/>
  <c r="Z13" i="5"/>
  <c r="W13" i="5"/>
  <c r="T13" i="5"/>
  <c r="N13" i="5"/>
  <c r="AS13" i="5"/>
  <c r="BI12" i="5"/>
  <c r="AP12" i="5"/>
  <c r="AM12" i="5"/>
  <c r="AJ12" i="5"/>
  <c r="AF12" i="5"/>
  <c r="Z12" i="5"/>
  <c r="W12" i="5"/>
  <c r="T12" i="5"/>
  <c r="N12" i="5"/>
  <c r="AS12" i="5"/>
  <c r="AP11" i="5"/>
  <c r="AM11" i="5"/>
  <c r="AJ11" i="5"/>
  <c r="AF11" i="5"/>
  <c r="Z11" i="5"/>
  <c r="W11" i="5"/>
  <c r="T11" i="5"/>
  <c r="N11" i="5"/>
  <c r="F20" i="4"/>
  <c r="AS11" i="5"/>
  <c r="AP10" i="5"/>
  <c r="AM10" i="5"/>
  <c r="AJ10" i="5"/>
  <c r="AF10" i="5"/>
  <c r="Z10" i="5"/>
  <c r="W10" i="5"/>
  <c r="T10" i="5"/>
  <c r="N10" i="5"/>
  <c r="AS10" i="5"/>
  <c r="BQ8" i="5"/>
  <c r="BI9" i="5"/>
  <c r="AW8" i="5"/>
  <c r="AP9" i="5"/>
  <c r="AO8" i="5"/>
  <c r="AL8" i="5"/>
  <c r="AJ9" i="5"/>
  <c r="AF9" i="5"/>
  <c r="Z9" i="5"/>
  <c r="Y8" i="5"/>
  <c r="V8" i="5"/>
  <c r="T9" i="5"/>
  <c r="N9" i="5"/>
  <c r="M8" i="5"/>
  <c r="J8" i="5"/>
  <c r="F8" i="5"/>
  <c r="AS9" i="5"/>
  <c r="AR8" i="5"/>
  <c r="AB8" i="5"/>
  <c r="P8" i="5"/>
  <c r="F168" i="4"/>
  <c r="F167" i="4"/>
  <c r="F166" i="4"/>
  <c r="F165" i="4"/>
  <c r="F164" i="4"/>
  <c r="F163" i="4"/>
  <c r="F162" i="4"/>
  <c r="G161" i="4"/>
  <c r="F161" i="4"/>
  <c r="G160" i="4"/>
  <c r="F160" i="4"/>
  <c r="G159" i="4"/>
  <c r="F159" i="4"/>
  <c r="F158" i="4"/>
  <c r="F157" i="4"/>
  <c r="F156" i="4"/>
  <c r="G155"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G68" i="4"/>
  <c r="F68" i="4"/>
  <c r="G67" i="4"/>
  <c r="F67" i="4"/>
  <c r="F66" i="4"/>
  <c r="F65" i="4"/>
  <c r="G64" i="4"/>
  <c r="F64" i="4"/>
  <c r="G63" i="4"/>
  <c r="F63" i="4"/>
  <c r="F62" i="4"/>
  <c r="G61" i="4"/>
  <c r="F61" i="4"/>
  <c r="G60" i="4"/>
  <c r="F60" i="4"/>
  <c r="G59" i="4"/>
  <c r="F59" i="4"/>
  <c r="F58" i="4"/>
  <c r="G57" i="4"/>
  <c r="F57" i="4"/>
  <c r="G56" i="4"/>
  <c r="F56" i="4"/>
  <c r="G55" i="4"/>
  <c r="F55" i="4"/>
  <c r="F54" i="4"/>
  <c r="H53" i="4"/>
  <c r="G53" i="4"/>
  <c r="F53" i="4"/>
  <c r="G52" i="4"/>
  <c r="F52" i="4"/>
  <c r="F51" i="4"/>
  <c r="F50" i="4"/>
  <c r="H49" i="4"/>
  <c r="G49" i="4"/>
  <c r="F49" i="4"/>
  <c r="G48" i="4"/>
  <c r="F48" i="4"/>
  <c r="F47" i="4"/>
  <c r="F46" i="4"/>
  <c r="G45" i="4"/>
  <c r="F45" i="4"/>
  <c r="F44" i="4"/>
  <c r="G43" i="4"/>
  <c r="F43" i="4"/>
  <c r="F42" i="4"/>
  <c r="F41" i="4"/>
  <c r="H40" i="4"/>
  <c r="G40" i="4"/>
  <c r="F40" i="4"/>
  <c r="F39" i="4"/>
  <c r="F38" i="4"/>
  <c r="G37" i="4"/>
  <c r="F37" i="4"/>
  <c r="G36" i="4"/>
  <c r="F36" i="4"/>
  <c r="F35" i="4"/>
  <c r="F34" i="4"/>
  <c r="F33" i="4"/>
  <c r="F32" i="4"/>
  <c r="F31" i="4"/>
  <c r="F29" i="4"/>
  <c r="F28" i="4"/>
  <c r="F27" i="4"/>
  <c r="F23" i="4"/>
  <c r="F19" i="4"/>
  <c r="F118" i="6"/>
  <c r="M30" i="6"/>
  <c r="M32" i="6"/>
  <c r="M29" i="6"/>
  <c r="F126" i="6"/>
  <c r="B4" i="6"/>
  <c r="H35" i="6"/>
  <c r="BH95" i="5"/>
  <c r="J104" i="4" s="1"/>
  <c r="I104" i="4"/>
  <c r="Q10" i="9"/>
  <c r="BG10" i="5" s="1"/>
  <c r="BH10" i="5" s="1"/>
  <c r="J19" i="4" s="1"/>
  <c r="Q16" i="9"/>
  <c r="BG16" i="5" s="1"/>
  <c r="BH16" i="5" s="1"/>
  <c r="J25" i="4" s="1"/>
  <c r="Q18" i="9"/>
  <c r="BG18" i="5" s="1"/>
  <c r="Q24" i="9"/>
  <c r="BG24" i="5" s="1"/>
  <c r="Q26" i="9"/>
  <c r="BG26" i="5" s="1"/>
  <c r="BG30" i="5"/>
  <c r="Q32" i="9"/>
  <c r="BG32" i="5" s="1"/>
  <c r="BH32" i="5" s="1"/>
  <c r="J41" i="4" s="1"/>
  <c r="BG36" i="5"/>
  <c r="Q38" i="9"/>
  <c r="BG38" i="5" s="1"/>
  <c r="BG42" i="5"/>
  <c r="Q44" i="9"/>
  <c r="BG44" i="5" s="1"/>
  <c r="Q46" i="9"/>
  <c r="BG46" i="5" s="1"/>
  <c r="Q122" i="9"/>
  <c r="BG122" i="5" s="1"/>
  <c r="Q131" i="9"/>
  <c r="BG131" i="5" s="1"/>
  <c r="Q133" i="9"/>
  <c r="BG133" i="5" s="1"/>
  <c r="Q135" i="9"/>
  <c r="BG135" i="5" s="1"/>
  <c r="Q137" i="9"/>
  <c r="BG137" i="5" s="1"/>
  <c r="Q139" i="9"/>
  <c r="BG139" i="5" s="1"/>
  <c r="Q141" i="9"/>
  <c r="BG141" i="5" s="1"/>
  <c r="BH141" i="5" s="1"/>
  <c r="J150" i="4" s="1"/>
  <c r="Q143" i="9"/>
  <c r="BG143" i="5" s="1"/>
  <c r="BH143" i="5" s="1"/>
  <c r="J152" i="4" s="1"/>
  <c r="Q145" i="9"/>
  <c r="BG145" i="5" s="1"/>
  <c r="Q147" i="9"/>
  <c r="BG147" i="5" s="1"/>
  <c r="Q149" i="9"/>
  <c r="BG149" i="5" s="1"/>
  <c r="I158" i="4" s="1"/>
  <c r="Q151" i="9"/>
  <c r="BG151" i="5" s="1"/>
  <c r="Q153" i="9"/>
  <c r="BG153" i="5"/>
  <c r="BH153" i="5" s="1"/>
  <c r="J162" i="4" s="1"/>
  <c r="Q155" i="9"/>
  <c r="BG155" i="5" s="1"/>
  <c r="Q157" i="9"/>
  <c r="BG157" i="5" s="1"/>
  <c r="H37" i="5"/>
  <c r="H46" i="4" s="1"/>
  <c r="T18" i="5"/>
  <c r="AC18" i="5"/>
  <c r="AM18" i="5"/>
  <c r="AC20" i="5"/>
  <c r="AM20" i="5"/>
  <c r="F18" i="4"/>
  <c r="F22" i="4"/>
  <c r="F26" i="4"/>
  <c r="H52" i="4"/>
  <c r="H64" i="4"/>
  <c r="G18" i="4"/>
  <c r="K9" i="5"/>
  <c r="W9" i="5"/>
  <c r="AM9" i="5"/>
  <c r="K10" i="5"/>
  <c r="K11" i="5"/>
  <c r="G21" i="4"/>
  <c r="K12" i="5"/>
  <c r="G22" i="4"/>
  <c r="K13" i="5"/>
  <c r="K14" i="5"/>
  <c r="G24" i="4"/>
  <c r="K15" i="5"/>
  <c r="G25" i="4"/>
  <c r="K16" i="5"/>
  <c r="G26" i="4"/>
  <c r="K18" i="5"/>
  <c r="AJ18" i="5"/>
  <c r="AS18" i="5"/>
  <c r="K20" i="5"/>
  <c r="AJ20" i="5"/>
  <c r="AS20" i="5"/>
  <c r="G30" i="4"/>
  <c r="Q21" i="5"/>
  <c r="AF21" i="5"/>
  <c r="T22" i="5"/>
  <c r="AC22" i="5"/>
  <c r="AM22" i="5"/>
  <c r="AS22" i="5"/>
  <c r="F21" i="4"/>
  <c r="F25" i="4"/>
  <c r="H9" i="5"/>
  <c r="H18" i="4" s="1"/>
  <c r="H11" i="5"/>
  <c r="T14" i="5"/>
  <c r="AF14" i="5"/>
  <c r="AJ14" i="5"/>
  <c r="H15" i="5"/>
  <c r="H24" i="4" s="1"/>
  <c r="T15" i="5"/>
  <c r="AF15" i="5"/>
  <c r="AJ15" i="5"/>
  <c r="T16" i="5"/>
  <c r="AF16" i="5"/>
  <c r="Q18" i="5"/>
  <c r="AF18" i="5"/>
  <c r="T19" i="5"/>
  <c r="AC19" i="5"/>
  <c r="G29" i="4"/>
  <c r="Q20" i="5"/>
  <c r="AF20" i="5"/>
  <c r="K22" i="5"/>
  <c r="AJ22" i="5"/>
  <c r="AP22" i="5"/>
  <c r="AJ23" i="5"/>
  <c r="AP23" i="5"/>
  <c r="AJ24" i="5"/>
  <c r="AP24" i="5"/>
  <c r="AJ25" i="5"/>
  <c r="AP25" i="5"/>
  <c r="E25" i="3"/>
  <c r="T20" i="5"/>
  <c r="H21" i="5"/>
  <c r="H30" i="4" s="1"/>
  <c r="S8" i="5"/>
  <c r="AE8" i="5"/>
  <c r="AI8" i="5"/>
  <c r="Q9" i="5"/>
  <c r="AC9" i="5"/>
  <c r="Q10" i="5"/>
  <c r="AC10" i="5"/>
  <c r="Q11" i="5"/>
  <c r="AC11" i="5"/>
  <c r="Q12" i="5"/>
  <c r="AC12" i="5"/>
  <c r="Q13" i="5"/>
  <c r="AC13" i="5"/>
  <c r="Q14" i="5"/>
  <c r="AC14" i="5"/>
  <c r="Q15" i="5"/>
  <c r="AC15" i="5"/>
  <c r="H19" i="5"/>
  <c r="K19" i="5"/>
  <c r="AJ19" i="5"/>
  <c r="N20" i="5"/>
  <c r="T21" i="5"/>
  <c r="AF22" i="5"/>
  <c r="K23" i="5"/>
  <c r="Q23" i="5"/>
  <c r="W23" i="5"/>
  <c r="H24" i="5"/>
  <c r="K24" i="5"/>
  <c r="Q24" i="5"/>
  <c r="W24" i="5"/>
  <c r="H25" i="5"/>
  <c r="K25" i="5"/>
  <c r="Q25" i="5"/>
  <c r="W25" i="5"/>
  <c r="AC25" i="5"/>
  <c r="H27" i="5"/>
  <c r="H39" i="5"/>
  <c r="K61" i="5"/>
  <c r="AJ61" i="5"/>
  <c r="K63" i="5"/>
  <c r="G72" i="4"/>
  <c r="N63" i="5"/>
  <c r="AC63" i="5"/>
  <c r="K64" i="5"/>
  <c r="N64" i="5"/>
  <c r="AC64" i="5"/>
  <c r="K65" i="5"/>
  <c r="G74" i="4"/>
  <c r="N65" i="5"/>
  <c r="AC65" i="5"/>
  <c r="K66" i="5"/>
  <c r="G75" i="4"/>
  <c r="N66" i="5"/>
  <c r="AC66" i="5"/>
  <c r="K67" i="5"/>
  <c r="G76" i="4"/>
  <c r="N67" i="5"/>
  <c r="AC67" i="5"/>
  <c r="K68" i="5"/>
  <c r="AS68" i="5"/>
  <c r="AC68" i="5"/>
  <c r="N68" i="5"/>
  <c r="AF68" i="5"/>
  <c r="Q26" i="5"/>
  <c r="AC26" i="5"/>
  <c r="Q27" i="5"/>
  <c r="AC27" i="5"/>
  <c r="Q28" i="5"/>
  <c r="AC28" i="5"/>
  <c r="Q29" i="5"/>
  <c r="AC29" i="5"/>
  <c r="AS29" i="5"/>
  <c r="Q30" i="5"/>
  <c r="AC30" i="5"/>
  <c r="Q31" i="5"/>
  <c r="AC31" i="5"/>
  <c r="Q32" i="5"/>
  <c r="AC32" i="5"/>
  <c r="Q33" i="5"/>
  <c r="AC33" i="5"/>
  <c r="Q34" i="5"/>
  <c r="AC34" i="5"/>
  <c r="Q35" i="5"/>
  <c r="AC35" i="5"/>
  <c r="Q36" i="5"/>
  <c r="AC36" i="5"/>
  <c r="Q37" i="5"/>
  <c r="AC37" i="5"/>
  <c r="Q38" i="5"/>
  <c r="AC38" i="5"/>
  <c r="Q39" i="5"/>
  <c r="AC39" i="5"/>
  <c r="Q40" i="5"/>
  <c r="AC40" i="5"/>
  <c r="Q41" i="5"/>
  <c r="AC41" i="5"/>
  <c r="Q42" i="5"/>
  <c r="AC42" i="5"/>
  <c r="Q43" i="5"/>
  <c r="AC43" i="5"/>
  <c r="Q44" i="5"/>
  <c r="AC44" i="5"/>
  <c r="Q45" i="5"/>
  <c r="AC45" i="5"/>
  <c r="T60" i="5"/>
  <c r="AC60" i="5"/>
  <c r="T61" i="5"/>
  <c r="AF61" i="5"/>
  <c r="Q62" i="5"/>
  <c r="W62" i="5"/>
  <c r="AC62" i="5"/>
  <c r="H63" i="5"/>
  <c r="H72" i="4" s="1"/>
  <c r="W63" i="5"/>
  <c r="AF63" i="5"/>
  <c r="AM63" i="5"/>
  <c r="AS63" i="5"/>
  <c r="W64" i="5"/>
  <c r="AF64" i="5"/>
  <c r="AM64" i="5"/>
  <c r="AS64" i="5"/>
  <c r="W65" i="5"/>
  <c r="AF65" i="5"/>
  <c r="AM65" i="5"/>
  <c r="AS65" i="5"/>
  <c r="H66" i="5"/>
  <c r="H75" i="4" s="1"/>
  <c r="W66" i="5"/>
  <c r="AF66" i="5"/>
  <c r="AM66" i="5"/>
  <c r="AS66" i="5"/>
  <c r="H67" i="5"/>
  <c r="W67" i="5"/>
  <c r="AF67" i="5"/>
  <c r="AM67" i="5"/>
  <c r="AS67" i="5"/>
  <c r="W68" i="5"/>
  <c r="AJ68" i="5"/>
  <c r="F44" i="6"/>
  <c r="H150" i="6"/>
  <c r="AP29" i="5"/>
  <c r="M159" i="6"/>
  <c r="K178" i="6" s="1"/>
  <c r="N53" i="5"/>
  <c r="Z53" i="5"/>
  <c r="N54" i="5"/>
  <c r="Z54" i="5"/>
  <c r="Z59" i="5"/>
  <c r="AM61" i="5"/>
  <c r="K62" i="5"/>
  <c r="G71" i="4"/>
  <c r="AJ62" i="5"/>
  <c r="AP62" i="5"/>
  <c r="Q63" i="5"/>
  <c r="Z63" i="5"/>
  <c r="AP63" i="5"/>
  <c r="Q64" i="5"/>
  <c r="Z64" i="5"/>
  <c r="AP64" i="5"/>
  <c r="Q65" i="5"/>
  <c r="Z65" i="5"/>
  <c r="AP65" i="5"/>
  <c r="Q66" i="5"/>
  <c r="Z66" i="5"/>
  <c r="AP66" i="5"/>
  <c r="Q67" i="5"/>
  <c r="Z67" i="5"/>
  <c r="AP67" i="5"/>
  <c r="Q68" i="5"/>
  <c r="Z68" i="5"/>
  <c r="AM68" i="5"/>
  <c r="Q69" i="5"/>
  <c r="AC69" i="5"/>
  <c r="AS69" i="5"/>
  <c r="Q70" i="5"/>
  <c r="AC70" i="5"/>
  <c r="AS70" i="5"/>
  <c r="Q71" i="5"/>
  <c r="AC71" i="5"/>
  <c r="AS71" i="5"/>
  <c r="Q72" i="5"/>
  <c r="AC72" i="5"/>
  <c r="AS72" i="5"/>
  <c r="Q73" i="5"/>
  <c r="AC73" i="5"/>
  <c r="AS73" i="5"/>
  <c r="Q74" i="5"/>
  <c r="AC74" i="5"/>
  <c r="AS74" i="5"/>
  <c r="Q75" i="5"/>
  <c r="AC75" i="5"/>
  <c r="AS75" i="5"/>
  <c r="Q76" i="5"/>
  <c r="AC76" i="5"/>
  <c r="AS76" i="5"/>
  <c r="Q77" i="5"/>
  <c r="AC77" i="5"/>
  <c r="AS77" i="5"/>
  <c r="Q78" i="5"/>
  <c r="AC78" i="5"/>
  <c r="AS78" i="5"/>
  <c r="Q79" i="5"/>
  <c r="AC79" i="5"/>
  <c r="AS79" i="5"/>
  <c r="Q80" i="5"/>
  <c r="AC80" i="5"/>
  <c r="AS80" i="5"/>
  <c r="Q81" i="5"/>
  <c r="AC81" i="5"/>
  <c r="AS81" i="5"/>
  <c r="Q82" i="5"/>
  <c r="AC82" i="5"/>
  <c r="AS82" i="5"/>
  <c r="Q83" i="5"/>
  <c r="AC83" i="5"/>
  <c r="AS83" i="5"/>
  <c r="Q84" i="5"/>
  <c r="AC84" i="5"/>
  <c r="AS84" i="5"/>
  <c r="Q85" i="5"/>
  <c r="AC85" i="5"/>
  <c r="AS85" i="5"/>
  <c r="Q86" i="5"/>
  <c r="AC86" i="5"/>
  <c r="AS86" i="5"/>
  <c r="Q87" i="5"/>
  <c r="AC87" i="5"/>
  <c r="AS87" i="5"/>
  <c r="Q88" i="5"/>
  <c r="AC88" i="5"/>
  <c r="AS88" i="5"/>
  <c r="Q92" i="5"/>
  <c r="Z92" i="5"/>
  <c r="W90" i="5"/>
  <c r="AF90" i="5"/>
  <c r="AJ90" i="5"/>
  <c r="W91" i="5"/>
  <c r="AF91" i="5"/>
  <c r="W92" i="5"/>
  <c r="AF92" i="5"/>
  <c r="K93" i="5"/>
  <c r="K98" i="5"/>
  <c r="G78" i="4"/>
  <c r="G79" i="4"/>
  <c r="G80" i="4"/>
  <c r="G82" i="4"/>
  <c r="G83" i="4"/>
  <c r="G84" i="4"/>
  <c r="K75" i="5"/>
  <c r="K76" i="5"/>
  <c r="G86" i="4"/>
  <c r="K77" i="5"/>
  <c r="G87" i="4"/>
  <c r="K78" i="5"/>
  <c r="G88" i="4"/>
  <c r="K79" i="5"/>
  <c r="K80" i="5"/>
  <c r="G90" i="4"/>
  <c r="K81" i="5"/>
  <c r="K82" i="5"/>
  <c r="K83" i="5"/>
  <c r="K84" i="5"/>
  <c r="K85" i="5"/>
  <c r="K86" i="5"/>
  <c r="K87" i="5"/>
  <c r="K88" i="5"/>
  <c r="K89" i="5"/>
  <c r="K94" i="5"/>
  <c r="K97" i="5"/>
  <c r="T75" i="5"/>
  <c r="AF75" i="5"/>
  <c r="T76" i="5"/>
  <c r="AF76" i="5"/>
  <c r="T77" i="5"/>
  <c r="AF77" i="5"/>
  <c r="T78" i="5"/>
  <c r="AF78" i="5"/>
  <c r="T79" i="5"/>
  <c r="AF79" i="5"/>
  <c r="T80" i="5"/>
  <c r="AF80" i="5"/>
  <c r="T81" i="5"/>
  <c r="AF81" i="5"/>
  <c r="T82" i="5"/>
  <c r="AF82" i="5"/>
  <c r="T83" i="5"/>
  <c r="AF83" i="5"/>
  <c r="T84" i="5"/>
  <c r="AF84" i="5"/>
  <c r="T85" i="5"/>
  <c r="AF85" i="5"/>
  <c r="T86" i="5"/>
  <c r="AF86" i="5"/>
  <c r="T87" i="5"/>
  <c r="AF87" i="5"/>
  <c r="T88" i="5"/>
  <c r="AF88" i="5"/>
  <c r="T89" i="5"/>
  <c r="AF89" i="5"/>
  <c r="K91" i="5"/>
  <c r="G100" i="4"/>
  <c r="T91" i="5"/>
  <c r="AM91" i="5"/>
  <c r="K92" i="5"/>
  <c r="T92" i="5"/>
  <c r="AM92" i="5"/>
  <c r="K99" i="5"/>
  <c r="T99" i="5"/>
  <c r="AM99" i="5"/>
  <c r="K100" i="5"/>
  <c r="T100" i="5"/>
  <c r="AM100" i="5"/>
  <c r="K101" i="5"/>
  <c r="T101" i="5"/>
  <c r="AM101" i="5"/>
  <c r="K102" i="5"/>
  <c r="T102" i="5"/>
  <c r="AJ102" i="5"/>
  <c r="AP102" i="5"/>
  <c r="G104" i="4"/>
  <c r="G106" i="4"/>
  <c r="G107" i="4"/>
  <c r="AF102" i="5"/>
  <c r="K103" i="5"/>
  <c r="W103" i="5"/>
  <c r="W99" i="5"/>
  <c r="AF99" i="5"/>
  <c r="AJ99" i="5"/>
  <c r="AS99" i="5"/>
  <c r="W100" i="5"/>
  <c r="AF100" i="5"/>
  <c r="AJ100" i="5"/>
  <c r="AS100" i="5"/>
  <c r="W101" i="5"/>
  <c r="AF101" i="5"/>
  <c r="AJ101" i="5"/>
  <c r="AS101" i="5"/>
  <c r="W102" i="5"/>
  <c r="AM102" i="5"/>
  <c r="T103" i="5"/>
  <c r="Z103" i="5"/>
  <c r="AF103" i="5"/>
  <c r="K104" i="5"/>
  <c r="W104" i="5"/>
  <c r="AM122" i="5"/>
  <c r="K123" i="5"/>
  <c r="G132" i="4"/>
  <c r="T123" i="5"/>
  <c r="AM123" i="5"/>
  <c r="K124" i="5"/>
  <c r="T124" i="5"/>
  <c r="AM124" i="5"/>
  <c r="K125" i="5"/>
  <c r="G134" i="4"/>
  <c r="T125" i="5"/>
  <c r="AM125" i="5"/>
  <c r="K126" i="5"/>
  <c r="T126" i="5"/>
  <c r="AM126" i="5"/>
  <c r="K127" i="5"/>
  <c r="T127" i="5"/>
  <c r="AM127" i="5"/>
  <c r="K128" i="5"/>
  <c r="AP147" i="5"/>
  <c r="Q147" i="5"/>
  <c r="G156" i="4"/>
  <c r="AS147" i="5"/>
  <c r="K147" i="5"/>
  <c r="Z147" i="5"/>
  <c r="Z124" i="5"/>
  <c r="K122" i="5"/>
  <c r="AF122" i="5"/>
  <c r="W123" i="5"/>
  <c r="AF123" i="5"/>
  <c r="AJ123" i="5"/>
  <c r="W124" i="5"/>
  <c r="AF124" i="5"/>
  <c r="AJ124" i="5"/>
  <c r="W125" i="5"/>
  <c r="AF125" i="5"/>
  <c r="AJ125" i="5"/>
  <c r="W126" i="5"/>
  <c r="AF126" i="5"/>
  <c r="AJ126" i="5"/>
  <c r="W127" i="5"/>
  <c r="AF127" i="5"/>
  <c r="AJ127" i="5"/>
  <c r="T147" i="5"/>
  <c r="AC147" i="5"/>
  <c r="AJ156" i="5"/>
  <c r="AF156" i="5"/>
  <c r="T156" i="5"/>
  <c r="K156" i="5"/>
  <c r="AS156" i="5"/>
  <c r="AC156" i="5"/>
  <c r="Q156" i="5"/>
  <c r="AP156" i="5"/>
  <c r="H147" i="5"/>
  <c r="H156" i="4" s="1"/>
  <c r="AJ147" i="5"/>
  <c r="AM149" i="5"/>
  <c r="AS149" i="5"/>
  <c r="AP128" i="5"/>
  <c r="Z129" i="5"/>
  <c r="AP129" i="5"/>
  <c r="T146" i="5"/>
  <c r="AC146" i="5"/>
  <c r="AM146" i="5"/>
  <c r="AF147" i="5"/>
  <c r="T148" i="5"/>
  <c r="AC148" i="5"/>
  <c r="AM148" i="5"/>
  <c r="AS148" i="5"/>
  <c r="AJ149" i="5"/>
  <c r="AP149" i="5"/>
  <c r="H146" i="5"/>
  <c r="K146" i="5"/>
  <c r="AJ146" i="5"/>
  <c r="AJ148" i="5"/>
  <c r="AP148" i="5"/>
  <c r="H149" i="5"/>
  <c r="K149" i="5"/>
  <c r="Q149" i="5"/>
  <c r="W149" i="5"/>
  <c r="H150" i="5"/>
  <c r="AJ155" i="5"/>
  <c r="AF155" i="5"/>
  <c r="T155" i="5"/>
  <c r="K155" i="5"/>
  <c r="G164" i="4"/>
  <c r="AS155" i="5"/>
  <c r="AC155" i="5"/>
  <c r="Q155" i="5"/>
  <c r="N155" i="5"/>
  <c r="AP155" i="5"/>
  <c r="N156" i="5"/>
  <c r="H157" i="5"/>
  <c r="AF152" i="5"/>
  <c r="AJ152" i="5"/>
  <c r="W153" i="5"/>
  <c r="AF153" i="5"/>
  <c r="AJ154" i="5"/>
  <c r="AF154" i="5"/>
  <c r="T154" i="5"/>
  <c r="K154" i="5"/>
  <c r="G163" i="4"/>
  <c r="H155" i="5"/>
  <c r="H164" i="4" s="1"/>
  <c r="AM157" i="5"/>
  <c r="Q158" i="5"/>
  <c r="W158" i="5"/>
  <c r="AC158" i="5"/>
  <c r="Z159" i="5"/>
  <c r="AP159" i="5"/>
  <c r="Q150" i="5"/>
  <c r="AC150" i="5"/>
  <c r="Q151" i="5"/>
  <c r="AC151" i="5"/>
  <c r="Q152" i="5"/>
  <c r="AC152" i="5"/>
  <c r="H154" i="5"/>
  <c r="AM155" i="5"/>
  <c r="AM156" i="5"/>
  <c r="AJ158" i="5"/>
  <c r="AF158" i="5"/>
  <c r="T158" i="5"/>
  <c r="K158" i="5"/>
  <c r="G167" i="4"/>
  <c r="AP158" i="5"/>
  <c r="E9" i="7"/>
  <c r="K8" i="8"/>
  <c r="AM152" i="5"/>
  <c r="K153" i="5"/>
  <c r="G162" i="4"/>
  <c r="T153" i="5"/>
  <c r="AM153" i="5"/>
  <c r="W155" i="5"/>
  <c r="W156" i="5"/>
  <c r="AJ157" i="5"/>
  <c r="AF157" i="5"/>
  <c r="T157" i="5"/>
  <c r="K157" i="5"/>
  <c r="G166" i="4"/>
  <c r="H158" i="5"/>
  <c r="H167" i="4" s="1"/>
  <c r="AJ159" i="5"/>
  <c r="AF159" i="5"/>
  <c r="T159" i="5"/>
  <c r="K159" i="5"/>
  <c r="G168" i="4"/>
  <c r="N159" i="5"/>
  <c r="AC159" i="5"/>
  <c r="M31" i="6"/>
  <c r="F52" i="6"/>
  <c r="F60" i="6"/>
  <c r="F68" i="6"/>
  <c r="F76" i="6"/>
  <c r="F84" i="6"/>
  <c r="F92" i="6"/>
  <c r="F100" i="6"/>
  <c r="F110" i="6"/>
  <c r="H141" i="6"/>
  <c r="H144" i="6"/>
  <c r="G8" i="8"/>
  <c r="F134" i="6"/>
  <c r="H174" i="6"/>
  <c r="M8" i="8"/>
  <c r="L8" i="8"/>
  <c r="H8" i="8"/>
  <c r="Q48" i="9"/>
  <c r="BG48" i="5" s="1"/>
  <c r="Q50" i="9"/>
  <c r="BG50" i="5"/>
  <c r="BH50" i="5" s="1"/>
  <c r="J59" i="4" s="1"/>
  <c r="Q54" i="9"/>
  <c r="BG54" i="5" s="1"/>
  <c r="Q56" i="9"/>
  <c r="BG56" i="5" s="1"/>
  <c r="BH56" i="5" s="1"/>
  <c r="J65" i="4" s="1"/>
  <c r="Q58" i="9"/>
  <c r="BG58" i="5"/>
  <c r="Q60" i="9"/>
  <c r="BG60" i="5" s="1"/>
  <c r="BH60" i="5" s="1"/>
  <c r="Q62" i="9"/>
  <c r="BG62" i="5" s="1"/>
  <c r="Q64" i="9"/>
  <c r="BG64" i="5" s="1"/>
  <c r="I73" i="4" s="1"/>
  <c r="Q66" i="9"/>
  <c r="BG66" i="5" s="1"/>
  <c r="Q68" i="9"/>
  <c r="BG68" i="5"/>
  <c r="Q70" i="9"/>
  <c r="BG70" i="5" s="1"/>
  <c r="Q106" i="9"/>
  <c r="BG106" i="5" s="1"/>
  <c r="BG158" i="5"/>
  <c r="Q116" i="9"/>
  <c r="BG116" i="5" s="1"/>
  <c r="Q73" i="9"/>
  <c r="BG73" i="5"/>
  <c r="Q75" i="9"/>
  <c r="BG75" i="5" s="1"/>
  <c r="BH75" i="5" s="1"/>
  <c r="J84" i="4" s="1"/>
  <c r="Q77" i="9"/>
  <c r="BG77" i="5" s="1"/>
  <c r="BH77" i="5" s="1"/>
  <c r="Q79" i="9"/>
  <c r="BG79" i="5" s="1"/>
  <c r="I88" i="4" s="1"/>
  <c r="Q81" i="9"/>
  <c r="BG81" i="5" s="1"/>
  <c r="Q83" i="9"/>
  <c r="BG83" i="5" s="1"/>
  <c r="Q85" i="9"/>
  <c r="BG85" i="5" s="1"/>
  <c r="I94" i="4" s="1"/>
  <c r="Q87" i="9"/>
  <c r="BG87" i="5" s="1"/>
  <c r="Q89" i="9"/>
  <c r="BG89" i="5" s="1"/>
  <c r="Q91" i="9"/>
  <c r="BG91" i="5" s="1"/>
  <c r="I100" i="4" s="1"/>
  <c r="Q93" i="9"/>
  <c r="BG93" i="5" s="1"/>
  <c r="BH93" i="5" s="1"/>
  <c r="J102" i="4" s="1"/>
  <c r="Q97" i="9"/>
  <c r="BG97" i="5" s="1"/>
  <c r="I106" i="4" s="1"/>
  <c r="Q99" i="9"/>
  <c r="BG99" i="5" s="1"/>
  <c r="Q101" i="9"/>
  <c r="BG101" i="5"/>
  <c r="BH101" i="5" s="1"/>
  <c r="J110" i="4" s="1"/>
  <c r="Q103" i="9"/>
  <c r="BG103" i="5" s="1"/>
  <c r="Q105" i="9"/>
  <c r="BG105" i="5"/>
  <c r="BH105" i="5" s="1"/>
  <c r="J114" i="4" s="1"/>
  <c r="Q107" i="9"/>
  <c r="BG107" i="5" s="1"/>
  <c r="Q109" i="9"/>
  <c r="BG109" i="5"/>
  <c r="I118" i="4" s="1"/>
  <c r="Q111" i="9"/>
  <c r="BG111" i="5" s="1"/>
  <c r="Q113" i="9"/>
  <c r="BG113" i="5"/>
  <c r="I122" i="4" s="1"/>
  <c r="Q115" i="9"/>
  <c r="BG115" i="5" s="1"/>
  <c r="Q117" i="9"/>
  <c r="BG117" i="5" s="1"/>
  <c r="Q119" i="9"/>
  <c r="BG119" i="5" s="1"/>
  <c r="BH119" i="5" s="1"/>
  <c r="J128" i="4" s="1"/>
  <c r="Q121" i="9"/>
  <c r="BG121" i="5" s="1"/>
  <c r="I130" i="4" s="1"/>
  <c r="BH121" i="5"/>
  <c r="J130" i="4" s="1"/>
  <c r="Q123" i="9"/>
  <c r="BG123" i="5" s="1"/>
  <c r="Q125" i="9"/>
  <c r="BG125" i="5" s="1"/>
  <c r="Q127" i="9"/>
  <c r="BG127" i="5" s="1"/>
  <c r="Q129" i="9"/>
  <c r="BG129" i="5" s="1"/>
  <c r="E30" i="3"/>
  <c r="R8" i="5" s="1"/>
  <c r="K60" i="6" s="1"/>
  <c r="E28" i="3"/>
  <c r="H6" i="6"/>
  <c r="H126" i="6" s="1"/>
  <c r="F27" i="6"/>
  <c r="I41" i="4"/>
  <c r="BH68" i="5"/>
  <c r="J77" i="4" s="1"/>
  <c r="I77" i="4"/>
  <c r="BH157" i="5"/>
  <c r="J166" i="4" s="1"/>
  <c r="I166" i="4"/>
  <c r="I128" i="4"/>
  <c r="BH85" i="5"/>
  <c r="J94" i="4" s="1"/>
  <c r="I86" i="4"/>
  <c r="J86" i="4"/>
  <c r="BH98" i="5"/>
  <c r="J107" i="4" s="1"/>
  <c r="I59" i="4"/>
  <c r="I37" i="4"/>
  <c r="BH97" i="5"/>
  <c r="J106" i="4" s="1"/>
  <c r="BH155" i="5"/>
  <c r="J164" i="4" s="1"/>
  <c r="I164" i="4"/>
  <c r="BH139" i="5"/>
  <c r="J148" i="4" s="1"/>
  <c r="I148" i="4"/>
  <c r="I43" i="4"/>
  <c r="J43" i="4"/>
  <c r="BH79" i="5"/>
  <c r="J88" i="4" s="1"/>
  <c r="BH149" i="5"/>
  <c r="J158" i="4" s="1"/>
  <c r="I129" i="4"/>
  <c r="BH109" i="5"/>
  <c r="J118" i="4" s="1"/>
  <c r="BH91" i="5"/>
  <c r="J100" i="4" s="1"/>
  <c r="I84" i="4"/>
  <c r="J145" i="4"/>
  <c r="I150" i="4"/>
  <c r="I114" i="4"/>
  <c r="I162" i="4"/>
  <c r="BH40" i="5"/>
  <c r="J49" i="4" s="1"/>
  <c r="I49" i="4"/>
  <c r="I33" i="4"/>
  <c r="BH24" i="5"/>
  <c r="J33" i="4" s="1"/>
  <c r="J69" i="4"/>
  <c r="BH113" i="5"/>
  <c r="J122" i="4" s="1"/>
  <c r="BH151" i="5"/>
  <c r="J160" i="4" s="1"/>
  <c r="I160" i="4"/>
  <c r="I152" i="4"/>
  <c r="BH135" i="5"/>
  <c r="J144" i="4" s="1"/>
  <c r="I144" i="4"/>
  <c r="BH22" i="5"/>
  <c r="J31" i="4" s="1"/>
  <c r="I31" i="4"/>
  <c r="I23" i="4"/>
  <c r="BH14" i="5"/>
  <c r="J23" i="4" s="1"/>
  <c r="Q150" i="8"/>
  <c r="I150" i="5" s="1"/>
  <c r="AV150" i="5"/>
  <c r="Q49" i="8"/>
  <c r="I49" i="5" s="1"/>
  <c r="AV49" i="5"/>
  <c r="H155" i="4"/>
  <c r="H142" i="5"/>
  <c r="G151" i="4"/>
  <c r="H138" i="5"/>
  <c r="H147" i="4" s="1"/>
  <c r="G147" i="4"/>
  <c r="H134" i="5"/>
  <c r="H143" i="4" s="1"/>
  <c r="G143" i="4"/>
  <c r="H130" i="5"/>
  <c r="H139" i="4" s="1"/>
  <c r="G139" i="4"/>
  <c r="G121" i="4"/>
  <c r="AV153" i="5"/>
  <c r="AX153" i="5" s="1"/>
  <c r="Q117" i="8"/>
  <c r="I117" i="5"/>
  <c r="AV117" i="5"/>
  <c r="AX117" i="5" s="1"/>
  <c r="AY117" i="5" s="1"/>
  <c r="Q122" i="8"/>
  <c r="I122" i="5" s="1"/>
  <c r="AV122" i="5"/>
  <c r="Q131" i="8"/>
  <c r="I131" i="5" s="1"/>
  <c r="Q107" i="8"/>
  <c r="I107" i="5" s="1"/>
  <c r="AV107" i="5"/>
  <c r="Q97" i="8"/>
  <c r="I97" i="5"/>
  <c r="AV97" i="5"/>
  <c r="AX97" i="5" s="1"/>
  <c r="Q55" i="8"/>
  <c r="I55" i="5" s="1"/>
  <c r="Q65" i="8"/>
  <c r="I65" i="5" s="1"/>
  <c r="G9" i="7"/>
  <c r="H166" i="4"/>
  <c r="H145" i="5"/>
  <c r="H154" i="4" s="1"/>
  <c r="G154" i="4"/>
  <c r="H141" i="5"/>
  <c r="H150" i="4" s="1"/>
  <c r="G150" i="4"/>
  <c r="H137" i="5"/>
  <c r="G146" i="4"/>
  <c r="H133" i="5"/>
  <c r="H142" i="4" s="1"/>
  <c r="G142" i="4"/>
  <c r="H129" i="5"/>
  <c r="G138" i="4"/>
  <c r="H119" i="5"/>
  <c r="G128" i="4"/>
  <c r="H115" i="5"/>
  <c r="H124" i="4" s="1"/>
  <c r="G124" i="4"/>
  <c r="H111" i="5"/>
  <c r="H120" i="4" s="1"/>
  <c r="G120" i="4"/>
  <c r="H107" i="5"/>
  <c r="H116" i="4" s="1"/>
  <c r="G116" i="4"/>
  <c r="Q101" i="8"/>
  <c r="I101" i="5" s="1"/>
  <c r="AV101" i="5"/>
  <c r="AV138" i="5"/>
  <c r="Q27" i="8"/>
  <c r="I27" i="5" s="1"/>
  <c r="AV27" i="5"/>
  <c r="AV95" i="5"/>
  <c r="AX95" i="5" s="1"/>
  <c r="H163" i="4"/>
  <c r="AV47" i="5"/>
  <c r="AX47" i="5" s="1"/>
  <c r="H159" i="4"/>
  <c r="H158" i="4"/>
  <c r="G145" i="4"/>
  <c r="H132" i="5"/>
  <c r="H141" i="4" s="1"/>
  <c r="H122" i="5"/>
  <c r="H131" i="4" s="1"/>
  <c r="G131" i="4"/>
  <c r="H118" i="5"/>
  <c r="H127" i="4" s="1"/>
  <c r="G127" i="4"/>
  <c r="H114" i="5"/>
  <c r="G123" i="4"/>
  <c r="H110" i="5"/>
  <c r="G119" i="4"/>
  <c r="H106" i="5"/>
  <c r="G115" i="4"/>
  <c r="G136" i="4"/>
  <c r="H127" i="5"/>
  <c r="G135" i="4"/>
  <c r="H126" i="5"/>
  <c r="H135" i="4" s="1"/>
  <c r="AV159" i="5"/>
  <c r="BC159" i="5" s="1"/>
  <c r="Q145" i="8"/>
  <c r="I145" i="5" s="1"/>
  <c r="AV111" i="5"/>
  <c r="AX111" i="5" s="1"/>
  <c r="BL111" i="5" s="1"/>
  <c r="AV77" i="5"/>
  <c r="AX77" i="5" s="1"/>
  <c r="AY77" i="5" s="1"/>
  <c r="H143" i="5"/>
  <c r="H152" i="4" s="1"/>
  <c r="G152" i="4"/>
  <c r="H139" i="5"/>
  <c r="G148" i="4"/>
  <c r="H135" i="5"/>
  <c r="G144" i="4"/>
  <c r="H131" i="5"/>
  <c r="H140" i="4" s="1"/>
  <c r="G140" i="4"/>
  <c r="H153" i="5"/>
  <c r="H162" i="4" s="1"/>
  <c r="H121" i="5"/>
  <c r="H130" i="4" s="1"/>
  <c r="G130" i="4"/>
  <c r="H117" i="5"/>
  <c r="H126" i="4" s="1"/>
  <c r="G126" i="4"/>
  <c r="H113" i="5"/>
  <c r="H122" i="4" s="1"/>
  <c r="G122" i="4"/>
  <c r="H109" i="5"/>
  <c r="H118" i="4" s="1"/>
  <c r="G118" i="4"/>
  <c r="H105" i="5"/>
  <c r="H114" i="4" s="1"/>
  <c r="G114" i="4"/>
  <c r="H78" i="5"/>
  <c r="H87" i="4" s="1"/>
  <c r="H69" i="5"/>
  <c r="H78" i="4" s="1"/>
  <c r="H91" i="5"/>
  <c r="H100" i="4" s="1"/>
  <c r="H76" i="4"/>
  <c r="H34" i="4"/>
  <c r="H33" i="4"/>
  <c r="H62" i="5"/>
  <c r="H92" i="5"/>
  <c r="H70" i="5"/>
  <c r="H79" i="4" s="1"/>
  <c r="H125" i="5"/>
  <c r="H134" i="4" s="1"/>
  <c r="H123" i="5"/>
  <c r="H94" i="5"/>
  <c r="H103" i="4" s="1"/>
  <c r="G103" i="4"/>
  <c r="H102" i="5"/>
  <c r="H111" i="4" s="1"/>
  <c r="G111" i="4"/>
  <c r="H101" i="5"/>
  <c r="G110" i="4"/>
  <c r="H97" i="5"/>
  <c r="H106" i="4" s="1"/>
  <c r="H90" i="5"/>
  <c r="H99" i="4" s="1"/>
  <c r="G99" i="4"/>
  <c r="H86" i="5"/>
  <c r="H95" i="4" s="1"/>
  <c r="G95" i="4"/>
  <c r="H82" i="5"/>
  <c r="H91" i="4" s="1"/>
  <c r="G91" i="4"/>
  <c r="H95" i="5"/>
  <c r="H104" i="4" s="1"/>
  <c r="H81" i="5"/>
  <c r="H90" i="4" s="1"/>
  <c r="H79" i="5"/>
  <c r="H88" i="4" s="1"/>
  <c r="H77" i="5"/>
  <c r="H86" i="4" s="1"/>
  <c r="H75" i="5"/>
  <c r="H84" i="4" s="1"/>
  <c r="H36" i="4"/>
  <c r="H14" i="5"/>
  <c r="H23" i="4" s="1"/>
  <c r="H12" i="5"/>
  <c r="H103" i="5"/>
  <c r="H112" i="4" s="1"/>
  <c r="G112" i="4"/>
  <c r="H93" i="5"/>
  <c r="H102" i="4" s="1"/>
  <c r="G102" i="4"/>
  <c r="H99" i="5"/>
  <c r="H108" i="4" s="1"/>
  <c r="G108" i="4"/>
  <c r="H71" i="5"/>
  <c r="H48" i="4"/>
  <c r="H16" i="5"/>
  <c r="H25" i="4" s="1"/>
  <c r="H17" i="5"/>
  <c r="H26" i="4" s="1"/>
  <c r="H13" i="5"/>
  <c r="H22" i="4" s="1"/>
  <c r="H98" i="5"/>
  <c r="H107" i="4" s="1"/>
  <c r="H89" i="5"/>
  <c r="G98" i="4"/>
  <c r="H87" i="5"/>
  <c r="G96" i="4"/>
  <c r="H85" i="5"/>
  <c r="H94" i="4" s="1"/>
  <c r="G94" i="4"/>
  <c r="H83" i="5"/>
  <c r="G92" i="4"/>
  <c r="H73" i="5"/>
  <c r="H82" i="4" s="1"/>
  <c r="H28" i="4"/>
  <c r="H20" i="5"/>
  <c r="H74" i="5"/>
  <c r="H92" i="6"/>
  <c r="H60" i="6"/>
  <c r="H84" i="6"/>
  <c r="H52" i="6"/>
  <c r="H134" i="6"/>
  <c r="H76" i="6"/>
  <c r="H118" i="6"/>
  <c r="H44" i="6"/>
  <c r="H68" i="6"/>
  <c r="K27" i="6"/>
  <c r="H29" i="4"/>
  <c r="H115" i="4"/>
  <c r="AX107" i="5"/>
  <c r="AY107" i="5" s="1"/>
  <c r="AX49" i="5"/>
  <c r="AY49" i="5" s="1"/>
  <c r="AX65" i="5"/>
  <c r="AY65" i="5" s="1"/>
  <c r="H92" i="4"/>
  <c r="H96" i="4"/>
  <c r="H71" i="4"/>
  <c r="H144" i="4"/>
  <c r="H136" i="4"/>
  <c r="H123" i="4"/>
  <c r="H83" i="4"/>
  <c r="H101" i="4"/>
  <c r="H119" i="4"/>
  <c r="H168" i="4"/>
  <c r="H128" i="4"/>
  <c r="AX122" i="5"/>
  <c r="BL122" i="5" s="1"/>
  <c r="H151" i="4"/>
  <c r="AX150" i="5"/>
  <c r="BL150" i="5" s="1"/>
  <c r="AX55" i="5"/>
  <c r="AY55" i="5" s="1"/>
  <c r="H98" i="4"/>
  <c r="H80" i="4"/>
  <c r="H21" i="4"/>
  <c r="H110" i="4"/>
  <c r="H132" i="4"/>
  <c r="H148" i="4"/>
  <c r="AX145" i="5"/>
  <c r="AY145" i="5" s="1"/>
  <c r="AX27" i="5"/>
  <c r="BL27" i="5" s="1"/>
  <c r="AX138" i="5"/>
  <c r="BL138" i="5" s="1"/>
  <c r="AX101" i="5"/>
  <c r="H138" i="4"/>
  <c r="H146" i="4"/>
  <c r="BL49" i="5"/>
  <c r="AY101" i="5"/>
  <c r="BL101" i="5"/>
  <c r="BL145" i="5"/>
  <c r="BL77" i="5"/>
  <c r="BL55" i="5"/>
  <c r="AY150" i="5"/>
  <c r="AY131" i="5"/>
  <c r="BL131" i="5"/>
  <c r="BL97" i="5"/>
  <c r="AY97" i="5"/>
  <c r="BL65" i="5"/>
  <c r="AY122" i="5"/>
  <c r="BL47" i="5"/>
  <c r="AY47" i="5"/>
  <c r="AY111" i="5"/>
  <c r="L8" i="5"/>
  <c r="K44" i="6"/>
  <c r="BH99" i="5" l="1"/>
  <c r="J108" i="4" s="1"/>
  <c r="I108" i="4"/>
  <c r="I75" i="4"/>
  <c r="BH66" i="5"/>
  <c r="J75" i="4" s="1"/>
  <c r="I112" i="4"/>
  <c r="BH103" i="5"/>
  <c r="J112" i="4" s="1"/>
  <c r="BL105" i="5"/>
  <c r="AY105" i="5"/>
  <c r="BL95" i="5"/>
  <c r="AY95" i="5"/>
  <c r="BH62" i="5"/>
  <c r="J71" i="4" s="1"/>
  <c r="I71" i="4"/>
  <c r="Q92" i="8"/>
  <c r="I92" i="5" s="1"/>
  <c r="AV92" i="5"/>
  <c r="AX92" i="5" s="1"/>
  <c r="J8" i="9"/>
  <c r="H41" i="5"/>
  <c r="H50" i="4" s="1"/>
  <c r="G50" i="4"/>
  <c r="BL117" i="5"/>
  <c r="I69" i="4"/>
  <c r="P30" i="8"/>
  <c r="AV30" i="5" s="1"/>
  <c r="AX30" i="5" s="1"/>
  <c r="P12" i="8"/>
  <c r="M27" i="6"/>
  <c r="H178" i="6" s="1"/>
  <c r="F9" i="6"/>
  <c r="I65" i="4"/>
  <c r="BL107" i="5"/>
  <c r="AY138" i="5"/>
  <c r="H100" i="6"/>
  <c r="H110" i="6"/>
  <c r="I25" i="4"/>
  <c r="N8" i="5"/>
  <c r="AV128" i="5"/>
  <c r="AX128" i="5" s="1"/>
  <c r="Q128" i="8"/>
  <c r="I128" i="5" s="1"/>
  <c r="I53" i="4"/>
  <c r="BH44" i="5"/>
  <c r="J53" i="4" s="1"/>
  <c r="Z8" i="5"/>
  <c r="G70" i="4"/>
  <c r="H61" i="5"/>
  <c r="H70" i="4" s="1"/>
  <c r="H57" i="5"/>
  <c r="H66" i="4" s="1"/>
  <c r="G66" i="4"/>
  <c r="H45" i="5"/>
  <c r="H54" i="4" s="1"/>
  <c r="H38" i="5"/>
  <c r="H47" i="4" s="1"/>
  <c r="G47" i="4"/>
  <c r="H23" i="5"/>
  <c r="H32" i="4" s="1"/>
  <c r="G32" i="4"/>
  <c r="P31" i="8"/>
  <c r="Q11" i="9"/>
  <c r="BG11" i="5" s="1"/>
  <c r="Q13" i="9"/>
  <c r="BG13" i="5" s="1"/>
  <c r="Q15" i="9"/>
  <c r="BG15" i="5" s="1"/>
  <c r="BH15" i="5" s="1"/>
  <c r="Q17" i="9"/>
  <c r="BG17" i="5" s="1"/>
  <c r="I26" i="4" s="1"/>
  <c r="Q19" i="9"/>
  <c r="BG19" i="5" s="1"/>
  <c r="Q21" i="9"/>
  <c r="BG21" i="5" s="1"/>
  <c r="Q23" i="9"/>
  <c r="BG23" i="5" s="1"/>
  <c r="BH23" i="5" s="1"/>
  <c r="Q25" i="9"/>
  <c r="BG25" i="5" s="1"/>
  <c r="I34" i="4" s="1"/>
  <c r="Q27" i="9"/>
  <c r="BG27" i="5" s="1"/>
  <c r="Q29" i="9"/>
  <c r="BG29" i="5" s="1"/>
  <c r="Q31" i="9"/>
  <c r="BG31" i="5" s="1"/>
  <c r="BH31" i="5" s="1"/>
  <c r="J40" i="4" s="1"/>
  <c r="Q33" i="9"/>
  <c r="BG33" i="5" s="1"/>
  <c r="Q35" i="9"/>
  <c r="BG35" i="5" s="1"/>
  <c r="I44" i="4" s="1"/>
  <c r="Q37" i="9"/>
  <c r="BG37" i="5" s="1"/>
  <c r="BH37" i="5" s="1"/>
  <c r="J46" i="4" s="1"/>
  <c r="Q39" i="9"/>
  <c r="BG39" i="5" s="1"/>
  <c r="BH39" i="5" s="1"/>
  <c r="Q41" i="9"/>
  <c r="BG41" i="5" s="1"/>
  <c r="Q43" i="9"/>
  <c r="BG43" i="5" s="1"/>
  <c r="Q45" i="9"/>
  <c r="BG45" i="5" s="1"/>
  <c r="Q47" i="9"/>
  <c r="BG47" i="5" s="1"/>
  <c r="BH47" i="5" s="1"/>
  <c r="J56" i="4" s="1"/>
  <c r="Q49" i="9"/>
  <c r="BG49" i="5" s="1"/>
  <c r="Q51" i="9"/>
  <c r="BG51" i="5" s="1"/>
  <c r="Q53" i="9"/>
  <c r="BG53" i="5" s="1"/>
  <c r="Q55" i="9"/>
  <c r="BG55" i="5" s="1"/>
  <c r="BH55" i="5" s="1"/>
  <c r="J64" i="4" s="1"/>
  <c r="Q57" i="9"/>
  <c r="BG57" i="5" s="1"/>
  <c r="Q59" i="9"/>
  <c r="BG59" i="5" s="1"/>
  <c r="Q61" i="9"/>
  <c r="BG61" i="5" s="1"/>
  <c r="Q63" i="9"/>
  <c r="BG63" i="5" s="1"/>
  <c r="BH63" i="5" s="1"/>
  <c r="Q65" i="9"/>
  <c r="BG65" i="5" s="1"/>
  <c r="P155" i="8"/>
  <c r="P143" i="8"/>
  <c r="P135" i="8"/>
  <c r="P134" i="8"/>
  <c r="P118" i="8"/>
  <c r="P86" i="8"/>
  <c r="P81" i="8"/>
  <c r="P67" i="8"/>
  <c r="P59" i="8"/>
  <c r="P52" i="8"/>
  <c r="P34" i="8"/>
  <c r="P26" i="8"/>
  <c r="P21" i="8"/>
  <c r="P19" i="8"/>
  <c r="Q19" i="8" s="1"/>
  <c r="I19" i="5" s="1"/>
  <c r="P148" i="8"/>
  <c r="P141" i="8"/>
  <c r="P123" i="8"/>
  <c r="P87" i="8"/>
  <c r="P62" i="8"/>
  <c r="P57" i="8"/>
  <c r="P43" i="8"/>
  <c r="P41" i="8"/>
  <c r="BL153" i="5"/>
  <c r="AY153" i="5"/>
  <c r="F54" i="6"/>
  <c r="BH142" i="5"/>
  <c r="J151" i="4" s="1"/>
  <c r="I151" i="4"/>
  <c r="AY92" i="5"/>
  <c r="BL92" i="5"/>
  <c r="BL119" i="5"/>
  <c r="AY119" i="5"/>
  <c r="I35" i="4"/>
  <c r="BH26" i="5"/>
  <c r="J35" i="4" s="1"/>
  <c r="AV149" i="5"/>
  <c r="AX149" i="5" s="1"/>
  <c r="Q149" i="8"/>
  <c r="I149" i="5" s="1"/>
  <c r="Q105" i="8"/>
  <c r="I105" i="5" s="1"/>
  <c r="BH42" i="5"/>
  <c r="J51" i="4" s="1"/>
  <c r="I51" i="4"/>
  <c r="BH69" i="5"/>
  <c r="J78" i="4" s="1"/>
  <c r="I78" i="4"/>
  <c r="BH82" i="5"/>
  <c r="J91" i="4" s="1"/>
  <c r="I91" i="4"/>
  <c r="BH94" i="5"/>
  <c r="J103" i="4" s="1"/>
  <c r="I103" i="4"/>
  <c r="I117" i="4"/>
  <c r="BH108" i="5"/>
  <c r="J117" i="4" s="1"/>
  <c r="I119" i="4"/>
  <c r="BH110" i="5"/>
  <c r="J119" i="4" s="1"/>
  <c r="BH114" i="5"/>
  <c r="J123" i="4" s="1"/>
  <c r="I123" i="4"/>
  <c r="BH124" i="5"/>
  <c r="J133" i="4" s="1"/>
  <c r="I133" i="4"/>
  <c r="I139" i="4"/>
  <c r="BH130" i="5"/>
  <c r="J139" i="4" s="1"/>
  <c r="I143" i="4"/>
  <c r="BH134" i="5"/>
  <c r="J143" i="4" s="1"/>
  <c r="BH138" i="5"/>
  <c r="J147" i="4" s="1"/>
  <c r="I147" i="4"/>
  <c r="BH146" i="5"/>
  <c r="J155" i="4" s="1"/>
  <c r="I155" i="4"/>
  <c r="BH152" i="5"/>
  <c r="J161" i="4" s="1"/>
  <c r="I161" i="4"/>
  <c r="H148" i="5"/>
  <c r="H157" i="4" s="1"/>
  <c r="G157" i="4"/>
  <c r="H144" i="5"/>
  <c r="H153" i="4" s="1"/>
  <c r="G153" i="4"/>
  <c r="G149" i="4"/>
  <c r="H140" i="5"/>
  <c r="H149" i="4" s="1"/>
  <c r="G137" i="4"/>
  <c r="H128" i="5"/>
  <c r="H137" i="4" s="1"/>
  <c r="G133" i="4"/>
  <c r="H124" i="5"/>
  <c r="H133" i="4" s="1"/>
  <c r="H120" i="5"/>
  <c r="H129" i="4" s="1"/>
  <c r="G129" i="4"/>
  <c r="H116" i="5"/>
  <c r="H125" i="4" s="1"/>
  <c r="G125" i="4"/>
  <c r="H108" i="5"/>
  <c r="H117" i="4" s="1"/>
  <c r="G117" i="4"/>
  <c r="G113" i="4"/>
  <c r="H104" i="5"/>
  <c r="H113" i="4" s="1"/>
  <c r="H100" i="5"/>
  <c r="H109" i="4" s="1"/>
  <c r="G109" i="4"/>
  <c r="G105" i="4"/>
  <c r="H96" i="5"/>
  <c r="H105" i="4" s="1"/>
  <c r="H88" i="5"/>
  <c r="H97" i="4" s="1"/>
  <c r="G97" i="4"/>
  <c r="H84" i="5"/>
  <c r="H93" i="4" s="1"/>
  <c r="G93" i="4"/>
  <c r="G85" i="4"/>
  <c r="H76" i="5"/>
  <c r="H85" i="4" s="1"/>
  <c r="G81" i="4"/>
  <c r="H72" i="5"/>
  <c r="H81" i="4" s="1"/>
  <c r="G69" i="4"/>
  <c r="H60" i="5"/>
  <c r="H69" i="4" s="1"/>
  <c r="H56" i="5"/>
  <c r="H65" i="4" s="1"/>
  <c r="G65" i="4"/>
  <c r="G42" i="4"/>
  <c r="H33" i="5"/>
  <c r="H42" i="4" s="1"/>
  <c r="G38" i="4"/>
  <c r="H29" i="5"/>
  <c r="H38" i="4" s="1"/>
  <c r="G31" i="4"/>
  <c r="H22" i="5"/>
  <c r="H31" i="4" s="1"/>
  <c r="G27" i="4"/>
  <c r="H18" i="5"/>
  <c r="H27" i="4" s="1"/>
  <c r="G19" i="4"/>
  <c r="H10" i="5"/>
  <c r="H19" i="4" s="1"/>
  <c r="Q133" i="8"/>
  <c r="I133" i="5" s="1"/>
  <c r="AV133" i="5"/>
  <c r="AX133" i="5" s="1"/>
  <c r="Q129" i="8"/>
  <c r="I129" i="5" s="1"/>
  <c r="AV129" i="5"/>
  <c r="AX129" i="5" s="1"/>
  <c r="Q113" i="8"/>
  <c r="I113" i="5" s="1"/>
  <c r="AV113" i="5"/>
  <c r="AX113" i="5" s="1"/>
  <c r="P110" i="8"/>
  <c r="P108" i="8"/>
  <c r="P102" i="8"/>
  <c r="P99" i="8"/>
  <c r="AV76" i="5"/>
  <c r="AX76" i="5" s="1"/>
  <c r="Q76" i="8"/>
  <c r="I76" i="5" s="1"/>
  <c r="AV39" i="5"/>
  <c r="AX39" i="5" s="1"/>
  <c r="Q39" i="8"/>
  <c r="I39" i="5" s="1"/>
  <c r="P18" i="8"/>
  <c r="Q12" i="8"/>
  <c r="I12" i="5" s="1"/>
  <c r="AV12" i="5"/>
  <c r="AX12" i="5" s="1"/>
  <c r="AV152" i="5"/>
  <c r="AX152" i="5" s="1"/>
  <c r="Q152" i="8"/>
  <c r="I152" i="5" s="1"/>
  <c r="Q63" i="8"/>
  <c r="I63" i="5" s="1"/>
  <c r="AV63" i="5"/>
  <c r="AX63" i="5" s="1"/>
  <c r="I167" i="4"/>
  <c r="K165" i="6"/>
  <c r="K169" i="6" s="1"/>
  <c r="I45" i="4"/>
  <c r="BH36" i="5"/>
  <c r="J45" i="4" s="1"/>
  <c r="AY27" i="5"/>
  <c r="H80" i="5"/>
  <c r="H89" i="4" s="1"/>
  <c r="AV69" i="5"/>
  <c r="AX69" i="5" s="1"/>
  <c r="Q119" i="8"/>
  <c r="I119" i="5" s="1"/>
  <c r="I141" i="4"/>
  <c r="I127" i="4"/>
  <c r="N8" i="8"/>
  <c r="H156" i="5"/>
  <c r="H165" i="4" s="1"/>
  <c r="G77" i="4"/>
  <c r="G73" i="4"/>
  <c r="I142" i="4"/>
  <c r="BH133" i="5"/>
  <c r="J142" i="4" s="1"/>
  <c r="U8" i="5"/>
  <c r="K68" i="6" s="1"/>
  <c r="X8" i="5"/>
  <c r="K76" i="6" s="1"/>
  <c r="AD8" i="5"/>
  <c r="AA8" i="5"/>
  <c r="AA31" i="5" s="1"/>
  <c r="BH122" i="5"/>
  <c r="J131" i="4" s="1"/>
  <c r="I131" i="4"/>
  <c r="BH18" i="5"/>
  <c r="J27" i="4" s="1"/>
  <c r="I27" i="4"/>
  <c r="AV89" i="5"/>
  <c r="AX89" i="5" s="1"/>
  <c r="Q89" i="8"/>
  <c r="I89" i="5" s="1"/>
  <c r="Q71" i="8"/>
  <c r="I71" i="5" s="1"/>
  <c r="AV71" i="5"/>
  <c r="AX71" i="5" s="1"/>
  <c r="AV38" i="5"/>
  <c r="AX38" i="5" s="1"/>
  <c r="Q38" i="8"/>
  <c r="I38" i="5" s="1"/>
  <c r="AV23" i="5"/>
  <c r="AX23" i="5" s="1"/>
  <c r="Q23" i="8"/>
  <c r="I23" i="5" s="1"/>
  <c r="G8" i="7"/>
  <c r="BF9" i="5"/>
  <c r="I138" i="4"/>
  <c r="BH129" i="5"/>
  <c r="J138" i="4" s="1"/>
  <c r="BH104" i="5"/>
  <c r="J113" i="4" s="1"/>
  <c r="I113" i="4"/>
  <c r="I55" i="4"/>
  <c r="BH46" i="5"/>
  <c r="J55" i="4" s="1"/>
  <c r="BH30" i="5"/>
  <c r="J39" i="4" s="1"/>
  <c r="I39" i="4"/>
  <c r="W8" i="5"/>
  <c r="X23" i="5" s="1"/>
  <c r="AG8" i="5"/>
  <c r="K100" i="6" s="1"/>
  <c r="BD159" i="5"/>
  <c r="BE159" i="5"/>
  <c r="BH158" i="5"/>
  <c r="I19" i="4"/>
  <c r="BH126" i="5"/>
  <c r="J135" i="4" s="1"/>
  <c r="BH48" i="5"/>
  <c r="J57" i="4" s="1"/>
  <c r="I57" i="4"/>
  <c r="F165" i="6"/>
  <c r="AF8" i="5"/>
  <c r="AM8" i="5"/>
  <c r="AC8" i="5"/>
  <c r="BH125" i="5"/>
  <c r="J134" i="4" s="1"/>
  <c r="I134" i="4"/>
  <c r="I67" i="4"/>
  <c r="BH58" i="5"/>
  <c r="J67" i="4" s="1"/>
  <c r="E33" i="3"/>
  <c r="AQ8" i="5" s="1"/>
  <c r="K126" i="6" s="1"/>
  <c r="E31" i="3"/>
  <c r="AK8" i="5" s="1"/>
  <c r="K110" i="6" s="1"/>
  <c r="E29" i="3"/>
  <c r="E32" i="3"/>
  <c r="AN8" i="5" s="1"/>
  <c r="K118" i="6" s="1"/>
  <c r="E34" i="3"/>
  <c r="AT8" i="5" s="1"/>
  <c r="K134" i="6" s="1"/>
  <c r="BH137" i="5"/>
  <c r="J146" i="4" s="1"/>
  <c r="I146" i="4"/>
  <c r="I22" i="4"/>
  <c r="BH13" i="5"/>
  <c r="J22" i="4" s="1"/>
  <c r="BH27" i="5"/>
  <c r="J36" i="4" s="1"/>
  <c r="I36" i="4"/>
  <c r="BH45" i="5"/>
  <c r="J54" i="4" s="1"/>
  <c r="I54" i="4"/>
  <c r="I66" i="4"/>
  <c r="BH57" i="5"/>
  <c r="J66" i="4" s="1"/>
  <c r="I126" i="4"/>
  <c r="BH117" i="5"/>
  <c r="J126" i="4" s="1"/>
  <c r="I120" i="4"/>
  <c r="BH111" i="5"/>
  <c r="J120" i="4" s="1"/>
  <c r="I124" i="4"/>
  <c r="BH115" i="5"/>
  <c r="J124" i="4" s="1"/>
  <c r="I82" i="4"/>
  <c r="BH73" i="5"/>
  <c r="J82" i="4" s="1"/>
  <c r="AS8" i="5"/>
  <c r="AJ8" i="5"/>
  <c r="AK112" i="5" s="1"/>
  <c r="P116" i="8"/>
  <c r="Q52" i="8"/>
  <c r="I52" i="5" s="1"/>
  <c r="AV52" i="5"/>
  <c r="AX52" i="5" s="1"/>
  <c r="G62" i="4"/>
  <c r="H53" i="5"/>
  <c r="H62" i="4" s="1"/>
  <c r="H49" i="5"/>
  <c r="H58" i="4" s="1"/>
  <c r="G58" i="4"/>
  <c r="H42" i="5"/>
  <c r="H51" i="4" s="1"/>
  <c r="G51" i="4"/>
  <c r="F19" i="6"/>
  <c r="P154" i="8"/>
  <c r="P127" i="8"/>
  <c r="P93" i="8"/>
  <c r="P73" i="8"/>
  <c r="P53" i="8"/>
  <c r="P158" i="8"/>
  <c r="P151" i="8"/>
  <c r="P115" i="8"/>
  <c r="AV115" i="5" s="1"/>
  <c r="AX115" i="5" s="1"/>
  <c r="P109" i="8"/>
  <c r="P103" i="8"/>
  <c r="P100" i="8"/>
  <c r="P70" i="8"/>
  <c r="P68" i="8"/>
  <c r="P46" i="8"/>
  <c r="P44" i="8"/>
  <c r="P35" i="8"/>
  <c r="P22" i="8"/>
  <c r="P16" i="8"/>
  <c r="P14" i="8"/>
  <c r="Q67" i="9"/>
  <c r="BG67" i="5" s="1"/>
  <c r="P146" i="8"/>
  <c r="P139" i="8"/>
  <c r="P130" i="8"/>
  <c r="P125" i="8"/>
  <c r="P124" i="8"/>
  <c r="P94" i="8"/>
  <c r="P84" i="8"/>
  <c r="P74" i="8"/>
  <c r="P60" i="8"/>
  <c r="P54" i="8"/>
  <c r="P32" i="8"/>
  <c r="P28" i="8"/>
  <c r="P15" i="8"/>
  <c r="P147" i="8"/>
  <c r="P140" i="8"/>
  <c r="P91" i="8"/>
  <c r="P85" i="8"/>
  <c r="P75" i="8"/>
  <c r="P61" i="8"/>
  <c r="P51" i="8"/>
  <c r="P37" i="8"/>
  <c r="K84" i="6"/>
  <c r="AA136" i="5"/>
  <c r="AA152" i="5"/>
  <c r="AA144" i="5"/>
  <c r="AA9" i="5"/>
  <c r="AA11" i="5"/>
  <c r="AA113" i="5"/>
  <c r="AA128" i="5"/>
  <c r="AA103" i="5"/>
  <c r="AA59" i="5"/>
  <c r="AA44" i="5"/>
  <c r="AG87" i="5"/>
  <c r="AG124" i="5"/>
  <c r="AG89" i="5"/>
  <c r="AG159" i="5"/>
  <c r="AG78" i="5"/>
  <c r="AG83" i="5"/>
  <c r="AG102" i="5"/>
  <c r="AG20" i="5"/>
  <c r="AG14" i="5"/>
  <c r="AG77" i="5"/>
  <c r="F102" i="6"/>
  <c r="AG33" i="5"/>
  <c r="AG56" i="5"/>
  <c r="AG38" i="5"/>
  <c r="AG136" i="5"/>
  <c r="AG120" i="5"/>
  <c r="AG25" i="5"/>
  <c r="AG60" i="5"/>
  <c r="AG41" i="5"/>
  <c r="AG69" i="5"/>
  <c r="AG116" i="5"/>
  <c r="AG49" i="5"/>
  <c r="AG35" i="5"/>
  <c r="AG27" i="5"/>
  <c r="AG54" i="5"/>
  <c r="AG98" i="5"/>
  <c r="AG113" i="5"/>
  <c r="AG111" i="5"/>
  <c r="AG29" i="5"/>
  <c r="AG96" i="5"/>
  <c r="AG108" i="5"/>
  <c r="AG133" i="5"/>
  <c r="AG137" i="5"/>
  <c r="AG145" i="5"/>
  <c r="AG131" i="5"/>
  <c r="AG147" i="5"/>
  <c r="AG101" i="5"/>
  <c r="AG154" i="5"/>
  <c r="AG61" i="5"/>
  <c r="AG127" i="5"/>
  <c r="AG64" i="5"/>
  <c r="AG16" i="5"/>
  <c r="AG86" i="5"/>
  <c r="AG63" i="5"/>
  <c r="AG156" i="5"/>
  <c r="AG85" i="5"/>
  <c r="AG155" i="5"/>
  <c r="AG11" i="5"/>
  <c r="AG30" i="5"/>
  <c r="AG45" i="5"/>
  <c r="AG57" i="5"/>
  <c r="AG105" i="5"/>
  <c r="AG119" i="5"/>
  <c r="AG70" i="5"/>
  <c r="AG28" i="5"/>
  <c r="AG26" i="5"/>
  <c r="AG95" i="5"/>
  <c r="AG107" i="5"/>
  <c r="AG74" i="5"/>
  <c r="AG44" i="5"/>
  <c r="AG39" i="5"/>
  <c r="AG62" i="5"/>
  <c r="AG93" i="5"/>
  <c r="AG112" i="5"/>
  <c r="AG52" i="5"/>
  <c r="AG59" i="5"/>
  <c r="AG82" i="5"/>
  <c r="AG79" i="5"/>
  <c r="AG90" i="5"/>
  <c r="AG152" i="5"/>
  <c r="AG103" i="5"/>
  <c r="AG67" i="5"/>
  <c r="AG91" i="5"/>
  <c r="AG157" i="5"/>
  <c r="AG66" i="5"/>
  <c r="AG84" i="5"/>
  <c r="AG80" i="5"/>
  <c r="AG71" i="5"/>
  <c r="AG13" i="5"/>
  <c r="AG34" i="5"/>
  <c r="AG51" i="5"/>
  <c r="AG104" i="5"/>
  <c r="AG121" i="5"/>
  <c r="AG17" i="5"/>
  <c r="AG36" i="5"/>
  <c r="AG42" i="5"/>
  <c r="AG118" i="5"/>
  <c r="AG10" i="5"/>
  <c r="AG15" i="5"/>
  <c r="AG81" i="5"/>
  <c r="AG76" i="5"/>
  <c r="AG68" i="5"/>
  <c r="AG99" i="5"/>
  <c r="AG19" i="5"/>
  <c r="AG50" i="5"/>
  <c r="AG117" i="5"/>
  <c r="AG47" i="5"/>
  <c r="AG73" i="5"/>
  <c r="AG142" i="5"/>
  <c r="AG138" i="5"/>
  <c r="AG151" i="5"/>
  <c r="AG143" i="5"/>
  <c r="AG149" i="5"/>
  <c r="AG100" i="5"/>
  <c r="AG122" i="5"/>
  <c r="AG75" i="5"/>
  <c r="AG158" i="5"/>
  <c r="AG94" i="5"/>
  <c r="AG40" i="5"/>
  <c r="AG106" i="5"/>
  <c r="AG12" i="5"/>
  <c r="AG53" i="5"/>
  <c r="AG97" i="5"/>
  <c r="AG148" i="5"/>
  <c r="AG110" i="5"/>
  <c r="AG115" i="5"/>
  <c r="AG135" i="5"/>
  <c r="AG130" i="5"/>
  <c r="AG128" i="5"/>
  <c r="AG153" i="5"/>
  <c r="AG88" i="5"/>
  <c r="AG22" i="5"/>
  <c r="AG123" i="5"/>
  <c r="AG72" i="5"/>
  <c r="AG9" i="5"/>
  <c r="AG23" i="5"/>
  <c r="AG48" i="5"/>
  <c r="AG31" i="5"/>
  <c r="AG32" i="5"/>
  <c r="AG144" i="5"/>
  <c r="AG46" i="5"/>
  <c r="AG109" i="5"/>
  <c r="AG129" i="5"/>
  <c r="AG141" i="5"/>
  <c r="AG146" i="5"/>
  <c r="BH35" i="5"/>
  <c r="J44" i="4" s="1"/>
  <c r="BH41" i="5"/>
  <c r="I50" i="4"/>
  <c r="BH127" i="5"/>
  <c r="I136" i="4"/>
  <c r="BH123" i="5"/>
  <c r="I132" i="4"/>
  <c r="I38" i="4"/>
  <c r="BH29" i="5"/>
  <c r="AP8" i="5"/>
  <c r="AG18" i="5"/>
  <c r="H20" i="4"/>
  <c r="AG21" i="5"/>
  <c r="AK99" i="5"/>
  <c r="AK110" i="5"/>
  <c r="AK38" i="5"/>
  <c r="AK44" i="5"/>
  <c r="K8" i="5"/>
  <c r="AN63" i="5"/>
  <c r="AN106" i="5"/>
  <c r="AN44" i="5"/>
  <c r="AN121" i="5"/>
  <c r="AN77" i="5"/>
  <c r="AN154" i="5"/>
  <c r="AN20" i="5"/>
  <c r="AN124" i="5"/>
  <c r="AD66" i="5"/>
  <c r="AD17" i="5"/>
  <c r="AD80" i="5"/>
  <c r="AD72" i="5"/>
  <c r="AD156" i="5"/>
  <c r="AD129" i="5"/>
  <c r="AD62" i="5"/>
  <c r="AD20" i="5"/>
  <c r="AD104" i="5"/>
  <c r="AD52" i="5"/>
  <c r="F94" i="6"/>
  <c r="AD94" i="5"/>
  <c r="AD48" i="5"/>
  <c r="AD134" i="5"/>
  <c r="BH20" i="5"/>
  <c r="I29" i="4"/>
  <c r="BH12" i="5"/>
  <c r="I21" i="4"/>
  <c r="BH11" i="5"/>
  <c r="I20" i="4"/>
  <c r="BH19" i="5"/>
  <c r="I28" i="4"/>
  <c r="I32" i="4"/>
  <c r="I42" i="4"/>
  <c r="BH33" i="5"/>
  <c r="BH43" i="5"/>
  <c r="I52" i="4"/>
  <c r="BH49" i="5"/>
  <c r="I58" i="4"/>
  <c r="I60" i="4"/>
  <c r="BH51" i="5"/>
  <c r="BH61" i="5"/>
  <c r="I70" i="4"/>
  <c r="I72" i="4"/>
  <c r="I83" i="4"/>
  <c r="BH74" i="5"/>
  <c r="BH78" i="5"/>
  <c r="I87" i="4"/>
  <c r="BH86" i="5"/>
  <c r="I95" i="4"/>
  <c r="BH90" i="5"/>
  <c r="I99" i="4"/>
  <c r="Q8" i="5"/>
  <c r="R20" i="5" s="1"/>
  <c r="I24" i="4"/>
  <c r="AD82" i="5"/>
  <c r="AD135" i="5"/>
  <c r="T8" i="5"/>
  <c r="I98" i="4"/>
  <c r="BH89" i="5"/>
  <c r="I90" i="4"/>
  <c r="BH81" i="5"/>
  <c r="Q9" i="9"/>
  <c r="BG9" i="5" s="1"/>
  <c r="P8" i="9"/>
  <c r="BH21" i="5"/>
  <c r="I30" i="4"/>
  <c r="I48" i="4"/>
  <c r="I62" i="4"/>
  <c r="BH53" i="5"/>
  <c r="BH71" i="5"/>
  <c r="I80" i="4"/>
  <c r="BH80" i="5"/>
  <c r="I89" i="4"/>
  <c r="I93" i="4"/>
  <c r="BH84" i="5"/>
  <c r="BH92" i="5"/>
  <c r="I101" i="4"/>
  <c r="H35" i="5"/>
  <c r="G44" i="4"/>
  <c r="H32" i="5"/>
  <c r="G41" i="4"/>
  <c r="Q83" i="8"/>
  <c r="I83" i="5" s="1"/>
  <c r="AV83" i="5"/>
  <c r="AV79" i="5"/>
  <c r="Q79" i="8"/>
  <c r="I79" i="5" s="1"/>
  <c r="AV41" i="5"/>
  <c r="Q41" i="8"/>
  <c r="I41" i="5" s="1"/>
  <c r="AV31" i="5"/>
  <c r="Q31" i="8"/>
  <c r="I31" i="5" s="1"/>
  <c r="P10" i="8"/>
  <c r="J8" i="8"/>
  <c r="Q115" i="8"/>
  <c r="I115" i="5" s="1"/>
  <c r="I97" i="4"/>
  <c r="I64" i="4"/>
  <c r="BH17" i="5"/>
  <c r="I116" i="4"/>
  <c r="BH107" i="5"/>
  <c r="I96" i="4"/>
  <c r="BH87" i="5"/>
  <c r="I125" i="4"/>
  <c r="BH116" i="5"/>
  <c r="I165" i="4"/>
  <c r="BH156" i="5"/>
  <c r="BH144" i="5"/>
  <c r="I153" i="4"/>
  <c r="BH140" i="5"/>
  <c r="I149" i="4"/>
  <c r="I115" i="4"/>
  <c r="BH106" i="5"/>
  <c r="I111" i="4"/>
  <c r="BH102" i="5"/>
  <c r="I46" i="4"/>
  <c r="BH25" i="5"/>
  <c r="I156" i="4"/>
  <c r="BH147" i="5"/>
  <c r="E8" i="7"/>
  <c r="AV19" i="5"/>
  <c r="I56" i="4"/>
  <c r="I81" i="4"/>
  <c r="I85" i="4"/>
  <c r="I102" i="4"/>
  <c r="BH145" i="5"/>
  <c r="I154" i="4"/>
  <c r="BH131" i="5"/>
  <c r="I140" i="4"/>
  <c r="X59" i="5"/>
  <c r="AA156" i="5"/>
  <c r="AA33" i="5"/>
  <c r="F86" i="6"/>
  <c r="X153" i="5"/>
  <c r="X65" i="5"/>
  <c r="I157" i="4"/>
  <c r="BH83" i="5"/>
  <c r="I92" i="4"/>
  <c r="I79" i="4"/>
  <c r="BH70" i="5"/>
  <c r="BH54" i="5"/>
  <c r="I63" i="4"/>
  <c r="BH38" i="5"/>
  <c r="I47" i="4"/>
  <c r="I110" i="4"/>
  <c r="BH128" i="5"/>
  <c r="BH64" i="5"/>
  <c r="BH96" i="5"/>
  <c r="I121" i="4"/>
  <c r="BH150" i="5"/>
  <c r="I145" i="4"/>
  <c r="BH52" i="5"/>
  <c r="I109" i="4"/>
  <c r="I163" i="4"/>
  <c r="BI8" i="5"/>
  <c r="P157" i="8"/>
  <c r="P156" i="8"/>
  <c r="P142" i="8"/>
  <c r="P137" i="8"/>
  <c r="P136" i="8"/>
  <c r="P126" i="8"/>
  <c r="P121" i="8"/>
  <c r="P120" i="8"/>
  <c r="P45" i="8"/>
  <c r="P11" i="8"/>
  <c r="P144" i="8"/>
  <c r="P132" i="8"/>
  <c r="P78" i="8"/>
  <c r="P33" i="8"/>
  <c r="P17" i="8"/>
  <c r="P112" i="8"/>
  <c r="P104" i="8"/>
  <c r="P96" i="8"/>
  <c r="P88" i="8"/>
  <c r="P80" i="8"/>
  <c r="P72" i="8"/>
  <c r="P64" i="8"/>
  <c r="P56" i="8"/>
  <c r="P48" i="8"/>
  <c r="P40" i="8"/>
  <c r="P29" i="8"/>
  <c r="P24" i="8"/>
  <c r="P13" i="8"/>
  <c r="Q159" i="9"/>
  <c r="BG159" i="5" s="1"/>
  <c r="P114" i="8"/>
  <c r="P106" i="8"/>
  <c r="P98" i="8"/>
  <c r="P90" i="8"/>
  <c r="P82" i="8"/>
  <c r="P66" i="8"/>
  <c r="P58" i="8"/>
  <c r="P50" i="8"/>
  <c r="P42" i="8"/>
  <c r="P36" i="8"/>
  <c r="P25" i="8"/>
  <c r="P20" i="8"/>
  <c r="P9" i="8"/>
  <c r="AA150" i="5" l="1"/>
  <c r="AA114" i="5"/>
  <c r="AV62" i="5"/>
  <c r="AX62" i="5" s="1"/>
  <c r="Q62" i="8"/>
  <c r="I62" i="5" s="1"/>
  <c r="AV34" i="5"/>
  <c r="AX34" i="5" s="1"/>
  <c r="Q34" i="8"/>
  <c r="I34" i="5" s="1"/>
  <c r="Q81" i="8"/>
  <c r="I81" i="5" s="1"/>
  <c r="AV81" i="5"/>
  <c r="AX81" i="5" s="1"/>
  <c r="AV135" i="5"/>
  <c r="AX135" i="5" s="1"/>
  <c r="Q135" i="8"/>
  <c r="I135" i="5" s="1"/>
  <c r="AA121" i="5"/>
  <c r="AK39" i="5"/>
  <c r="AK118" i="5"/>
  <c r="AK11" i="5"/>
  <c r="AA63" i="5"/>
  <c r="AA28" i="5"/>
  <c r="AA75" i="5"/>
  <c r="AA115" i="5"/>
  <c r="AA49" i="5"/>
  <c r="AA72" i="5"/>
  <c r="AA127" i="5"/>
  <c r="AA81" i="5"/>
  <c r="AA80" i="5"/>
  <c r="AA88" i="5"/>
  <c r="AT50" i="5"/>
  <c r="AA10" i="5"/>
  <c r="Q30" i="8"/>
  <c r="I30" i="5" s="1"/>
  <c r="AT117" i="5"/>
  <c r="AA139" i="5"/>
  <c r="AA133" i="5"/>
  <c r="AA146" i="5"/>
  <c r="AA50" i="5"/>
  <c r="Q87" i="8"/>
  <c r="I87" i="5" s="1"/>
  <c r="AV87" i="5"/>
  <c r="AX87" i="5" s="1"/>
  <c r="Q86" i="8"/>
  <c r="I86" i="5" s="1"/>
  <c r="AV86" i="5"/>
  <c r="AX86" i="5" s="1"/>
  <c r="Q143" i="8"/>
  <c r="I143" i="5" s="1"/>
  <c r="AV143" i="5"/>
  <c r="AX143" i="5" s="1"/>
  <c r="BL128" i="5"/>
  <c r="AY128" i="5"/>
  <c r="X64" i="5"/>
  <c r="AA78" i="5"/>
  <c r="Q148" i="8"/>
  <c r="I148" i="5" s="1"/>
  <c r="AV148" i="5"/>
  <c r="AX148" i="5" s="1"/>
  <c r="X71" i="5"/>
  <c r="AA65" i="5"/>
  <c r="AA37" i="5"/>
  <c r="AA87" i="5"/>
  <c r="AA51" i="5"/>
  <c r="I40" i="4"/>
  <c r="AK121" i="5"/>
  <c r="AK107" i="5"/>
  <c r="AK91" i="5"/>
  <c r="AK74" i="5"/>
  <c r="AA90" i="5"/>
  <c r="AA145" i="5"/>
  <c r="AA46" i="5"/>
  <c r="AA58" i="5"/>
  <c r="AA61" i="5"/>
  <c r="AA26" i="5"/>
  <c r="AA60" i="5"/>
  <c r="AA48" i="5"/>
  <c r="AA116" i="5"/>
  <c r="AA99" i="5"/>
  <c r="AA124" i="5"/>
  <c r="AN65" i="5"/>
  <c r="AA125" i="5"/>
  <c r="AA25" i="5"/>
  <c r="AA18" i="5"/>
  <c r="AA109" i="5"/>
  <c r="AA95" i="5"/>
  <c r="AA47" i="5"/>
  <c r="AA154" i="5"/>
  <c r="AV43" i="5"/>
  <c r="AX43" i="5" s="1"/>
  <c r="Q43" i="8"/>
  <c r="I43" i="5" s="1"/>
  <c r="AV123" i="5"/>
  <c r="AX123" i="5" s="1"/>
  <c r="Q123" i="8"/>
  <c r="I123" i="5" s="1"/>
  <c r="Q21" i="8"/>
  <c r="I21" i="5" s="1"/>
  <c r="AV21" i="5"/>
  <c r="AX21" i="5" s="1"/>
  <c r="AV59" i="5"/>
  <c r="AX59" i="5" s="1"/>
  <c r="Q59" i="8"/>
  <c r="I59" i="5" s="1"/>
  <c r="AV118" i="5"/>
  <c r="AX118" i="5" s="1"/>
  <c r="Q118" i="8"/>
  <c r="I118" i="5" s="1"/>
  <c r="Q155" i="8"/>
  <c r="I155" i="5" s="1"/>
  <c r="AV155" i="5"/>
  <c r="AX155" i="5" s="1"/>
  <c r="I68" i="4"/>
  <c r="BH59" i="5"/>
  <c r="J68" i="4" s="1"/>
  <c r="AK143" i="5"/>
  <c r="AA131" i="5"/>
  <c r="AA82" i="5"/>
  <c r="X67" i="5"/>
  <c r="AA94" i="5"/>
  <c r="AA104" i="5"/>
  <c r="AA16" i="5"/>
  <c r="X28" i="5"/>
  <c r="AK144" i="5"/>
  <c r="AK23" i="5"/>
  <c r="AK30" i="5"/>
  <c r="AK89" i="5"/>
  <c r="AA148" i="5"/>
  <c r="AA157" i="5"/>
  <c r="AA71" i="5"/>
  <c r="AA101" i="5"/>
  <c r="AA138" i="5"/>
  <c r="AA100" i="5"/>
  <c r="AA24" i="5"/>
  <c r="AA118" i="5"/>
  <c r="AA38" i="5"/>
  <c r="AA76" i="5"/>
  <c r="AA147" i="5"/>
  <c r="AA140" i="5"/>
  <c r="AA92" i="5"/>
  <c r="AA57" i="5"/>
  <c r="AA96" i="5"/>
  <c r="AA98" i="5"/>
  <c r="AA153" i="5"/>
  <c r="AA132" i="5"/>
  <c r="Q57" i="8"/>
  <c r="I57" i="5" s="1"/>
  <c r="AV57" i="5"/>
  <c r="AX57" i="5" s="1"/>
  <c r="AV141" i="5"/>
  <c r="AX141" i="5" s="1"/>
  <c r="Q141" i="8"/>
  <c r="I141" i="5" s="1"/>
  <c r="Q26" i="8"/>
  <c r="I26" i="5" s="1"/>
  <c r="AV26" i="5"/>
  <c r="AX26" i="5" s="1"/>
  <c r="AV67" i="5"/>
  <c r="AX67" i="5" s="1"/>
  <c r="Q67" i="8"/>
  <c r="I67" i="5" s="1"/>
  <c r="AV134" i="5"/>
  <c r="AX134" i="5" s="1"/>
  <c r="Q134" i="8"/>
  <c r="I134" i="5" s="1"/>
  <c r="I74" i="4"/>
  <c r="BH65" i="5"/>
  <c r="J74" i="4" s="1"/>
  <c r="AY63" i="5"/>
  <c r="BL63" i="5"/>
  <c r="BL133" i="5"/>
  <c r="AY133" i="5"/>
  <c r="AN64" i="5"/>
  <c r="AN27" i="5"/>
  <c r="AN33" i="5"/>
  <c r="AD119" i="5"/>
  <c r="BL89" i="5"/>
  <c r="AY89" i="5"/>
  <c r="AY113" i="5"/>
  <c r="BL113" i="5"/>
  <c r="Q51" i="8"/>
  <c r="I51" i="5" s="1"/>
  <c r="AV51" i="5"/>
  <c r="AX51" i="5" s="1"/>
  <c r="AV91" i="5"/>
  <c r="AX91" i="5" s="1"/>
  <c r="Q91" i="8"/>
  <c r="I91" i="5" s="1"/>
  <c r="AV28" i="5"/>
  <c r="AX28" i="5" s="1"/>
  <c r="Q28" i="8"/>
  <c r="I28" i="5" s="1"/>
  <c r="AV74" i="5"/>
  <c r="AX74" i="5" s="1"/>
  <c r="Q74" i="8"/>
  <c r="I74" i="5" s="1"/>
  <c r="Q125" i="8"/>
  <c r="I125" i="5" s="1"/>
  <c r="AV125" i="5"/>
  <c r="AX125" i="5" s="1"/>
  <c r="BH67" i="5"/>
  <c r="J76" i="4" s="1"/>
  <c r="I76" i="4"/>
  <c r="AV35" i="5"/>
  <c r="AX35" i="5" s="1"/>
  <c r="Q35" i="8"/>
  <c r="I35" i="5" s="1"/>
  <c r="AV70" i="5"/>
  <c r="AX70" i="5" s="1"/>
  <c r="Q70" i="8"/>
  <c r="I70" i="5" s="1"/>
  <c r="BL115" i="5"/>
  <c r="AY115" i="5"/>
  <c r="Q73" i="8"/>
  <c r="I73" i="5" s="1"/>
  <c r="AV73" i="5"/>
  <c r="AX73" i="5" s="1"/>
  <c r="O8" i="5"/>
  <c r="E35" i="3"/>
  <c r="AN125" i="5"/>
  <c r="AN122" i="5"/>
  <c r="F120" i="6"/>
  <c r="AN137" i="5"/>
  <c r="AN120" i="5"/>
  <c r="AN144" i="5"/>
  <c r="AN110" i="5"/>
  <c r="AN16" i="5"/>
  <c r="AN59" i="5"/>
  <c r="AN46" i="5"/>
  <c r="AN119" i="5"/>
  <c r="AN132" i="5"/>
  <c r="AN28" i="5"/>
  <c r="AN40" i="5"/>
  <c r="AN80" i="5"/>
  <c r="AN105" i="5"/>
  <c r="AN15" i="5"/>
  <c r="AN43" i="5"/>
  <c r="AN75" i="5"/>
  <c r="AN103" i="5"/>
  <c r="AN23" i="5"/>
  <c r="AN73" i="5"/>
  <c r="AN98" i="5"/>
  <c r="AN151" i="5"/>
  <c r="AN123" i="5"/>
  <c r="AN102" i="5"/>
  <c r="AN145" i="5"/>
  <c r="AN129" i="5"/>
  <c r="AN140" i="5"/>
  <c r="AN93" i="5"/>
  <c r="AN17" i="5"/>
  <c r="AN38" i="5"/>
  <c r="AN36" i="5"/>
  <c r="AN96" i="5"/>
  <c r="AN30" i="5"/>
  <c r="AN47" i="5"/>
  <c r="AN29" i="5"/>
  <c r="AN82" i="5"/>
  <c r="AN117" i="5"/>
  <c r="AN21" i="5"/>
  <c r="AN69" i="5"/>
  <c r="AN79" i="5"/>
  <c r="AN104" i="5"/>
  <c r="AN31" i="5"/>
  <c r="AN49" i="5"/>
  <c r="AN86" i="5"/>
  <c r="AN109" i="5"/>
  <c r="AN150" i="5"/>
  <c r="AN127" i="5"/>
  <c r="AN141" i="5"/>
  <c r="AN112" i="5"/>
  <c r="AN10" i="5"/>
  <c r="AN54" i="5"/>
  <c r="AN107" i="5"/>
  <c r="AN34" i="5"/>
  <c r="AN83" i="5"/>
  <c r="AN58" i="5"/>
  <c r="AN81" i="5"/>
  <c r="AN37" i="5"/>
  <c r="AN74" i="5"/>
  <c r="AN158" i="5"/>
  <c r="AN128" i="5"/>
  <c r="AN50" i="5"/>
  <c r="AN72" i="5"/>
  <c r="AN70" i="5"/>
  <c r="AN52" i="5"/>
  <c r="AN139" i="5"/>
  <c r="AN134" i="5"/>
  <c r="AN12" i="5"/>
  <c r="AN57" i="5"/>
  <c r="AN147" i="5"/>
  <c r="AN26" i="5"/>
  <c r="AN94" i="5"/>
  <c r="AN39" i="5"/>
  <c r="AN89" i="5"/>
  <c r="AN41" i="5"/>
  <c r="AN97" i="5"/>
  <c r="AN118" i="5"/>
  <c r="AN55" i="5"/>
  <c r="AN11" i="5"/>
  <c r="AN95" i="5"/>
  <c r="AN133" i="5"/>
  <c r="AN61" i="5"/>
  <c r="AN45" i="5"/>
  <c r="AN91" i="5"/>
  <c r="AN114" i="5"/>
  <c r="AN78" i="5"/>
  <c r="AN60" i="5"/>
  <c r="AN142" i="5"/>
  <c r="AN18" i="5"/>
  <c r="AN53" i="5"/>
  <c r="AN19" i="5"/>
  <c r="AN159" i="5"/>
  <c r="AN90" i="5"/>
  <c r="AN130" i="5"/>
  <c r="AN84" i="5"/>
  <c r="AN25" i="5"/>
  <c r="AN66" i="5"/>
  <c r="AN126" i="5"/>
  <c r="AN138" i="5"/>
  <c r="AN14" i="5"/>
  <c r="AN85" i="5"/>
  <c r="AN32" i="5"/>
  <c r="AN13" i="5"/>
  <c r="AN115" i="5"/>
  <c r="AN62" i="5"/>
  <c r="AN101" i="5"/>
  <c r="AN67" i="5"/>
  <c r="AN156" i="5"/>
  <c r="AN152" i="5"/>
  <c r="AN157" i="5"/>
  <c r="AN51" i="5"/>
  <c r="AN100" i="5"/>
  <c r="AN149" i="5"/>
  <c r="AN108" i="5"/>
  <c r="AN24" i="5"/>
  <c r="AN131" i="5"/>
  <c r="AN76" i="5"/>
  <c r="AN42" i="5"/>
  <c r="AN111" i="5"/>
  <c r="AN87" i="5"/>
  <c r="AN22" i="5"/>
  <c r="AN99" i="5"/>
  <c r="AN155" i="5"/>
  <c r="AN153" i="5"/>
  <c r="AN116" i="5"/>
  <c r="AN9" i="5"/>
  <c r="AN148" i="5"/>
  <c r="AN143" i="5"/>
  <c r="AN136" i="5"/>
  <c r="AN48" i="5"/>
  <c r="AN56" i="5"/>
  <c r="AN71" i="5"/>
  <c r="AN88" i="5"/>
  <c r="AN35" i="5"/>
  <c r="AN113" i="5"/>
  <c r="AN68" i="5"/>
  <c r="AN92" i="5"/>
  <c r="AN146" i="5"/>
  <c r="J167" i="4"/>
  <c r="F21" i="6"/>
  <c r="M169" i="6"/>
  <c r="M178" i="6" s="1"/>
  <c r="K92" i="6"/>
  <c r="AD76" i="5"/>
  <c r="AD130" i="5"/>
  <c r="AD9" i="5"/>
  <c r="AD58" i="5"/>
  <c r="AD71" i="5"/>
  <c r="AD89" i="5"/>
  <c r="AD114" i="5"/>
  <c r="AD28" i="5"/>
  <c r="AD46" i="5"/>
  <c r="AD65" i="5"/>
  <c r="AD99" i="5"/>
  <c r="AD140" i="5"/>
  <c r="AD24" i="5"/>
  <c r="AD148" i="5"/>
  <c r="AD122" i="5"/>
  <c r="AD133" i="5"/>
  <c r="AD112" i="5"/>
  <c r="AD81" i="5"/>
  <c r="AD124" i="5"/>
  <c r="AY149" i="5"/>
  <c r="BL149" i="5"/>
  <c r="BL38" i="5"/>
  <c r="AY38" i="5"/>
  <c r="Q99" i="8"/>
  <c r="I99" i="5" s="1"/>
  <c r="AV99" i="5"/>
  <c r="AX99" i="5" s="1"/>
  <c r="AN135" i="5"/>
  <c r="AV61" i="5"/>
  <c r="AX61" i="5" s="1"/>
  <c r="Q61" i="8"/>
  <c r="I61" i="5" s="1"/>
  <c r="AV140" i="5"/>
  <c r="AX140" i="5" s="1"/>
  <c r="Q140" i="8"/>
  <c r="I140" i="5" s="1"/>
  <c r="AV32" i="5"/>
  <c r="AX32" i="5" s="1"/>
  <c r="Q32" i="8"/>
  <c r="I32" i="5" s="1"/>
  <c r="Q84" i="8"/>
  <c r="I84" i="5" s="1"/>
  <c r="AV84" i="5"/>
  <c r="AX84" i="5" s="1"/>
  <c r="Q130" i="8"/>
  <c r="I130" i="5" s="1"/>
  <c r="AV130" i="5"/>
  <c r="AX130" i="5" s="1"/>
  <c r="AV14" i="5"/>
  <c r="AX14" i="5" s="1"/>
  <c r="Q14" i="8"/>
  <c r="I14" i="5" s="1"/>
  <c r="Q44" i="8"/>
  <c r="I44" i="5" s="1"/>
  <c r="AV44" i="5"/>
  <c r="AX44" i="5" s="1"/>
  <c r="Q100" i="8"/>
  <c r="I100" i="5" s="1"/>
  <c r="AV100" i="5"/>
  <c r="AX100" i="5" s="1"/>
  <c r="Q151" i="8"/>
  <c r="I151" i="5" s="1"/>
  <c r="AV151" i="5"/>
  <c r="AX151" i="5" s="1"/>
  <c r="Q93" i="8"/>
  <c r="I93" i="5" s="1"/>
  <c r="AV93" i="5"/>
  <c r="AX93" i="5" s="1"/>
  <c r="Q116" i="8"/>
  <c r="I116" i="5" s="1"/>
  <c r="AV116" i="5"/>
  <c r="AX116" i="5" s="1"/>
  <c r="AG58" i="5"/>
  <c r="AG132" i="5"/>
  <c r="AG65" i="5"/>
  <c r="AG24" i="5"/>
  <c r="AG43" i="5"/>
  <c r="AG140" i="5"/>
  <c r="AH140" i="5" s="1"/>
  <c r="AG125" i="5"/>
  <c r="AG134" i="5"/>
  <c r="AG150" i="5"/>
  <c r="AG139" i="5"/>
  <c r="AG92" i="5"/>
  <c r="AG114" i="5"/>
  <c r="AG55" i="5"/>
  <c r="AG126" i="5"/>
  <c r="BL71" i="5"/>
  <c r="AY71" i="5"/>
  <c r="X112" i="5"/>
  <c r="AD27" i="5"/>
  <c r="AD152" i="5"/>
  <c r="BL12" i="5"/>
  <c r="AY12" i="5"/>
  <c r="AY39" i="5"/>
  <c r="BL39" i="5"/>
  <c r="Q102" i="8"/>
  <c r="I102" i="5" s="1"/>
  <c r="AV102" i="5"/>
  <c r="AX102" i="5" s="1"/>
  <c r="AA112" i="5"/>
  <c r="AA123" i="5"/>
  <c r="AA108" i="5"/>
  <c r="AA134" i="5"/>
  <c r="AA93" i="5"/>
  <c r="AA22" i="5"/>
  <c r="AA91" i="5"/>
  <c r="AA62" i="5"/>
  <c r="AA68" i="5"/>
  <c r="AA23" i="5"/>
  <c r="AA29" i="5"/>
  <c r="AA21" i="5"/>
  <c r="AA135" i="5"/>
  <c r="AA77" i="5"/>
  <c r="AA32" i="5"/>
  <c r="AA67" i="5"/>
  <c r="AA56" i="5"/>
  <c r="AA42" i="5"/>
  <c r="AA19" i="5"/>
  <c r="AA111" i="5"/>
  <c r="AA79" i="5"/>
  <c r="AA64" i="5"/>
  <c r="AA12" i="5"/>
  <c r="AA39" i="5"/>
  <c r="AV75" i="5"/>
  <c r="AX75" i="5" s="1"/>
  <c r="Q75" i="8"/>
  <c r="I75" i="5" s="1"/>
  <c r="Q147" i="8"/>
  <c r="I147" i="5" s="1"/>
  <c r="AV147" i="5"/>
  <c r="AX147" i="5" s="1"/>
  <c r="Q54" i="8"/>
  <c r="I54" i="5" s="1"/>
  <c r="AV54" i="5"/>
  <c r="AX54" i="5" s="1"/>
  <c r="Q94" i="8"/>
  <c r="I94" i="5" s="1"/>
  <c r="AV94" i="5"/>
  <c r="AX94" i="5" s="1"/>
  <c r="Q139" i="8"/>
  <c r="I139" i="5" s="1"/>
  <c r="AV139" i="5"/>
  <c r="AX139" i="5" s="1"/>
  <c r="AV16" i="5"/>
  <c r="AX16" i="5" s="1"/>
  <c r="Q16" i="8"/>
  <c r="I16" i="5" s="1"/>
  <c r="Q46" i="8"/>
  <c r="I46" i="5" s="1"/>
  <c r="AV46" i="5"/>
  <c r="AX46" i="5" s="1"/>
  <c r="Q103" i="8"/>
  <c r="I103" i="5" s="1"/>
  <c r="AV103" i="5"/>
  <c r="AX103" i="5" s="1"/>
  <c r="M36" i="6"/>
  <c r="AV158" i="5"/>
  <c r="AX158" i="5" s="1"/>
  <c r="Q158" i="8"/>
  <c r="I158" i="5" s="1"/>
  <c r="Q127" i="8"/>
  <c r="I127" i="5" s="1"/>
  <c r="AV127" i="5"/>
  <c r="AX127" i="5" s="1"/>
  <c r="AK159" i="5"/>
  <c r="F112" i="6"/>
  <c r="AK94" i="5"/>
  <c r="AK101" i="5"/>
  <c r="AK48" i="5"/>
  <c r="AK129" i="5"/>
  <c r="AK155" i="5"/>
  <c r="AK14" i="5"/>
  <c r="AK71" i="5"/>
  <c r="AK49" i="5"/>
  <c r="AK115" i="5"/>
  <c r="AK79" i="5"/>
  <c r="AK97" i="5"/>
  <c r="AK134" i="5"/>
  <c r="AK19" i="5"/>
  <c r="AK66" i="5"/>
  <c r="AK84" i="5"/>
  <c r="AK114" i="5"/>
  <c r="AK83" i="5"/>
  <c r="AK103" i="5"/>
  <c r="AK133" i="5"/>
  <c r="AK62" i="5"/>
  <c r="AK53" i="5"/>
  <c r="AK111" i="5"/>
  <c r="AK27" i="5"/>
  <c r="AK95" i="5"/>
  <c r="AK58" i="5"/>
  <c r="AK61" i="5"/>
  <c r="AK76" i="5"/>
  <c r="AK128" i="5"/>
  <c r="AK70" i="5"/>
  <c r="AK142" i="5"/>
  <c r="AK22" i="5"/>
  <c r="AK12" i="5"/>
  <c r="AK113" i="5"/>
  <c r="AK141" i="5"/>
  <c r="AK68" i="5"/>
  <c r="AK21" i="5"/>
  <c r="AK145" i="5"/>
  <c r="AK40" i="5"/>
  <c r="AK96" i="5"/>
  <c r="AK136" i="5"/>
  <c r="AK20" i="5"/>
  <c r="AK9" i="5"/>
  <c r="AK125" i="5"/>
  <c r="AK60" i="5"/>
  <c r="AK15" i="5"/>
  <c r="AK98" i="5"/>
  <c r="AK87" i="5"/>
  <c r="AK46" i="5"/>
  <c r="AK124" i="5"/>
  <c r="AK56" i="5"/>
  <c r="AK16" i="5"/>
  <c r="AK119" i="5"/>
  <c r="AK81" i="5"/>
  <c r="AK106" i="5"/>
  <c r="AK156" i="5"/>
  <c r="AK100" i="5"/>
  <c r="AK104" i="5"/>
  <c r="AK41" i="5"/>
  <c r="AK135" i="5"/>
  <c r="AK29" i="5"/>
  <c r="AK122" i="5"/>
  <c r="AK157" i="5"/>
  <c r="AK25" i="5"/>
  <c r="AK92" i="5"/>
  <c r="AK32" i="5"/>
  <c r="AK139" i="5"/>
  <c r="AK45" i="5"/>
  <c r="AK151" i="5"/>
  <c r="AK42" i="5"/>
  <c r="AK73" i="5"/>
  <c r="AK150" i="5"/>
  <c r="AK31" i="5"/>
  <c r="AK63" i="5"/>
  <c r="AK137" i="5"/>
  <c r="AK158" i="5"/>
  <c r="AK43" i="5"/>
  <c r="AK123" i="5"/>
  <c r="AK85" i="5"/>
  <c r="AK36" i="5"/>
  <c r="AK24" i="5"/>
  <c r="AK18" i="5"/>
  <c r="AK50" i="5"/>
  <c r="AK17" i="5"/>
  <c r="AK65" i="5"/>
  <c r="AK152" i="5"/>
  <c r="AK33" i="5"/>
  <c r="AK35" i="5"/>
  <c r="AK147" i="5"/>
  <c r="AK130" i="5"/>
  <c r="AK116" i="5"/>
  <c r="AK127" i="5"/>
  <c r="AK105" i="5"/>
  <c r="AK109" i="5"/>
  <c r="AK67" i="5"/>
  <c r="AK117" i="5"/>
  <c r="AK108" i="5"/>
  <c r="AK10" i="5"/>
  <c r="AK13" i="5"/>
  <c r="AK64" i="5"/>
  <c r="AK90" i="5"/>
  <c r="AK69" i="5"/>
  <c r="AK148" i="5"/>
  <c r="AK57" i="5"/>
  <c r="AK88" i="5"/>
  <c r="AK75" i="5"/>
  <c r="AK154" i="5"/>
  <c r="AK80" i="5"/>
  <c r="AK59" i="5"/>
  <c r="AK140" i="5"/>
  <c r="AK126" i="5"/>
  <c r="AK51" i="5"/>
  <c r="AK72" i="5"/>
  <c r="AK34" i="5"/>
  <c r="AK149" i="5"/>
  <c r="AK54" i="5"/>
  <c r="AK55" i="5"/>
  <c r="AK82" i="5"/>
  <c r="AK86" i="5"/>
  <c r="AK153" i="5"/>
  <c r="AK93" i="5"/>
  <c r="AK132" i="5"/>
  <c r="AK131" i="5"/>
  <c r="AK78" i="5"/>
  <c r="AK102" i="5"/>
  <c r="AK120" i="5"/>
  <c r="AK28" i="5"/>
  <c r="AK47" i="5"/>
  <c r="AK77" i="5"/>
  <c r="AK138" i="5"/>
  <c r="AK37" i="5"/>
  <c r="AK146" i="5"/>
  <c r="AK26" i="5"/>
  <c r="AK52" i="5"/>
  <c r="X63" i="5"/>
  <c r="X90" i="5"/>
  <c r="X99" i="5"/>
  <c r="X76" i="5"/>
  <c r="X103" i="5"/>
  <c r="X104" i="5"/>
  <c r="X72" i="5"/>
  <c r="X123" i="5"/>
  <c r="X51" i="5"/>
  <c r="X156" i="5"/>
  <c r="X91" i="5"/>
  <c r="X68" i="5"/>
  <c r="X80" i="5"/>
  <c r="X66" i="5"/>
  <c r="X116" i="5"/>
  <c r="X131" i="5"/>
  <c r="X118" i="5"/>
  <c r="X36" i="5"/>
  <c r="X88" i="5"/>
  <c r="X26" i="5"/>
  <c r="X75" i="5"/>
  <c r="X111" i="5"/>
  <c r="X142" i="5"/>
  <c r="X10" i="5"/>
  <c r="X69" i="5"/>
  <c r="X44" i="5"/>
  <c r="X32" i="5"/>
  <c r="X109" i="5"/>
  <c r="X16" i="5"/>
  <c r="X27" i="5"/>
  <c r="X55" i="5"/>
  <c r="X86" i="5"/>
  <c r="X81" i="5"/>
  <c r="X115" i="5"/>
  <c r="X137" i="5"/>
  <c r="X11" i="5"/>
  <c r="X30" i="5"/>
  <c r="X33" i="5"/>
  <c r="X70" i="5"/>
  <c r="X97" i="5"/>
  <c r="X140" i="5"/>
  <c r="X154" i="5"/>
  <c r="X159" i="5"/>
  <c r="X126" i="5"/>
  <c r="X127" i="5"/>
  <c r="X125" i="5"/>
  <c r="F78" i="6"/>
  <c r="X130" i="5"/>
  <c r="X114" i="5"/>
  <c r="X29" i="5"/>
  <c r="X43" i="5"/>
  <c r="X50" i="5"/>
  <c r="X42" i="5"/>
  <c r="X79" i="5"/>
  <c r="X98" i="5"/>
  <c r="X145" i="5"/>
  <c r="X58" i="5"/>
  <c r="X47" i="5"/>
  <c r="X54" i="5"/>
  <c r="X134" i="5"/>
  <c r="X21" i="5"/>
  <c r="X60" i="5"/>
  <c r="X46" i="5"/>
  <c r="X85" i="5"/>
  <c r="X128" i="5"/>
  <c r="X13" i="5"/>
  <c r="X34" i="5"/>
  <c r="X45" i="5"/>
  <c r="X93" i="5"/>
  <c r="X113" i="5"/>
  <c r="X144" i="5"/>
  <c r="X151" i="5"/>
  <c r="X157" i="5"/>
  <c r="X94" i="5"/>
  <c r="X9" i="5"/>
  <c r="X132" i="5"/>
  <c r="X108" i="5"/>
  <c r="X110" i="5"/>
  <c r="X61" i="5"/>
  <c r="X48" i="5"/>
  <c r="X107" i="5"/>
  <c r="X12" i="5"/>
  <c r="X53" i="5"/>
  <c r="X39" i="5"/>
  <c r="X119" i="5"/>
  <c r="X17" i="5"/>
  <c r="X38" i="5"/>
  <c r="X135" i="5"/>
  <c r="X146" i="5"/>
  <c r="X149" i="5"/>
  <c r="X100" i="5"/>
  <c r="X124" i="5"/>
  <c r="X37" i="5"/>
  <c r="X147" i="5"/>
  <c r="X18" i="5"/>
  <c r="X89" i="5"/>
  <c r="X40" i="5"/>
  <c r="X148" i="5"/>
  <c r="X82" i="5"/>
  <c r="X155" i="5"/>
  <c r="X133" i="5"/>
  <c r="AH133" i="5" s="1"/>
  <c r="X106" i="5"/>
  <c r="X84" i="5"/>
  <c r="X74" i="5"/>
  <c r="X138" i="5"/>
  <c r="AH138" i="5" s="1"/>
  <c r="X49" i="5"/>
  <c r="X22" i="5"/>
  <c r="X141" i="5"/>
  <c r="X52" i="5"/>
  <c r="X77" i="5"/>
  <c r="X139" i="5"/>
  <c r="X20" i="5"/>
  <c r="X57" i="5"/>
  <c r="X136" i="5"/>
  <c r="X152" i="5"/>
  <c r="X102" i="5"/>
  <c r="X92" i="5"/>
  <c r="X129" i="5"/>
  <c r="X158" i="5"/>
  <c r="M76" i="6" s="1"/>
  <c r="X83" i="5"/>
  <c r="X31" i="5"/>
  <c r="X73" i="5"/>
  <c r="X117" i="5"/>
  <c r="X105" i="5"/>
  <c r="X35" i="5"/>
  <c r="X96" i="5"/>
  <c r="X150" i="5"/>
  <c r="X78" i="5"/>
  <c r="X101" i="5"/>
  <c r="X41" i="5"/>
  <c r="X121" i="5"/>
  <c r="X15" i="5"/>
  <c r="X25" i="5"/>
  <c r="X122" i="5"/>
  <c r="X95" i="5"/>
  <c r="X120" i="5"/>
  <c r="X87" i="5"/>
  <c r="X19" i="5"/>
  <c r="X56" i="5"/>
  <c r="BL23" i="5"/>
  <c r="AY23" i="5"/>
  <c r="X24" i="5"/>
  <c r="X62" i="5"/>
  <c r="AY69" i="5"/>
  <c r="BL69" i="5"/>
  <c r="AV108" i="5"/>
  <c r="AX108" i="5" s="1"/>
  <c r="Q108" i="8"/>
  <c r="I108" i="5" s="1"/>
  <c r="AY129" i="5"/>
  <c r="BL129" i="5"/>
  <c r="AG37" i="5"/>
  <c r="AA17" i="5"/>
  <c r="AA52" i="5"/>
  <c r="X143" i="5"/>
  <c r="AA45" i="5"/>
  <c r="AA43" i="5"/>
  <c r="AT124" i="5"/>
  <c r="AA141" i="5"/>
  <c r="AA84" i="5"/>
  <c r="AA14" i="5"/>
  <c r="AA15" i="5"/>
  <c r="AA159" i="5"/>
  <c r="AA97" i="5"/>
  <c r="AA155" i="5"/>
  <c r="AA130" i="5"/>
  <c r="AA20" i="5"/>
  <c r="AH20" i="5" s="1"/>
  <c r="AA86" i="5"/>
  <c r="AA34" i="5"/>
  <c r="AA41" i="5"/>
  <c r="AA142" i="5"/>
  <c r="AA107" i="5"/>
  <c r="AA151" i="5"/>
  <c r="AA27" i="5"/>
  <c r="AA105" i="5"/>
  <c r="AT12" i="5"/>
  <c r="Q37" i="8"/>
  <c r="I37" i="5" s="1"/>
  <c r="AV37" i="5"/>
  <c r="AX37" i="5" s="1"/>
  <c r="AV85" i="5"/>
  <c r="AX85" i="5" s="1"/>
  <c r="Q85" i="8"/>
  <c r="I85" i="5" s="1"/>
  <c r="Q15" i="8"/>
  <c r="I15" i="5" s="1"/>
  <c r="AV15" i="5"/>
  <c r="AX15" i="5" s="1"/>
  <c r="AV60" i="5"/>
  <c r="AX60" i="5" s="1"/>
  <c r="Q60" i="8"/>
  <c r="I60" i="5" s="1"/>
  <c r="Q124" i="8"/>
  <c r="I124" i="5" s="1"/>
  <c r="AV124" i="5"/>
  <c r="AX124" i="5" s="1"/>
  <c r="Q146" i="8"/>
  <c r="I146" i="5" s="1"/>
  <c r="AV146" i="5"/>
  <c r="AX146" i="5" s="1"/>
  <c r="Q22" i="8"/>
  <c r="I22" i="5" s="1"/>
  <c r="AV22" i="5"/>
  <c r="AX22" i="5" s="1"/>
  <c r="AV68" i="5"/>
  <c r="AX68" i="5" s="1"/>
  <c r="Q68" i="8"/>
  <c r="I68" i="5" s="1"/>
  <c r="Q109" i="8"/>
  <c r="I109" i="5" s="1"/>
  <c r="AV109" i="5"/>
  <c r="AX109" i="5" s="1"/>
  <c r="Q53" i="8"/>
  <c r="I53" i="5" s="1"/>
  <c r="AV53" i="5"/>
  <c r="AX53" i="5" s="1"/>
  <c r="AV154" i="5"/>
  <c r="AX154" i="5" s="1"/>
  <c r="Q154" i="8"/>
  <c r="I154" i="5" s="1"/>
  <c r="AY52" i="5"/>
  <c r="BL52" i="5"/>
  <c r="F136" i="6"/>
  <c r="AT80" i="5"/>
  <c r="AT120" i="5"/>
  <c r="AT64" i="5"/>
  <c r="AT72" i="5"/>
  <c r="AT132" i="5"/>
  <c r="AT28" i="5"/>
  <c r="AT87" i="5"/>
  <c r="AT31" i="5"/>
  <c r="AT37" i="5"/>
  <c r="AT134" i="5"/>
  <c r="AT16" i="5"/>
  <c r="AT34" i="5"/>
  <c r="AT158" i="5"/>
  <c r="AT85" i="5"/>
  <c r="AT111" i="5"/>
  <c r="AT21" i="5"/>
  <c r="AT11" i="5"/>
  <c r="AT17" i="5"/>
  <c r="AT114" i="5"/>
  <c r="AT131" i="5"/>
  <c r="AT105" i="5"/>
  <c r="AT74" i="5"/>
  <c r="AT65" i="5"/>
  <c r="AT123" i="5"/>
  <c r="AT39" i="5"/>
  <c r="AT110" i="5"/>
  <c r="AT69" i="5"/>
  <c r="AT76" i="5"/>
  <c r="AT159" i="5"/>
  <c r="AT59" i="5"/>
  <c r="AT128" i="5"/>
  <c r="AT46" i="5"/>
  <c r="AT143" i="5"/>
  <c r="AT49" i="5"/>
  <c r="AT77" i="5"/>
  <c r="AT84" i="5"/>
  <c r="AT56" i="5"/>
  <c r="AT135" i="5"/>
  <c r="AT99" i="5"/>
  <c r="AT139" i="5"/>
  <c r="AT148" i="5"/>
  <c r="AT22" i="5"/>
  <c r="AT125" i="5"/>
  <c r="AT15" i="5"/>
  <c r="AT86" i="5"/>
  <c r="AT107" i="5"/>
  <c r="AT24" i="5"/>
  <c r="AT20" i="5"/>
  <c r="AT103" i="5"/>
  <c r="AT48" i="5"/>
  <c r="AT73" i="5"/>
  <c r="AT145" i="5"/>
  <c r="AT104" i="5"/>
  <c r="AT26" i="5"/>
  <c r="AT112" i="5"/>
  <c r="AT83" i="5"/>
  <c r="AT44" i="5"/>
  <c r="AT68" i="5"/>
  <c r="AT18" i="5"/>
  <c r="AT94" i="5"/>
  <c r="AT138" i="5"/>
  <c r="AT32" i="5"/>
  <c r="AT38" i="5"/>
  <c r="AT119" i="5"/>
  <c r="AT45" i="5"/>
  <c r="AT14" i="5"/>
  <c r="AT29" i="5"/>
  <c r="AT122" i="5"/>
  <c r="AT118" i="5"/>
  <c r="AT40" i="5"/>
  <c r="AT109" i="5"/>
  <c r="AT19" i="5"/>
  <c r="AT25" i="5"/>
  <c r="AT155" i="5"/>
  <c r="AT47" i="5"/>
  <c r="AT150" i="5"/>
  <c r="AT137" i="5"/>
  <c r="AT88" i="5"/>
  <c r="AT82" i="5"/>
  <c r="AT140" i="5"/>
  <c r="AT102" i="5"/>
  <c r="AT157" i="5"/>
  <c r="AT79" i="5"/>
  <c r="AT146" i="5"/>
  <c r="AT95" i="5"/>
  <c r="AT156" i="5"/>
  <c r="AT116" i="5"/>
  <c r="AT78" i="5"/>
  <c r="AT126" i="5"/>
  <c r="AT9" i="5"/>
  <c r="AT98" i="5"/>
  <c r="AT58" i="5"/>
  <c r="AT129" i="5"/>
  <c r="AT121" i="5"/>
  <c r="AT42" i="5"/>
  <c r="AT96" i="5"/>
  <c r="AT142" i="5"/>
  <c r="AT90" i="5"/>
  <c r="AT61" i="5"/>
  <c r="AT100" i="5"/>
  <c r="AT97" i="5"/>
  <c r="AT89" i="5"/>
  <c r="AT10" i="5"/>
  <c r="AT93" i="5"/>
  <c r="AT154" i="5"/>
  <c r="AT54" i="5"/>
  <c r="AT60" i="5"/>
  <c r="AT23" i="5"/>
  <c r="AT67" i="5"/>
  <c r="AT115" i="5"/>
  <c r="AT101" i="5"/>
  <c r="AT33" i="5"/>
  <c r="AT66" i="5"/>
  <c r="AT152" i="5"/>
  <c r="AT63" i="5"/>
  <c r="AT149" i="5"/>
  <c r="AT151" i="5"/>
  <c r="AT43" i="5"/>
  <c r="AT106" i="5"/>
  <c r="AT57" i="5"/>
  <c r="AT91" i="5"/>
  <c r="AT36" i="5"/>
  <c r="AT147" i="5"/>
  <c r="AT55" i="5"/>
  <c r="AT127" i="5"/>
  <c r="AT130" i="5"/>
  <c r="AT133" i="5"/>
  <c r="AT13" i="5"/>
  <c r="AT53" i="5"/>
  <c r="AT81" i="5"/>
  <c r="AT144" i="5"/>
  <c r="AT30" i="5"/>
  <c r="AT52" i="5"/>
  <c r="AT35" i="5"/>
  <c r="AT62" i="5"/>
  <c r="AT70" i="5"/>
  <c r="AT136" i="5"/>
  <c r="AT27" i="5"/>
  <c r="AT41" i="5"/>
  <c r="AT113" i="5"/>
  <c r="AT75" i="5"/>
  <c r="AT51" i="5"/>
  <c r="AT92" i="5"/>
  <c r="AT153" i="5"/>
  <c r="AT141" i="5"/>
  <c r="AT108" i="5"/>
  <c r="AT71" i="5"/>
  <c r="AD12" i="5"/>
  <c r="AD145" i="5"/>
  <c r="AD51" i="5"/>
  <c r="AD59" i="5"/>
  <c r="AD106" i="5"/>
  <c r="AD131" i="5"/>
  <c r="AD10" i="5"/>
  <c r="AH10" i="5" s="1"/>
  <c r="AD54" i="5"/>
  <c r="AD63" i="5"/>
  <c r="AD127" i="5"/>
  <c r="AD111" i="5"/>
  <c r="AH111" i="5" s="1"/>
  <c r="AD35" i="5"/>
  <c r="AD107" i="5"/>
  <c r="AD102" i="5"/>
  <c r="AD103" i="5"/>
  <c r="AD101" i="5"/>
  <c r="AD75" i="5"/>
  <c r="AD64" i="5"/>
  <c r="AD105" i="5"/>
  <c r="AD70" i="5"/>
  <c r="AD109" i="5"/>
  <c r="AD121" i="5"/>
  <c r="AD16" i="5"/>
  <c r="AD85" i="5"/>
  <c r="AD158" i="5"/>
  <c r="M92" i="6" s="1"/>
  <c r="AD108" i="5"/>
  <c r="AD45" i="5"/>
  <c r="AD53" i="5"/>
  <c r="AD86" i="5"/>
  <c r="AD32" i="5"/>
  <c r="AD43" i="5"/>
  <c r="AD13" i="5"/>
  <c r="AD110" i="5"/>
  <c r="AD95" i="5"/>
  <c r="AD56" i="5"/>
  <c r="AD151" i="5"/>
  <c r="AD42" i="5"/>
  <c r="AD138" i="5"/>
  <c r="AD25" i="5"/>
  <c r="AD137" i="5"/>
  <c r="AD36" i="5"/>
  <c r="AD60" i="5"/>
  <c r="AD68" i="5"/>
  <c r="AD96" i="5"/>
  <c r="AD83" i="5"/>
  <c r="AD155" i="5"/>
  <c r="AD90" i="5"/>
  <c r="AD132" i="5"/>
  <c r="AD143" i="5"/>
  <c r="AD34" i="5"/>
  <c r="AD14" i="5"/>
  <c r="AD74" i="5"/>
  <c r="AD153" i="5"/>
  <c r="AD141" i="5"/>
  <c r="AD117" i="5"/>
  <c r="AD84" i="5"/>
  <c r="AD40" i="5"/>
  <c r="AD22" i="5"/>
  <c r="AD154" i="5"/>
  <c r="AD125" i="5"/>
  <c r="AD123" i="5"/>
  <c r="AD39" i="5"/>
  <c r="AD33" i="5"/>
  <c r="AD159" i="5"/>
  <c r="AD113" i="5"/>
  <c r="AD116" i="5"/>
  <c r="AD98" i="5"/>
  <c r="AD69" i="5"/>
  <c r="AD73" i="5"/>
  <c r="AD37" i="5"/>
  <c r="AD79" i="5"/>
  <c r="AD128" i="5"/>
  <c r="AD88" i="5"/>
  <c r="AD29" i="5"/>
  <c r="AD23" i="5"/>
  <c r="AD144" i="5"/>
  <c r="AD93" i="5"/>
  <c r="AD15" i="5"/>
  <c r="AD150" i="5"/>
  <c r="AD139" i="5"/>
  <c r="AD157" i="5"/>
  <c r="AD61" i="5"/>
  <c r="AD87" i="5"/>
  <c r="AD38" i="5"/>
  <c r="AD92" i="5"/>
  <c r="AD44" i="5"/>
  <c r="AD19" i="5"/>
  <c r="AD77" i="5"/>
  <c r="AD100" i="5"/>
  <c r="AD78" i="5"/>
  <c r="AD31" i="5"/>
  <c r="AD11" i="5"/>
  <c r="AD47" i="5"/>
  <c r="AD57" i="5"/>
  <c r="AD67" i="5"/>
  <c r="AH67" i="5" s="1"/>
  <c r="AD136" i="5"/>
  <c r="AD50" i="5"/>
  <c r="AD41" i="5"/>
  <c r="AD21" i="5"/>
  <c r="AD30" i="5"/>
  <c r="AD149" i="5"/>
  <c r="AD49" i="5"/>
  <c r="AD97" i="5"/>
  <c r="AD91" i="5"/>
  <c r="AD146" i="5"/>
  <c r="AD126" i="5"/>
  <c r="AD26" i="5"/>
  <c r="AH26" i="5" s="1"/>
  <c r="AD18" i="5"/>
  <c r="AD147" i="5"/>
  <c r="AD55" i="5"/>
  <c r="X14" i="5"/>
  <c r="K18" i="4"/>
  <c r="K16" i="4" s="1"/>
  <c r="BF8" i="5"/>
  <c r="AA149" i="5"/>
  <c r="AA126" i="5"/>
  <c r="AA66" i="5"/>
  <c r="AA122" i="5"/>
  <c r="AA110" i="5"/>
  <c r="AY30" i="5"/>
  <c r="BL30" i="5"/>
  <c r="AY152" i="5"/>
  <c r="BL152" i="5"/>
  <c r="AV18" i="5"/>
  <c r="AX18" i="5" s="1"/>
  <c r="Q18" i="8"/>
  <c r="I18" i="5" s="1"/>
  <c r="AY76" i="5"/>
  <c r="BL76" i="5"/>
  <c r="Q110" i="8"/>
  <c r="I110" i="5" s="1"/>
  <c r="AV110" i="5"/>
  <c r="AX110" i="5" s="1"/>
  <c r="AA36" i="5"/>
  <c r="AD115" i="5"/>
  <c r="AA35" i="5"/>
  <c r="AA89" i="5"/>
  <c r="AD142" i="5"/>
  <c r="AD118" i="5"/>
  <c r="AA73" i="5"/>
  <c r="AA137" i="5"/>
  <c r="AD120" i="5"/>
  <c r="AA55" i="5"/>
  <c r="AA102" i="5"/>
  <c r="AA129" i="5"/>
  <c r="AA106" i="5"/>
  <c r="AA53" i="5"/>
  <c r="AA120" i="5"/>
  <c r="AA158" i="5"/>
  <c r="M84" i="6" s="1"/>
  <c r="AA85" i="5"/>
  <c r="AA117" i="5"/>
  <c r="AA40" i="5"/>
  <c r="AA143" i="5"/>
  <c r="AA69" i="5"/>
  <c r="AA30" i="5"/>
  <c r="AA13" i="5"/>
  <c r="AA119" i="5"/>
  <c r="AA83" i="5"/>
  <c r="AA74" i="5"/>
  <c r="AA54" i="5"/>
  <c r="AA70" i="5"/>
  <c r="AV90" i="5"/>
  <c r="Q90" i="8"/>
  <c r="I90" i="5" s="1"/>
  <c r="AV104" i="5"/>
  <c r="Q104" i="8"/>
  <c r="I104" i="5" s="1"/>
  <c r="AV136" i="5"/>
  <c r="Q136" i="8"/>
  <c r="I136" i="5" s="1"/>
  <c r="Q25" i="8"/>
  <c r="I25" i="5" s="1"/>
  <c r="AV25" i="5"/>
  <c r="J47" i="4"/>
  <c r="AV66" i="5"/>
  <c r="Q66" i="8"/>
  <c r="I66" i="5" s="1"/>
  <c r="AV24" i="5"/>
  <c r="Q24" i="8"/>
  <c r="I24" i="5" s="1"/>
  <c r="AV88" i="5"/>
  <c r="Q88" i="8"/>
  <c r="I88" i="5" s="1"/>
  <c r="P8" i="8"/>
  <c r="E14" i="3" s="1"/>
  <c r="Q9" i="8"/>
  <c r="AV9" i="5"/>
  <c r="Q42" i="8"/>
  <c r="I42" i="5" s="1"/>
  <c r="AV42" i="5"/>
  <c r="Q82" i="8"/>
  <c r="I82" i="5" s="1"/>
  <c r="AV82" i="5"/>
  <c r="Q114" i="8"/>
  <c r="I114" i="5" s="1"/>
  <c r="AV114" i="5"/>
  <c r="AV29" i="5"/>
  <c r="Q29" i="8"/>
  <c r="I29" i="5" s="1"/>
  <c r="Q64" i="8"/>
  <c r="I64" i="5" s="1"/>
  <c r="AV64" i="5"/>
  <c r="Q96" i="8"/>
  <c r="I96" i="5" s="1"/>
  <c r="AV96" i="5"/>
  <c r="Q33" i="8"/>
  <c r="I33" i="5" s="1"/>
  <c r="AV33" i="5"/>
  <c r="Q11" i="8"/>
  <c r="I11" i="5" s="1"/>
  <c r="AV11" i="5"/>
  <c r="Q126" i="8"/>
  <c r="I126" i="5" s="1"/>
  <c r="AV126" i="5"/>
  <c r="Q156" i="8"/>
  <c r="I156" i="5" s="1"/>
  <c r="AV156" i="5"/>
  <c r="J63" i="4"/>
  <c r="J92" i="4"/>
  <c r="AX19" i="5"/>
  <c r="J34" i="4"/>
  <c r="J115" i="4"/>
  <c r="J125" i="4"/>
  <c r="J116" i="4"/>
  <c r="AV10" i="5"/>
  <c r="Q10" i="8"/>
  <c r="I10" i="5" s="1"/>
  <c r="AX41" i="5"/>
  <c r="AX79" i="5"/>
  <c r="H41" i="4"/>
  <c r="J101" i="4"/>
  <c r="J89" i="4"/>
  <c r="J30" i="4"/>
  <c r="J72" i="4"/>
  <c r="J60" i="4"/>
  <c r="J32" i="4"/>
  <c r="J136" i="4"/>
  <c r="M100" i="6"/>
  <c r="AV20" i="5"/>
  <c r="Q20" i="8"/>
  <c r="I20" i="5" s="1"/>
  <c r="Q40" i="8"/>
  <c r="I40" i="5" s="1"/>
  <c r="AV40" i="5"/>
  <c r="Q45" i="8"/>
  <c r="I45" i="5" s="1"/>
  <c r="AV45" i="5"/>
  <c r="Q157" i="8"/>
  <c r="I157" i="5" s="1"/>
  <c r="AV157" i="5"/>
  <c r="J61" i="4"/>
  <c r="J105" i="4"/>
  <c r="J79" i="4"/>
  <c r="J140" i="4"/>
  <c r="J153" i="4"/>
  <c r="AX83" i="5"/>
  <c r="J93" i="4"/>
  <c r="J98" i="4"/>
  <c r="J99" i="4"/>
  <c r="J87" i="4"/>
  <c r="J52" i="4"/>
  <c r="J20" i="4"/>
  <c r="J29" i="4"/>
  <c r="H8" i="5"/>
  <c r="AV50" i="5"/>
  <c r="Q50" i="8"/>
  <c r="I50" i="5" s="1"/>
  <c r="Q72" i="8"/>
  <c r="I72" i="5" s="1"/>
  <c r="AV72" i="5"/>
  <c r="Q13" i="8"/>
  <c r="I13" i="5" s="1"/>
  <c r="AV13" i="5"/>
  <c r="AV112" i="5"/>
  <c r="Q112" i="8"/>
  <c r="I112" i="5" s="1"/>
  <c r="AV137" i="5"/>
  <c r="Q137" i="8"/>
  <c r="I137" i="5" s="1"/>
  <c r="J73" i="4"/>
  <c r="J156" i="4"/>
  <c r="J111" i="4"/>
  <c r="J165" i="4"/>
  <c r="J96" i="4"/>
  <c r="J26" i="4"/>
  <c r="AX31" i="5"/>
  <c r="H44" i="4"/>
  <c r="J80" i="4"/>
  <c r="J48" i="4"/>
  <c r="BH9" i="5"/>
  <c r="I18" i="4"/>
  <c r="J24" i="4"/>
  <c r="J83" i="4"/>
  <c r="J42" i="4"/>
  <c r="F46" i="6"/>
  <c r="L75" i="5"/>
  <c r="L132" i="5"/>
  <c r="L136" i="5"/>
  <c r="L64" i="5"/>
  <c r="L91" i="5"/>
  <c r="L143" i="5"/>
  <c r="L149" i="5"/>
  <c r="L78" i="5"/>
  <c r="L122" i="5"/>
  <c r="L100" i="5"/>
  <c r="L28" i="5"/>
  <c r="L107" i="5"/>
  <c r="L58" i="5"/>
  <c r="L137" i="5"/>
  <c r="L120" i="5"/>
  <c r="L22" i="5"/>
  <c r="L95" i="5"/>
  <c r="L51" i="5"/>
  <c r="L102" i="5"/>
  <c r="L153" i="5"/>
  <c r="L53" i="5"/>
  <c r="L148" i="5"/>
  <c r="L141" i="5"/>
  <c r="L105" i="5"/>
  <c r="L131" i="5"/>
  <c r="L73" i="5"/>
  <c r="L33" i="5"/>
  <c r="L31" i="5"/>
  <c r="L40" i="5"/>
  <c r="L42" i="5"/>
  <c r="L15" i="5"/>
  <c r="L63" i="5"/>
  <c r="L154" i="5"/>
  <c r="L66" i="5"/>
  <c r="L54" i="5"/>
  <c r="L96" i="5"/>
  <c r="L157" i="5"/>
  <c r="L29" i="5"/>
  <c r="L83" i="5"/>
  <c r="L151" i="5"/>
  <c r="L57" i="5"/>
  <c r="L128" i="5"/>
  <c r="L14" i="5"/>
  <c r="L24" i="5"/>
  <c r="L152" i="5"/>
  <c r="L92" i="5"/>
  <c r="L52" i="5"/>
  <c r="L112" i="5"/>
  <c r="L32" i="5"/>
  <c r="L138" i="5"/>
  <c r="L103" i="5"/>
  <c r="L117" i="5"/>
  <c r="L124" i="5"/>
  <c r="L144" i="5"/>
  <c r="L30" i="5"/>
  <c r="L50" i="5"/>
  <c r="L114" i="5"/>
  <c r="L69" i="5"/>
  <c r="L158" i="5"/>
  <c r="L111" i="5"/>
  <c r="L79" i="5"/>
  <c r="L106" i="5"/>
  <c r="L129" i="5"/>
  <c r="L88" i="5"/>
  <c r="L19" i="5"/>
  <c r="L145" i="5"/>
  <c r="L46" i="5"/>
  <c r="L9" i="5"/>
  <c r="L110" i="5"/>
  <c r="L74" i="5"/>
  <c r="L109" i="5"/>
  <c r="L93" i="5"/>
  <c r="L150" i="5"/>
  <c r="L16" i="5"/>
  <c r="L142" i="5"/>
  <c r="L77" i="5"/>
  <c r="L87" i="5"/>
  <c r="L20" i="5"/>
  <c r="L86" i="5"/>
  <c r="L116" i="5"/>
  <c r="L80" i="5"/>
  <c r="L25" i="5"/>
  <c r="L47" i="5"/>
  <c r="L44" i="5"/>
  <c r="L90" i="5"/>
  <c r="L17" i="5"/>
  <c r="L94" i="5"/>
  <c r="L126" i="5"/>
  <c r="L26" i="5"/>
  <c r="L45" i="5"/>
  <c r="L156" i="5"/>
  <c r="L21" i="5"/>
  <c r="L56" i="5"/>
  <c r="L135" i="5"/>
  <c r="L35" i="5"/>
  <c r="L11" i="5"/>
  <c r="L43" i="5"/>
  <c r="L84" i="5"/>
  <c r="L48" i="5"/>
  <c r="L139" i="5"/>
  <c r="L23" i="5"/>
  <c r="L97" i="5"/>
  <c r="L27" i="5"/>
  <c r="L81" i="5"/>
  <c r="L118" i="5"/>
  <c r="L55" i="5"/>
  <c r="L37" i="5"/>
  <c r="L61" i="5"/>
  <c r="L60" i="5"/>
  <c r="L72" i="5"/>
  <c r="L12" i="5"/>
  <c r="L133" i="5"/>
  <c r="L36" i="5"/>
  <c r="L123" i="5"/>
  <c r="L67" i="5"/>
  <c r="L127" i="5"/>
  <c r="L76" i="5"/>
  <c r="L115" i="5"/>
  <c r="L68" i="5"/>
  <c r="L99" i="5"/>
  <c r="L108" i="5"/>
  <c r="L98" i="5"/>
  <c r="L104" i="5"/>
  <c r="L18" i="5"/>
  <c r="L70" i="5"/>
  <c r="L39" i="5"/>
  <c r="L10" i="5"/>
  <c r="L146" i="5"/>
  <c r="L89" i="5"/>
  <c r="L121" i="5"/>
  <c r="L13" i="5"/>
  <c r="L134" i="5"/>
  <c r="L130" i="5"/>
  <c r="L49" i="5"/>
  <c r="L38" i="5"/>
  <c r="L85" i="5"/>
  <c r="L125" i="5"/>
  <c r="L113" i="5"/>
  <c r="L41" i="5"/>
  <c r="L82" i="5"/>
  <c r="L62" i="5"/>
  <c r="L140" i="5"/>
  <c r="L119" i="5"/>
  <c r="L101" i="5"/>
  <c r="L147" i="5"/>
  <c r="L59" i="5"/>
  <c r="L34" i="5"/>
  <c r="L65" i="5"/>
  <c r="L71" i="5"/>
  <c r="L155" i="5"/>
  <c r="L159" i="5"/>
  <c r="H16" i="4"/>
  <c r="H17" i="4" s="1"/>
  <c r="AQ159" i="5"/>
  <c r="F128" i="6"/>
  <c r="AQ102" i="5"/>
  <c r="AQ87" i="5"/>
  <c r="AQ9" i="5"/>
  <c r="AQ89" i="5"/>
  <c r="AQ43" i="5"/>
  <c r="AQ45" i="5"/>
  <c r="AQ31" i="5"/>
  <c r="AQ86" i="5"/>
  <c r="AQ108" i="5"/>
  <c r="AQ38" i="5"/>
  <c r="AQ64" i="5"/>
  <c r="AQ16" i="5"/>
  <c r="AQ46" i="5"/>
  <c r="AQ123" i="5"/>
  <c r="AQ125" i="5"/>
  <c r="AQ47" i="5"/>
  <c r="AQ136" i="5"/>
  <c r="AQ150" i="5"/>
  <c r="AQ34" i="5"/>
  <c r="AQ62" i="5"/>
  <c r="AQ57" i="5"/>
  <c r="AQ132" i="5"/>
  <c r="AQ143" i="5"/>
  <c r="AQ12" i="5"/>
  <c r="AQ71" i="5"/>
  <c r="AQ27" i="5"/>
  <c r="AQ15" i="5"/>
  <c r="AQ78" i="5"/>
  <c r="AQ21" i="5"/>
  <c r="AQ137" i="5"/>
  <c r="AQ97" i="5"/>
  <c r="AQ112" i="5"/>
  <c r="AQ88" i="5"/>
  <c r="AQ146" i="5"/>
  <c r="AQ75" i="5"/>
  <c r="AQ81" i="5"/>
  <c r="AQ67" i="5"/>
  <c r="AQ104" i="5"/>
  <c r="AQ128" i="5"/>
  <c r="AQ151" i="5"/>
  <c r="AQ153" i="5"/>
  <c r="AQ107" i="5"/>
  <c r="AQ109" i="5"/>
  <c r="AQ111" i="5"/>
  <c r="AQ33" i="5"/>
  <c r="AQ35" i="5"/>
  <c r="AQ37" i="5"/>
  <c r="AQ158" i="5"/>
  <c r="AQ156" i="5"/>
  <c r="AQ96" i="5"/>
  <c r="AQ114" i="5"/>
  <c r="AQ52" i="5"/>
  <c r="AQ127" i="5"/>
  <c r="AQ49" i="5"/>
  <c r="AQ51" i="5"/>
  <c r="AQ124" i="5"/>
  <c r="AQ10" i="5"/>
  <c r="AQ66" i="5"/>
  <c r="AQ110" i="5"/>
  <c r="AQ152" i="5"/>
  <c r="AQ140" i="5"/>
  <c r="AQ48" i="5"/>
  <c r="AQ20" i="5"/>
  <c r="AQ19" i="5"/>
  <c r="AQ30" i="5"/>
  <c r="AQ91" i="5"/>
  <c r="AQ99" i="5"/>
  <c r="AQ106" i="5"/>
  <c r="AQ82" i="5"/>
  <c r="AQ58" i="5"/>
  <c r="AQ79" i="5"/>
  <c r="AQ84" i="5"/>
  <c r="AQ77" i="5"/>
  <c r="AQ22" i="5"/>
  <c r="AQ80" i="5"/>
  <c r="AQ50" i="5"/>
  <c r="AQ36" i="5"/>
  <c r="AQ126" i="5"/>
  <c r="AQ56" i="5"/>
  <c r="AQ113" i="5"/>
  <c r="AQ115" i="5"/>
  <c r="AQ101" i="5"/>
  <c r="AQ23" i="5"/>
  <c r="AQ149" i="5"/>
  <c r="AQ39" i="5"/>
  <c r="AQ41" i="5"/>
  <c r="AQ26" i="5"/>
  <c r="AQ116" i="5"/>
  <c r="AQ122" i="5"/>
  <c r="AQ72" i="5"/>
  <c r="AQ145" i="5"/>
  <c r="AQ131" i="5"/>
  <c r="AQ53" i="5"/>
  <c r="AQ24" i="5"/>
  <c r="AQ55" i="5"/>
  <c r="AQ11" i="5"/>
  <c r="AQ141" i="5"/>
  <c r="AQ14" i="5"/>
  <c r="AQ133" i="5"/>
  <c r="AQ73" i="5"/>
  <c r="AQ13" i="5"/>
  <c r="AQ40" i="5"/>
  <c r="AQ28" i="5"/>
  <c r="AQ129" i="5"/>
  <c r="AQ93" i="5"/>
  <c r="AQ85" i="5"/>
  <c r="AQ68" i="5"/>
  <c r="AQ76" i="5"/>
  <c r="AQ54" i="5"/>
  <c r="AQ148" i="5"/>
  <c r="AQ83" i="5"/>
  <c r="AQ92" i="5"/>
  <c r="AQ69" i="5"/>
  <c r="AQ29" i="5"/>
  <c r="AQ118" i="5"/>
  <c r="AQ100" i="5"/>
  <c r="AQ70" i="5"/>
  <c r="AQ120" i="5"/>
  <c r="AQ142" i="5"/>
  <c r="AQ44" i="5"/>
  <c r="AQ94" i="5"/>
  <c r="AQ25" i="5"/>
  <c r="AQ147" i="5"/>
  <c r="AQ103" i="5"/>
  <c r="AQ105" i="5"/>
  <c r="AQ59" i="5"/>
  <c r="AQ61" i="5"/>
  <c r="AQ134" i="5"/>
  <c r="AQ18" i="5"/>
  <c r="AQ60" i="5"/>
  <c r="AQ117" i="5"/>
  <c r="AQ63" i="5"/>
  <c r="AQ32" i="5"/>
  <c r="AQ139" i="5"/>
  <c r="AQ42" i="5"/>
  <c r="AQ90" i="5"/>
  <c r="AQ154" i="5"/>
  <c r="AQ74" i="5"/>
  <c r="AQ157" i="5"/>
  <c r="AQ17" i="5"/>
  <c r="AQ135" i="5"/>
  <c r="AQ95" i="5"/>
  <c r="AQ65" i="5"/>
  <c r="AQ130" i="5"/>
  <c r="AQ98" i="5"/>
  <c r="AQ138" i="5"/>
  <c r="AQ119" i="5"/>
  <c r="AQ121" i="5"/>
  <c r="AQ155" i="5"/>
  <c r="AQ144" i="5"/>
  <c r="J132" i="4"/>
  <c r="J50" i="4"/>
  <c r="BH159" i="5"/>
  <c r="I168" i="4"/>
  <c r="Q78" i="8"/>
  <c r="I78" i="5" s="1"/>
  <c r="AV78" i="5"/>
  <c r="AV58" i="5"/>
  <c r="Q58" i="8"/>
  <c r="I58" i="5" s="1"/>
  <c r="Q98" i="8"/>
  <c r="I98" i="5" s="1"/>
  <c r="AV98" i="5"/>
  <c r="AV48" i="5"/>
  <c r="Q48" i="8"/>
  <c r="I48" i="5" s="1"/>
  <c r="AV80" i="5"/>
  <c r="Q80" i="8"/>
  <c r="I80" i="5" s="1"/>
  <c r="AV132" i="5"/>
  <c r="Q132" i="8"/>
  <c r="I132" i="5" s="1"/>
  <c r="Q120" i="8"/>
  <c r="I120" i="5" s="1"/>
  <c r="AV120" i="5"/>
  <c r="Q36" i="8"/>
  <c r="I36" i="5" s="1"/>
  <c r="AV36" i="5"/>
  <c r="Q106" i="8"/>
  <c r="I106" i="5" s="1"/>
  <c r="AV106" i="5"/>
  <c r="AV56" i="5"/>
  <c r="Q56" i="8"/>
  <c r="I56" i="5" s="1"/>
  <c r="AV17" i="5"/>
  <c r="Q17" i="8"/>
  <c r="I17" i="5" s="1"/>
  <c r="AV144" i="5"/>
  <c r="Q144" i="8"/>
  <c r="I144" i="5" s="1"/>
  <c r="AV121" i="5"/>
  <c r="Q121" i="8"/>
  <c r="I121" i="5" s="1"/>
  <c r="AV142" i="5"/>
  <c r="Q142" i="8"/>
  <c r="I142" i="5" s="1"/>
  <c r="J159" i="4"/>
  <c r="J137" i="4"/>
  <c r="J154" i="4"/>
  <c r="J149" i="4"/>
  <c r="J62" i="4"/>
  <c r="J90" i="4"/>
  <c r="U147" i="5"/>
  <c r="U23" i="5"/>
  <c r="U51" i="5"/>
  <c r="U109" i="5"/>
  <c r="U31" i="5"/>
  <c r="U68" i="5"/>
  <c r="U128" i="5"/>
  <c r="U92" i="5"/>
  <c r="U19" i="5"/>
  <c r="U131" i="5"/>
  <c r="U10" i="5"/>
  <c r="U102" i="5"/>
  <c r="U125" i="5"/>
  <c r="U143" i="5"/>
  <c r="U137" i="5"/>
  <c r="U63" i="5"/>
  <c r="U29" i="5"/>
  <c r="U57" i="5"/>
  <c r="U44" i="5"/>
  <c r="U93" i="5"/>
  <c r="U153" i="5"/>
  <c r="U135" i="5"/>
  <c r="U144" i="5"/>
  <c r="U56" i="5"/>
  <c r="U73" i="5"/>
  <c r="U114" i="5"/>
  <c r="U22" i="5"/>
  <c r="U155" i="5"/>
  <c r="U156" i="5"/>
  <c r="U149" i="5"/>
  <c r="U41" i="5"/>
  <c r="U71" i="5"/>
  <c r="U40" i="5"/>
  <c r="U32" i="5"/>
  <c r="U24" i="5"/>
  <c r="U108" i="5"/>
  <c r="U33" i="5"/>
  <c r="U138" i="5"/>
  <c r="U154" i="5"/>
  <c r="U28" i="5"/>
  <c r="U90" i="5"/>
  <c r="U86" i="5"/>
  <c r="U99" i="5"/>
  <c r="U116" i="5"/>
  <c r="U50" i="5"/>
  <c r="U65" i="5"/>
  <c r="U122" i="5"/>
  <c r="U97" i="5"/>
  <c r="U145" i="5"/>
  <c r="U91" i="5"/>
  <c r="U94" i="5"/>
  <c r="U72" i="5"/>
  <c r="U9" i="5"/>
  <c r="U82" i="5"/>
  <c r="F70" i="6"/>
  <c r="U49" i="5"/>
  <c r="U54" i="5"/>
  <c r="U157" i="5"/>
  <c r="U151" i="5"/>
  <c r="U96" i="5"/>
  <c r="U17" i="5"/>
  <c r="U61" i="5"/>
  <c r="U146" i="5"/>
  <c r="U140" i="5"/>
  <c r="U11" i="5"/>
  <c r="U142" i="5"/>
  <c r="U95" i="5"/>
  <c r="U87" i="5"/>
  <c r="U105" i="5"/>
  <c r="U35" i="5"/>
  <c r="U80" i="5"/>
  <c r="AH80" i="5" s="1"/>
  <c r="U126" i="5"/>
  <c r="U150" i="5"/>
  <c r="U132" i="5"/>
  <c r="U27" i="5"/>
  <c r="U15" i="5"/>
  <c r="U139" i="5"/>
  <c r="U58" i="5"/>
  <c r="U110" i="5"/>
  <c r="U12" i="5"/>
  <c r="U26" i="5"/>
  <c r="U36" i="5"/>
  <c r="U13" i="5"/>
  <c r="U127" i="5"/>
  <c r="U60" i="5"/>
  <c r="U124" i="5"/>
  <c r="U101" i="5"/>
  <c r="U39" i="5"/>
  <c r="U70" i="5"/>
  <c r="U75" i="5"/>
  <c r="U119" i="5"/>
  <c r="U42" i="5"/>
  <c r="U21" i="5"/>
  <c r="U141" i="5"/>
  <c r="U120" i="5"/>
  <c r="U134" i="5"/>
  <c r="U53" i="5"/>
  <c r="U25" i="5"/>
  <c r="U78" i="5"/>
  <c r="U112" i="5"/>
  <c r="U115" i="5"/>
  <c r="U129" i="5"/>
  <c r="U106" i="5"/>
  <c r="U37" i="5"/>
  <c r="U123" i="5"/>
  <c r="U46" i="5"/>
  <c r="U74" i="5"/>
  <c r="U158" i="5"/>
  <c r="M68" i="6" s="1"/>
  <c r="U18" i="5"/>
  <c r="U100" i="5"/>
  <c r="U136" i="5"/>
  <c r="U30" i="5"/>
  <c r="U113" i="5"/>
  <c r="U121" i="5"/>
  <c r="U89" i="5"/>
  <c r="U103" i="5"/>
  <c r="U76" i="5"/>
  <c r="U117" i="5"/>
  <c r="U48" i="5"/>
  <c r="U85" i="5"/>
  <c r="U98" i="5"/>
  <c r="U148" i="5"/>
  <c r="U133" i="5"/>
  <c r="U130" i="5"/>
  <c r="U45" i="5"/>
  <c r="U84" i="5"/>
  <c r="U20" i="5"/>
  <c r="U64" i="5"/>
  <c r="U107" i="5"/>
  <c r="U52" i="5"/>
  <c r="U111" i="5"/>
  <c r="U67" i="5"/>
  <c r="U69" i="5"/>
  <c r="U14" i="5"/>
  <c r="U59" i="5"/>
  <c r="U81" i="5"/>
  <c r="U159" i="5"/>
  <c r="U83" i="5"/>
  <c r="U118" i="5"/>
  <c r="U62" i="5"/>
  <c r="U66" i="5"/>
  <c r="U77" i="5"/>
  <c r="U55" i="5"/>
  <c r="U104" i="5"/>
  <c r="U79" i="5"/>
  <c r="U88" i="5"/>
  <c r="U152" i="5"/>
  <c r="U34" i="5"/>
  <c r="U47" i="5"/>
  <c r="U38" i="5"/>
  <c r="U43" i="5"/>
  <c r="R151" i="5"/>
  <c r="R63" i="5"/>
  <c r="R35" i="5"/>
  <c r="R76" i="5"/>
  <c r="R25" i="5"/>
  <c r="R80" i="5"/>
  <c r="R37" i="5"/>
  <c r="R66" i="5"/>
  <c r="R150" i="5"/>
  <c r="R83" i="5"/>
  <c r="R13" i="5"/>
  <c r="R34" i="5"/>
  <c r="R73" i="5"/>
  <c r="R36" i="5"/>
  <c r="R132" i="5"/>
  <c r="R115" i="5"/>
  <c r="R128" i="5"/>
  <c r="R22" i="5"/>
  <c r="R47" i="5"/>
  <c r="R157" i="5"/>
  <c r="R48" i="5"/>
  <c r="R61" i="5"/>
  <c r="R100" i="5"/>
  <c r="R125" i="5"/>
  <c r="R139" i="5"/>
  <c r="R57" i="5"/>
  <c r="R101" i="5"/>
  <c r="R133" i="5"/>
  <c r="R56" i="5"/>
  <c r="R122" i="5"/>
  <c r="R123" i="5"/>
  <c r="R153" i="5"/>
  <c r="AH153" i="5" s="1"/>
  <c r="R144" i="5"/>
  <c r="R134" i="5"/>
  <c r="R146" i="5"/>
  <c r="R38" i="5"/>
  <c r="R85" i="5"/>
  <c r="R149" i="5"/>
  <c r="R12" i="5"/>
  <c r="R68" i="5"/>
  <c r="R70" i="5"/>
  <c r="R26" i="5"/>
  <c r="R29" i="5"/>
  <c r="R88" i="5"/>
  <c r="R45" i="5"/>
  <c r="R79" i="5"/>
  <c r="R65" i="5"/>
  <c r="R42" i="5"/>
  <c r="R81" i="5"/>
  <c r="R152" i="5"/>
  <c r="R15" i="5"/>
  <c r="R74" i="5"/>
  <c r="R44" i="5"/>
  <c r="R24" i="5"/>
  <c r="R78" i="5"/>
  <c r="R14" i="5"/>
  <c r="R33" i="5"/>
  <c r="R67" i="5"/>
  <c r="R23" i="5"/>
  <c r="R18" i="5"/>
  <c r="R71" i="5"/>
  <c r="R40" i="5"/>
  <c r="R64" i="5"/>
  <c r="R92" i="5"/>
  <c r="R82" i="5"/>
  <c r="R51" i="5"/>
  <c r="R90" i="5"/>
  <c r="R87" i="5"/>
  <c r="R41" i="5"/>
  <c r="R9" i="5"/>
  <c r="R49" i="5"/>
  <c r="R103" i="5"/>
  <c r="R107" i="5"/>
  <c r="R53" i="5"/>
  <c r="R114" i="5"/>
  <c r="R124" i="5"/>
  <c r="R19" i="5"/>
  <c r="R58" i="5"/>
  <c r="R109" i="5"/>
  <c r="R96" i="5"/>
  <c r="R121" i="5"/>
  <c r="R129" i="5"/>
  <c r="R138" i="5"/>
  <c r="R145" i="5"/>
  <c r="R135" i="5"/>
  <c r="R99" i="5"/>
  <c r="R147" i="5"/>
  <c r="R28" i="5"/>
  <c r="R75" i="5"/>
  <c r="R94" i="5"/>
  <c r="R155" i="5"/>
  <c r="R27" i="5"/>
  <c r="R59" i="5"/>
  <c r="R131" i="5"/>
  <c r="R17" i="5"/>
  <c r="R97" i="5"/>
  <c r="R116" i="5"/>
  <c r="R46" i="5"/>
  <c r="R102" i="5"/>
  <c r="R111" i="5"/>
  <c r="R127" i="5"/>
  <c r="R89" i="5"/>
  <c r="R126" i="5"/>
  <c r="R50" i="5"/>
  <c r="R105" i="5"/>
  <c r="R143" i="5"/>
  <c r="R141" i="5"/>
  <c r="R154" i="5"/>
  <c r="R159" i="5"/>
  <c r="R77" i="5"/>
  <c r="F62" i="6"/>
  <c r="R118" i="5"/>
  <c r="R91" i="5"/>
  <c r="R98" i="5"/>
  <c r="R104" i="5"/>
  <c r="R130" i="5"/>
  <c r="R31" i="5"/>
  <c r="R10" i="5"/>
  <c r="R95" i="5"/>
  <c r="R117" i="5"/>
  <c r="AH117" i="5" s="1"/>
  <c r="R93" i="5"/>
  <c r="R110" i="5"/>
  <c r="R106" i="5"/>
  <c r="R142" i="5"/>
  <c r="R30" i="5"/>
  <c r="R69" i="5"/>
  <c r="R156" i="5"/>
  <c r="R52" i="5"/>
  <c r="R113" i="5"/>
  <c r="R16" i="5"/>
  <c r="R108" i="5"/>
  <c r="R120" i="5"/>
  <c r="AH120" i="5" s="1"/>
  <c r="R137" i="5"/>
  <c r="R148" i="5"/>
  <c r="R158" i="5"/>
  <c r="M60" i="6" s="1"/>
  <c r="R72" i="5"/>
  <c r="R60" i="5"/>
  <c r="R112" i="5"/>
  <c r="R54" i="5"/>
  <c r="R55" i="5"/>
  <c r="R119" i="5"/>
  <c r="R136" i="5"/>
  <c r="R140" i="5"/>
  <c r="R62" i="5"/>
  <c r="R21" i="5"/>
  <c r="R86" i="5"/>
  <c r="R32" i="5"/>
  <c r="R39" i="5"/>
  <c r="R84" i="5"/>
  <c r="R11" i="5"/>
  <c r="R43" i="5"/>
  <c r="J95" i="4"/>
  <c r="J70" i="4"/>
  <c r="J58" i="4"/>
  <c r="J28" i="4"/>
  <c r="J21" i="4"/>
  <c r="U16" i="5"/>
  <c r="J38" i="4"/>
  <c r="AH72" i="5"/>
  <c r="AH100" i="5"/>
  <c r="AH68" i="5"/>
  <c r="AH63" i="5"/>
  <c r="BL67" i="5" l="1"/>
  <c r="AY67" i="5"/>
  <c r="BL141" i="5"/>
  <c r="AY141" i="5"/>
  <c r="AY59" i="5"/>
  <c r="BL59" i="5"/>
  <c r="BL123" i="5"/>
  <c r="AY123" i="5"/>
  <c r="BL148" i="5"/>
  <c r="AY148" i="5"/>
  <c r="BL86" i="5"/>
  <c r="AY86" i="5"/>
  <c r="BL81" i="5"/>
  <c r="AY81" i="5"/>
  <c r="AH83" i="5"/>
  <c r="AY26" i="5"/>
  <c r="BL26" i="5"/>
  <c r="BL57" i="5"/>
  <c r="AY57" i="5"/>
  <c r="BL21" i="5"/>
  <c r="AY21" i="5"/>
  <c r="BL62" i="5"/>
  <c r="AY62" i="5"/>
  <c r="AY134" i="5"/>
  <c r="BL134" i="5"/>
  <c r="AY118" i="5"/>
  <c r="BL118" i="5"/>
  <c r="AY43" i="5"/>
  <c r="BL43" i="5"/>
  <c r="BL143" i="5"/>
  <c r="AY143" i="5"/>
  <c r="BL87" i="5"/>
  <c r="AY87" i="5"/>
  <c r="AH16" i="5"/>
  <c r="AH31" i="5"/>
  <c r="AH159" i="5"/>
  <c r="AH105" i="5"/>
  <c r="AH34" i="5"/>
  <c r="AH104" i="5"/>
  <c r="AH62" i="5"/>
  <c r="AU62" i="5" s="1"/>
  <c r="AZ62" i="5" s="1"/>
  <c r="BA62" i="5" s="1"/>
  <c r="AH64" i="5"/>
  <c r="AH130" i="5"/>
  <c r="AH103" i="5"/>
  <c r="AH37" i="5"/>
  <c r="AH134" i="5"/>
  <c r="AH42" i="5"/>
  <c r="AH39" i="5"/>
  <c r="AH127" i="5"/>
  <c r="AH12" i="5"/>
  <c r="AH15" i="5"/>
  <c r="AH87" i="5"/>
  <c r="AH96" i="5"/>
  <c r="AH49" i="5"/>
  <c r="AH97" i="5"/>
  <c r="AH28" i="5"/>
  <c r="AH108" i="5"/>
  <c r="AU108" i="5" s="1"/>
  <c r="AZ108" i="5" s="1"/>
  <c r="BA108" i="5" s="1"/>
  <c r="AH155" i="5"/>
  <c r="AH102" i="5"/>
  <c r="AH109" i="5"/>
  <c r="AH84" i="5"/>
  <c r="AH147" i="5"/>
  <c r="AH17" i="5"/>
  <c r="AH94" i="5"/>
  <c r="AH79" i="5"/>
  <c r="AH33" i="5"/>
  <c r="AH115" i="5"/>
  <c r="AH27" i="5"/>
  <c r="AH44" i="5"/>
  <c r="AU44" i="5" s="1"/>
  <c r="AZ44" i="5" s="1"/>
  <c r="BA44" i="5" s="1"/>
  <c r="AY155" i="5"/>
  <c r="BL155" i="5"/>
  <c r="AY135" i="5"/>
  <c r="BL135" i="5"/>
  <c r="AY34" i="5"/>
  <c r="BL34" i="5"/>
  <c r="AH81" i="5"/>
  <c r="AH85" i="5"/>
  <c r="AU85" i="5" s="1"/>
  <c r="AZ85" i="5" s="1"/>
  <c r="AH30" i="5"/>
  <c r="M110" i="6"/>
  <c r="F14" i="6"/>
  <c r="AY139" i="5"/>
  <c r="BL139" i="5"/>
  <c r="BL32" i="5"/>
  <c r="AY32" i="5"/>
  <c r="AH152" i="5"/>
  <c r="AH118" i="5"/>
  <c r="AH59" i="5"/>
  <c r="AH48" i="5"/>
  <c r="AH89" i="5"/>
  <c r="AH136" i="5"/>
  <c r="AH74" i="5"/>
  <c r="AH106" i="5"/>
  <c r="AH78" i="5"/>
  <c r="AU78" i="5" s="1"/>
  <c r="AZ78" i="5" s="1"/>
  <c r="AH119" i="5"/>
  <c r="AH101" i="5"/>
  <c r="AH13" i="5"/>
  <c r="AH110" i="5"/>
  <c r="AU110" i="5" s="1"/>
  <c r="AZ110" i="5" s="1"/>
  <c r="BA110" i="5" s="1"/>
  <c r="AH95" i="5"/>
  <c r="AH146" i="5"/>
  <c r="AH151" i="5"/>
  <c r="AH122" i="5"/>
  <c r="AU122" i="5" s="1"/>
  <c r="AZ122" i="5" s="1"/>
  <c r="BA122" i="5" s="1"/>
  <c r="AH99" i="5"/>
  <c r="AH154" i="5"/>
  <c r="AH24" i="5"/>
  <c r="AH41" i="5"/>
  <c r="AH22" i="5"/>
  <c r="AH144" i="5"/>
  <c r="AH137" i="5"/>
  <c r="AH128" i="5"/>
  <c r="AH51" i="5"/>
  <c r="AY18" i="5"/>
  <c r="BL18" i="5"/>
  <c r="AY68" i="5"/>
  <c r="BL68" i="5"/>
  <c r="AY60" i="5"/>
  <c r="BL60" i="5"/>
  <c r="BL85" i="5"/>
  <c r="AY85" i="5"/>
  <c r="BL127" i="5"/>
  <c r="AY127" i="5"/>
  <c r="F141" i="6"/>
  <c r="K141" i="6" s="1"/>
  <c r="M141" i="6" s="1"/>
  <c r="K38" i="6"/>
  <c r="AY75" i="5"/>
  <c r="BL75" i="5"/>
  <c r="AY93" i="5"/>
  <c r="BL93" i="5"/>
  <c r="AY100" i="5"/>
  <c r="BL100" i="5"/>
  <c r="AY84" i="5"/>
  <c r="BL84" i="5"/>
  <c r="M118" i="6"/>
  <c r="F15" i="6"/>
  <c r="AY70" i="5"/>
  <c r="BL70" i="5"/>
  <c r="AY74" i="5"/>
  <c r="BL74" i="5"/>
  <c r="BL91" i="5"/>
  <c r="AY91" i="5"/>
  <c r="AH116" i="5"/>
  <c r="AH56" i="5"/>
  <c r="BL53" i="5"/>
  <c r="AY53" i="5"/>
  <c r="AY158" i="5"/>
  <c r="BL158" i="5"/>
  <c r="BL54" i="5"/>
  <c r="AY54" i="5"/>
  <c r="AH38" i="5"/>
  <c r="AH88" i="5"/>
  <c r="AH77" i="5"/>
  <c r="AU77" i="5" s="1"/>
  <c r="AZ77" i="5" s="1"/>
  <c r="BA77" i="5" s="1"/>
  <c r="AH14" i="5"/>
  <c r="AH52" i="5"/>
  <c r="AH148" i="5"/>
  <c r="AH121" i="5"/>
  <c r="AH46" i="5"/>
  <c r="AH129" i="5"/>
  <c r="AH25" i="5"/>
  <c r="AH141" i="5"/>
  <c r="AU141" i="5" s="1"/>
  <c r="AZ141" i="5" s="1"/>
  <c r="BA141" i="5" s="1"/>
  <c r="AH75" i="5"/>
  <c r="AH124" i="5"/>
  <c r="AH36" i="5"/>
  <c r="AH58" i="5"/>
  <c r="AH35" i="5"/>
  <c r="AH142" i="5"/>
  <c r="AH61" i="5"/>
  <c r="AH157" i="5"/>
  <c r="AH82" i="5"/>
  <c r="AH91" i="5"/>
  <c r="AH65" i="5"/>
  <c r="AH86" i="5"/>
  <c r="AH32" i="5"/>
  <c r="AH149" i="5"/>
  <c r="AH114" i="5"/>
  <c r="AH135" i="5"/>
  <c r="AH57" i="5"/>
  <c r="AH143" i="5"/>
  <c r="AH131" i="5"/>
  <c r="AH23" i="5"/>
  <c r="M134" i="6"/>
  <c r="F17" i="6"/>
  <c r="BL109" i="5"/>
  <c r="AY109" i="5"/>
  <c r="AY22" i="5"/>
  <c r="BL22" i="5"/>
  <c r="AY124" i="5"/>
  <c r="BL124" i="5"/>
  <c r="BL15" i="5"/>
  <c r="AY15" i="5"/>
  <c r="BL37" i="5"/>
  <c r="AY37" i="5"/>
  <c r="BL103" i="5"/>
  <c r="AY103" i="5"/>
  <c r="AY94" i="5"/>
  <c r="BL94" i="5"/>
  <c r="BL147" i="5"/>
  <c r="AY147" i="5"/>
  <c r="AY102" i="5"/>
  <c r="BL102" i="5"/>
  <c r="BL14" i="5"/>
  <c r="AY14" i="5"/>
  <c r="BL140" i="5"/>
  <c r="AY140" i="5"/>
  <c r="AY99" i="5"/>
  <c r="BL99" i="5"/>
  <c r="BL125" i="5"/>
  <c r="AY125" i="5"/>
  <c r="BL51" i="5"/>
  <c r="AY51" i="5"/>
  <c r="AH71" i="5"/>
  <c r="AH93" i="5"/>
  <c r="AU93" i="5" s="1"/>
  <c r="AZ93" i="5" s="1"/>
  <c r="BA93" i="5" s="1"/>
  <c r="BL110" i="5"/>
  <c r="AY110" i="5"/>
  <c r="BL146" i="5"/>
  <c r="AY146" i="5"/>
  <c r="AY108" i="5"/>
  <c r="BL108" i="5"/>
  <c r="BL46" i="5"/>
  <c r="AY46" i="5"/>
  <c r="AY61" i="5"/>
  <c r="BL61" i="5"/>
  <c r="BL73" i="5"/>
  <c r="AY73" i="5"/>
  <c r="AH11" i="5"/>
  <c r="AH112" i="5"/>
  <c r="AH69" i="5"/>
  <c r="AU69" i="5" s="1"/>
  <c r="AZ69" i="5" s="1"/>
  <c r="BA69" i="5" s="1"/>
  <c r="AH53" i="5"/>
  <c r="AH47" i="5"/>
  <c r="AH66" i="5"/>
  <c r="AH107" i="5"/>
  <c r="AH45" i="5"/>
  <c r="AH98" i="5"/>
  <c r="AH76" i="5"/>
  <c r="AH113" i="5"/>
  <c r="AU113" i="5" s="1"/>
  <c r="AZ113" i="5" s="1"/>
  <c r="BA113" i="5" s="1"/>
  <c r="AH18" i="5"/>
  <c r="AH123" i="5"/>
  <c r="AH21" i="5"/>
  <c r="AH70" i="5"/>
  <c r="AH60" i="5"/>
  <c r="AH54" i="5"/>
  <c r="AH9" i="5"/>
  <c r="AH145" i="5"/>
  <c r="AH50" i="5"/>
  <c r="AH90" i="5"/>
  <c r="AH40" i="5"/>
  <c r="AH156" i="5"/>
  <c r="AH73" i="5"/>
  <c r="AH29" i="5"/>
  <c r="AH19" i="5"/>
  <c r="BL154" i="5"/>
  <c r="AY154" i="5"/>
  <c r="M38" i="6"/>
  <c r="F10" i="6"/>
  <c r="AY16" i="5"/>
  <c r="BL16" i="5"/>
  <c r="AY116" i="5"/>
  <c r="BL116" i="5"/>
  <c r="BL151" i="5"/>
  <c r="AY151" i="5"/>
  <c r="BL44" i="5"/>
  <c r="AY44" i="5"/>
  <c r="AY130" i="5"/>
  <c r="BL130" i="5"/>
  <c r="K52" i="6"/>
  <c r="O29" i="5"/>
  <c r="O40" i="5"/>
  <c r="O119" i="5"/>
  <c r="O122" i="5"/>
  <c r="O23" i="5"/>
  <c r="O101" i="5"/>
  <c r="AU101" i="5" s="1"/>
  <c r="AZ101" i="5" s="1"/>
  <c r="BA101" i="5" s="1"/>
  <c r="O14" i="5"/>
  <c r="O154" i="5"/>
  <c r="O84" i="5"/>
  <c r="O147" i="5"/>
  <c r="O70" i="5"/>
  <c r="O31" i="5"/>
  <c r="O90" i="5"/>
  <c r="O133" i="5"/>
  <c r="AU133" i="5" s="1"/>
  <c r="AZ133" i="5" s="1"/>
  <c r="BA133" i="5" s="1"/>
  <c r="O112" i="5"/>
  <c r="AU112" i="5" s="1"/>
  <c r="AZ112" i="5" s="1"/>
  <c r="O55" i="5"/>
  <c r="O30" i="5"/>
  <c r="O126" i="5"/>
  <c r="O74" i="5"/>
  <c r="O56" i="5"/>
  <c r="O150" i="5"/>
  <c r="O151" i="5"/>
  <c r="AU151" i="5" s="1"/>
  <c r="AZ151" i="5" s="1"/>
  <c r="O12" i="5"/>
  <c r="O25" i="5"/>
  <c r="O103" i="5"/>
  <c r="O58" i="5"/>
  <c r="O102" i="5"/>
  <c r="O134" i="5"/>
  <c r="O66" i="5"/>
  <c r="O35" i="5"/>
  <c r="O96" i="5"/>
  <c r="O87" i="5"/>
  <c r="O97" i="5"/>
  <c r="O61" i="5"/>
  <c r="O145" i="5"/>
  <c r="O128" i="5"/>
  <c r="O110" i="5"/>
  <c r="O148" i="5"/>
  <c r="AU148" i="5" s="1"/>
  <c r="AZ148" i="5" s="1"/>
  <c r="BA148" i="5" s="1"/>
  <c r="O153" i="5"/>
  <c r="AU153" i="5" s="1"/>
  <c r="AZ153" i="5" s="1"/>
  <c r="BA153" i="5" s="1"/>
  <c r="O44" i="5"/>
  <c r="O120" i="5"/>
  <c r="O73" i="5"/>
  <c r="O76" i="5"/>
  <c r="AU76" i="5" s="1"/>
  <c r="AZ76" i="5" s="1"/>
  <c r="BA76" i="5" s="1"/>
  <c r="O54" i="5"/>
  <c r="O117" i="5"/>
  <c r="O149" i="5"/>
  <c r="AU149" i="5" s="1"/>
  <c r="AZ149" i="5" s="1"/>
  <c r="BA149" i="5" s="1"/>
  <c r="O41" i="5"/>
  <c r="O156" i="5"/>
  <c r="O159" i="5"/>
  <c r="O39" i="5"/>
  <c r="O92" i="5"/>
  <c r="O15" i="5"/>
  <c r="O98" i="5"/>
  <c r="O48" i="5"/>
  <c r="AU48" i="5" s="1"/>
  <c r="AZ48" i="5" s="1"/>
  <c r="O33" i="5"/>
  <c r="AU33" i="5" s="1"/>
  <c r="AZ33" i="5" s="1"/>
  <c r="O27" i="5"/>
  <c r="O75" i="5"/>
  <c r="O60" i="5"/>
  <c r="O46" i="5"/>
  <c r="O57" i="5"/>
  <c r="O104" i="5"/>
  <c r="O136" i="5"/>
  <c r="O63" i="5"/>
  <c r="AU63" i="5" s="1"/>
  <c r="AZ63" i="5" s="1"/>
  <c r="BA63" i="5" s="1"/>
  <c r="O47" i="5"/>
  <c r="O141" i="5"/>
  <c r="O139" i="5"/>
  <c r="O158" i="5"/>
  <c r="O80" i="5"/>
  <c r="O146" i="5"/>
  <c r="O49" i="5"/>
  <c r="AU49" i="5" s="1"/>
  <c r="AZ49" i="5" s="1"/>
  <c r="BA49" i="5" s="1"/>
  <c r="O9" i="5"/>
  <c r="O72" i="5"/>
  <c r="O140" i="5"/>
  <c r="O143" i="5"/>
  <c r="AU143" i="5" s="1"/>
  <c r="AZ143" i="5" s="1"/>
  <c r="BA143" i="5" s="1"/>
  <c r="O82" i="5"/>
  <c r="AU82" i="5" s="1"/>
  <c r="AZ82" i="5" s="1"/>
  <c r="O45" i="5"/>
  <c r="O137" i="5"/>
  <c r="O99" i="5"/>
  <c r="O65" i="5"/>
  <c r="AU65" i="5" s="1"/>
  <c r="AZ65" i="5" s="1"/>
  <c r="BA65" i="5" s="1"/>
  <c r="O131" i="5"/>
  <c r="O116" i="5"/>
  <c r="O152" i="5"/>
  <c r="AU152" i="5" s="1"/>
  <c r="AZ152" i="5" s="1"/>
  <c r="BA152" i="5" s="1"/>
  <c r="O18" i="5"/>
  <c r="O81" i="5"/>
  <c r="O19" i="5"/>
  <c r="O107" i="5"/>
  <c r="AU107" i="5" s="1"/>
  <c r="AZ107" i="5" s="1"/>
  <c r="BA107" i="5" s="1"/>
  <c r="O34" i="5"/>
  <c r="AU34" i="5" s="1"/>
  <c r="AZ34" i="5" s="1"/>
  <c r="BA34" i="5" s="1"/>
  <c r="O155" i="5"/>
  <c r="O28" i="5"/>
  <c r="O100" i="5"/>
  <c r="O86" i="5"/>
  <c r="O85" i="5"/>
  <c r="O78" i="5"/>
  <c r="O115" i="5"/>
  <c r="AU115" i="5" s="1"/>
  <c r="AZ115" i="5" s="1"/>
  <c r="BA115" i="5" s="1"/>
  <c r="BB115" i="5" s="1"/>
  <c r="O144" i="5"/>
  <c r="AU144" i="5" s="1"/>
  <c r="AZ144" i="5" s="1"/>
  <c r="O59" i="5"/>
  <c r="O69" i="5"/>
  <c r="O38" i="5"/>
  <c r="AU38" i="5" s="1"/>
  <c r="AZ38" i="5" s="1"/>
  <c r="BA38" i="5" s="1"/>
  <c r="O114" i="5"/>
  <c r="AU114" i="5" s="1"/>
  <c r="AZ114" i="5" s="1"/>
  <c r="O118" i="5"/>
  <c r="O83" i="5"/>
  <c r="O157" i="5"/>
  <c r="AU157" i="5" s="1"/>
  <c r="AZ157" i="5" s="1"/>
  <c r="O16" i="5"/>
  <c r="AU16" i="5" s="1"/>
  <c r="AZ16" i="5" s="1"/>
  <c r="O108" i="5"/>
  <c r="O95" i="5"/>
  <c r="O64" i="5"/>
  <c r="AU64" i="5" s="1"/>
  <c r="AZ64" i="5" s="1"/>
  <c r="O94" i="5"/>
  <c r="AU94" i="5" s="1"/>
  <c r="AZ94" i="5" s="1"/>
  <c r="BA94" i="5" s="1"/>
  <c r="O106" i="5"/>
  <c r="O10" i="5"/>
  <c r="O21" i="5"/>
  <c r="AU21" i="5" s="1"/>
  <c r="AZ21" i="5" s="1"/>
  <c r="BA21" i="5" s="1"/>
  <c r="O129" i="5"/>
  <c r="AU129" i="5" s="1"/>
  <c r="AZ129" i="5" s="1"/>
  <c r="BA129" i="5" s="1"/>
  <c r="O22" i="5"/>
  <c r="O88" i="5"/>
  <c r="O127" i="5"/>
  <c r="AU127" i="5" s="1"/>
  <c r="AZ127" i="5" s="1"/>
  <c r="BA127" i="5" s="1"/>
  <c r="O51" i="5"/>
  <c r="O11" i="5"/>
  <c r="O113" i="5"/>
  <c r="O53" i="5"/>
  <c r="O135" i="5"/>
  <c r="O52" i="5"/>
  <c r="O24" i="5"/>
  <c r="O105" i="5"/>
  <c r="AU105" i="5" s="1"/>
  <c r="AZ105" i="5" s="1"/>
  <c r="BA105" i="5" s="1"/>
  <c r="O20" i="5"/>
  <c r="O142" i="5"/>
  <c r="O91" i="5"/>
  <c r="O32" i="5"/>
  <c r="O71" i="5"/>
  <c r="AU71" i="5" s="1"/>
  <c r="AZ71" i="5" s="1"/>
  <c r="BA71" i="5" s="1"/>
  <c r="O77" i="5"/>
  <c r="O93" i="5"/>
  <c r="O123" i="5"/>
  <c r="AU123" i="5" s="1"/>
  <c r="AZ123" i="5" s="1"/>
  <c r="BA123" i="5" s="1"/>
  <c r="O26" i="5"/>
  <c r="AU26" i="5" s="1"/>
  <c r="AZ26" i="5" s="1"/>
  <c r="O124" i="5"/>
  <c r="O36" i="5"/>
  <c r="O130" i="5"/>
  <c r="AU130" i="5" s="1"/>
  <c r="AZ130" i="5" s="1"/>
  <c r="BA130" i="5" s="1"/>
  <c r="O111" i="5"/>
  <c r="AU111" i="5" s="1"/>
  <c r="AZ111" i="5" s="1"/>
  <c r="BA111" i="5" s="1"/>
  <c r="O125" i="5"/>
  <c r="O62" i="5"/>
  <c r="O138" i="5"/>
  <c r="AU138" i="5" s="1"/>
  <c r="AZ138" i="5" s="1"/>
  <c r="BA138" i="5" s="1"/>
  <c r="O43" i="5"/>
  <c r="O89" i="5"/>
  <c r="O17" i="5"/>
  <c r="O13" i="5"/>
  <c r="AU13" i="5" s="1"/>
  <c r="AZ13" i="5" s="1"/>
  <c r="O50" i="5"/>
  <c r="AU50" i="5" s="1"/>
  <c r="AZ50" i="5" s="1"/>
  <c r="O67" i="5"/>
  <c r="O109" i="5"/>
  <c r="O68" i="5"/>
  <c r="AU68" i="5" s="1"/>
  <c r="AZ68" i="5" s="1"/>
  <c r="BA68" i="5" s="1"/>
  <c r="O42" i="5"/>
  <c r="AU42" i="5" s="1"/>
  <c r="AZ42" i="5" s="1"/>
  <c r="O79" i="5"/>
  <c r="O132" i="5"/>
  <c r="O121" i="5"/>
  <c r="AU121" i="5" s="1"/>
  <c r="AZ121" i="5" s="1"/>
  <c r="O37" i="5"/>
  <c r="BL35" i="5"/>
  <c r="AY35" i="5"/>
  <c r="BL28" i="5"/>
  <c r="AY28" i="5"/>
  <c r="AU31" i="5"/>
  <c r="AZ31" i="5" s="1"/>
  <c r="AU83" i="5"/>
  <c r="AZ83" i="5" s="1"/>
  <c r="AH132" i="5"/>
  <c r="AU132" i="5" s="1"/>
  <c r="AZ132" i="5" s="1"/>
  <c r="AX121" i="5"/>
  <c r="AX17" i="5"/>
  <c r="AU106" i="5"/>
  <c r="AZ106" i="5" s="1"/>
  <c r="AU120" i="5"/>
  <c r="AZ120" i="5" s="1"/>
  <c r="AX80" i="5"/>
  <c r="AU98" i="5"/>
  <c r="AZ98" i="5" s="1"/>
  <c r="AU147" i="5"/>
  <c r="AZ147" i="5" s="1"/>
  <c r="BA147" i="5" s="1"/>
  <c r="AU23" i="5"/>
  <c r="AZ23" i="5" s="1"/>
  <c r="BA23" i="5" s="1"/>
  <c r="AU87" i="5"/>
  <c r="AZ87" i="5" s="1"/>
  <c r="BA87" i="5" s="1"/>
  <c r="AU19" i="5"/>
  <c r="AZ19" i="5" s="1"/>
  <c r="AU124" i="5"/>
  <c r="AZ124" i="5" s="1"/>
  <c r="BA124" i="5" s="1"/>
  <c r="AU57" i="5"/>
  <c r="AZ57" i="5" s="1"/>
  <c r="BA57" i="5" s="1"/>
  <c r="AU154" i="5"/>
  <c r="AZ154" i="5" s="1"/>
  <c r="AU131" i="5"/>
  <c r="AZ131" i="5" s="1"/>
  <c r="BA131" i="5" s="1"/>
  <c r="AU95" i="5"/>
  <c r="AZ95" i="5" s="1"/>
  <c r="BA95" i="5" s="1"/>
  <c r="AU91" i="5"/>
  <c r="AZ91" i="5" s="1"/>
  <c r="AU137" i="5"/>
  <c r="AZ137" i="5" s="1"/>
  <c r="AX13" i="5"/>
  <c r="AX157" i="5"/>
  <c r="AX40" i="5"/>
  <c r="AX126" i="5"/>
  <c r="AX33" i="5"/>
  <c r="AX64" i="5"/>
  <c r="AX114" i="5"/>
  <c r="AX42" i="5"/>
  <c r="AX24" i="5"/>
  <c r="AX136" i="5"/>
  <c r="AX90" i="5"/>
  <c r="AH139" i="5"/>
  <c r="AU139" i="5" s="1"/>
  <c r="AZ139" i="5" s="1"/>
  <c r="BA139" i="5" s="1"/>
  <c r="AH150" i="5"/>
  <c r="AU150" i="5" s="1"/>
  <c r="AZ150" i="5" s="1"/>
  <c r="BA150" i="5" s="1"/>
  <c r="AH125" i="5"/>
  <c r="AU125" i="5" s="1"/>
  <c r="AZ125" i="5" s="1"/>
  <c r="AU142" i="5"/>
  <c r="AZ142" i="5" s="1"/>
  <c r="AU56" i="5"/>
  <c r="AZ56" i="5" s="1"/>
  <c r="AX36" i="5"/>
  <c r="AU58" i="5"/>
  <c r="AZ58" i="5" s="1"/>
  <c r="AU134" i="5"/>
  <c r="AZ134" i="5" s="1"/>
  <c r="AU146" i="5"/>
  <c r="AZ146" i="5" s="1"/>
  <c r="AU18" i="5"/>
  <c r="AZ18" i="5" s="1"/>
  <c r="BA18" i="5" s="1"/>
  <c r="AU61" i="5"/>
  <c r="AZ61" i="5" s="1"/>
  <c r="BA61" i="5" s="1"/>
  <c r="AU81" i="5"/>
  <c r="AZ81" i="5" s="1"/>
  <c r="BA81" i="5" s="1"/>
  <c r="AU116" i="5"/>
  <c r="AZ116" i="5" s="1"/>
  <c r="BA116" i="5" s="1"/>
  <c r="AU117" i="5"/>
  <c r="AZ117" i="5" s="1"/>
  <c r="BA117" i="5" s="1"/>
  <c r="AX137" i="5"/>
  <c r="AX50" i="5"/>
  <c r="AU40" i="5"/>
  <c r="AZ40" i="5" s="1"/>
  <c r="AH158" i="5"/>
  <c r="AY41" i="5"/>
  <c r="BL41" i="5"/>
  <c r="BL19" i="5"/>
  <c r="AY19" i="5"/>
  <c r="AU88" i="5"/>
  <c r="AZ88" i="5" s="1"/>
  <c r="AU66" i="5"/>
  <c r="AZ66" i="5" s="1"/>
  <c r="AX25" i="5"/>
  <c r="AU104" i="5"/>
  <c r="AZ104" i="5" s="1"/>
  <c r="AH126" i="5"/>
  <c r="AU126" i="5" s="1"/>
  <c r="AZ126" i="5" s="1"/>
  <c r="AH92" i="5"/>
  <c r="AX142" i="5"/>
  <c r="AX144" i="5"/>
  <c r="AX56" i="5"/>
  <c r="AU36" i="5"/>
  <c r="AZ36" i="5" s="1"/>
  <c r="AX132" i="5"/>
  <c r="AX48" i="5"/>
  <c r="AX58" i="5"/>
  <c r="J168" i="4"/>
  <c r="BP159" i="5"/>
  <c r="BJ159" i="5"/>
  <c r="BK159" i="5" s="1"/>
  <c r="AU159" i="5"/>
  <c r="AU119" i="5"/>
  <c r="AZ119" i="5" s="1"/>
  <c r="BA119" i="5" s="1"/>
  <c r="AU67" i="5"/>
  <c r="AZ67" i="5" s="1"/>
  <c r="BA67" i="5" s="1"/>
  <c r="AU12" i="5"/>
  <c r="AZ12" i="5" s="1"/>
  <c r="BA12" i="5" s="1"/>
  <c r="AU27" i="5"/>
  <c r="AZ27" i="5" s="1"/>
  <c r="BA27" i="5" s="1"/>
  <c r="AU47" i="5"/>
  <c r="AZ47" i="5" s="1"/>
  <c r="BA47" i="5" s="1"/>
  <c r="AU109" i="5"/>
  <c r="AZ109" i="5" s="1"/>
  <c r="AU46" i="5"/>
  <c r="AZ46" i="5" s="1"/>
  <c r="BA46" i="5" s="1"/>
  <c r="M44" i="6"/>
  <c r="F11" i="6"/>
  <c r="AU158" i="5"/>
  <c r="AU103" i="5"/>
  <c r="AZ103" i="5" s="1"/>
  <c r="BA103" i="5" s="1"/>
  <c r="AU52" i="5"/>
  <c r="AZ52" i="5" s="1"/>
  <c r="BA52" i="5" s="1"/>
  <c r="AU14" i="5"/>
  <c r="AZ14" i="5" s="1"/>
  <c r="BA14" i="5" s="1"/>
  <c r="AU54" i="5"/>
  <c r="AZ54" i="5" s="1"/>
  <c r="AU15" i="5"/>
  <c r="AZ15" i="5" s="1"/>
  <c r="BA15" i="5" s="1"/>
  <c r="AU102" i="5"/>
  <c r="AZ102" i="5" s="1"/>
  <c r="BA102" i="5" s="1"/>
  <c r="AU28" i="5"/>
  <c r="AZ28" i="5" s="1"/>
  <c r="BL31" i="5"/>
  <c r="AY31" i="5"/>
  <c r="BA31" i="5" s="1"/>
  <c r="AX72" i="5"/>
  <c r="AX45" i="5"/>
  <c r="AU20" i="5"/>
  <c r="AZ20" i="5" s="1"/>
  <c r="AU10" i="5"/>
  <c r="AZ10" i="5" s="1"/>
  <c r="AX156" i="5"/>
  <c r="AX11" i="5"/>
  <c r="AX96" i="5"/>
  <c r="AU29" i="5"/>
  <c r="AZ29" i="5" s="1"/>
  <c r="AX82" i="5"/>
  <c r="AX9" i="5"/>
  <c r="AV8" i="5"/>
  <c r="AX88" i="5"/>
  <c r="AX66" i="5"/>
  <c r="AU25" i="5"/>
  <c r="AZ25" i="5" s="1"/>
  <c r="AX104" i="5"/>
  <c r="AH43" i="5"/>
  <c r="AH55" i="5"/>
  <c r="AU55" i="5" s="1"/>
  <c r="AZ55" i="5" s="1"/>
  <c r="BA55" i="5" s="1"/>
  <c r="AU17" i="5"/>
  <c r="AZ17" i="5" s="1"/>
  <c r="AX106" i="5"/>
  <c r="AX120" i="5"/>
  <c r="AU80" i="5"/>
  <c r="AZ80" i="5" s="1"/>
  <c r="AX98" i="5"/>
  <c r="AX78" i="5"/>
  <c r="F16" i="6"/>
  <c r="M126" i="6"/>
  <c r="AU155" i="5"/>
  <c r="AZ155" i="5" s="1"/>
  <c r="BA155" i="5" s="1"/>
  <c r="AU59" i="5"/>
  <c r="AZ59" i="5" s="1"/>
  <c r="BA59" i="5" s="1"/>
  <c r="AU140" i="5"/>
  <c r="AZ140" i="5" s="1"/>
  <c r="AU39" i="5"/>
  <c r="AZ39" i="5" s="1"/>
  <c r="BA39" i="5" s="1"/>
  <c r="AU97" i="5"/>
  <c r="AZ97" i="5" s="1"/>
  <c r="BA97" i="5" s="1"/>
  <c r="AU84" i="5"/>
  <c r="AZ84" i="5" s="1"/>
  <c r="BA84" i="5" s="1"/>
  <c r="AU74" i="5"/>
  <c r="AZ74" i="5" s="1"/>
  <c r="BA74" i="5" s="1"/>
  <c r="AU92" i="5"/>
  <c r="AZ92" i="5" s="1"/>
  <c r="BA92" i="5" s="1"/>
  <c r="AU128" i="5"/>
  <c r="AZ128" i="5" s="1"/>
  <c r="BA128" i="5" s="1"/>
  <c r="AU51" i="5"/>
  <c r="AZ51" i="5" s="1"/>
  <c r="BA51" i="5" s="1"/>
  <c r="AU100" i="5"/>
  <c r="AZ100" i="5" s="1"/>
  <c r="BA100" i="5" s="1"/>
  <c r="J18" i="4"/>
  <c r="AX112" i="5"/>
  <c r="AU72" i="5"/>
  <c r="AZ72" i="5" s="1"/>
  <c r="BL83" i="5"/>
  <c r="AY83" i="5"/>
  <c r="BA83" i="5" s="1"/>
  <c r="AU45" i="5"/>
  <c r="AZ45" i="5" s="1"/>
  <c r="AX20" i="5"/>
  <c r="AY79" i="5"/>
  <c r="BL79" i="5"/>
  <c r="AX10" i="5"/>
  <c r="AU156" i="5"/>
  <c r="AZ156" i="5" s="1"/>
  <c r="AU11" i="5"/>
  <c r="AZ11" i="5" s="1"/>
  <c r="AX29" i="5"/>
  <c r="Q8" i="8"/>
  <c r="I9" i="5"/>
  <c r="AU24" i="5"/>
  <c r="AZ24" i="5" s="1"/>
  <c r="AU90" i="5"/>
  <c r="AZ90" i="5" s="1"/>
  <c r="BA134" i="5" l="1"/>
  <c r="BA125" i="5"/>
  <c r="AU79" i="5"/>
  <c r="AZ79" i="5" s="1"/>
  <c r="AU89" i="5"/>
  <c r="AZ89" i="5" s="1"/>
  <c r="BA89" i="5" s="1"/>
  <c r="BB89" i="5" s="1"/>
  <c r="BA140" i="5"/>
  <c r="BA109" i="5"/>
  <c r="AU37" i="5"/>
  <c r="AZ37" i="5" s="1"/>
  <c r="BA37" i="5" s="1"/>
  <c r="BA26" i="5"/>
  <c r="BM26" i="5" s="1"/>
  <c r="BN26" i="5" s="1"/>
  <c r="BO26" i="5" s="1"/>
  <c r="BP26" i="5" s="1"/>
  <c r="AU135" i="5"/>
  <c r="AZ135" i="5" s="1"/>
  <c r="BA135" i="5" s="1"/>
  <c r="BA16" i="5"/>
  <c r="AU86" i="5"/>
  <c r="AZ86" i="5" s="1"/>
  <c r="BA86" i="5" s="1"/>
  <c r="AU145" i="5"/>
  <c r="AZ145" i="5" s="1"/>
  <c r="BA145" i="5" s="1"/>
  <c r="BC145" i="5" s="1"/>
  <c r="BE145" i="5" s="1"/>
  <c r="BJ145" i="5" s="1"/>
  <c r="BK145" i="5" s="1"/>
  <c r="AU96" i="5"/>
  <c r="AZ96" i="5" s="1"/>
  <c r="AU70" i="5"/>
  <c r="AZ70" i="5" s="1"/>
  <c r="BA70" i="5" s="1"/>
  <c r="AU73" i="5"/>
  <c r="AZ73" i="5" s="1"/>
  <c r="BA73" i="5" s="1"/>
  <c r="AU60" i="5"/>
  <c r="AZ60" i="5" s="1"/>
  <c r="BA60" i="5" s="1"/>
  <c r="AU53" i="5"/>
  <c r="AZ53" i="5" s="1"/>
  <c r="BA53" i="5" s="1"/>
  <c r="AU32" i="5"/>
  <c r="AZ32" i="5" s="1"/>
  <c r="BA32" i="5" s="1"/>
  <c r="AU35" i="5"/>
  <c r="AZ35" i="5" s="1"/>
  <c r="BA35" i="5" s="1"/>
  <c r="AU75" i="5"/>
  <c r="AZ75" i="5" s="1"/>
  <c r="BA75" i="5" s="1"/>
  <c r="BB75" i="5" s="1"/>
  <c r="AU22" i="5"/>
  <c r="AZ22" i="5" s="1"/>
  <c r="BA22" i="5" s="1"/>
  <c r="AU99" i="5"/>
  <c r="AZ99" i="5" s="1"/>
  <c r="BA99" i="5" s="1"/>
  <c r="AU136" i="5"/>
  <c r="AZ136" i="5" s="1"/>
  <c r="AU118" i="5"/>
  <c r="AZ118" i="5" s="1"/>
  <c r="BA118" i="5" s="1"/>
  <c r="BM118" i="5" s="1"/>
  <c r="BN118" i="5" s="1"/>
  <c r="AU30" i="5"/>
  <c r="AZ30" i="5" s="1"/>
  <c r="BA30" i="5" s="1"/>
  <c r="F12" i="6"/>
  <c r="M52" i="6"/>
  <c r="BA146" i="5"/>
  <c r="BM146" i="5" s="1"/>
  <c r="BN146" i="5" s="1"/>
  <c r="BM115" i="5"/>
  <c r="BN115" i="5" s="1"/>
  <c r="AU41" i="5"/>
  <c r="AZ41" i="5" s="1"/>
  <c r="BA79" i="5"/>
  <c r="BB79" i="5" s="1"/>
  <c r="BA41" i="5"/>
  <c r="BM41" i="5" s="1"/>
  <c r="BN41" i="5" s="1"/>
  <c r="BA151" i="5"/>
  <c r="BM151" i="5" s="1"/>
  <c r="BN151" i="5" s="1"/>
  <c r="BA91" i="5"/>
  <c r="BC115" i="5"/>
  <c r="BE115" i="5" s="1"/>
  <c r="BJ115" i="5" s="1"/>
  <c r="BK115" i="5" s="1"/>
  <c r="AH8" i="5"/>
  <c r="BA28" i="5"/>
  <c r="BC28" i="5" s="1"/>
  <c r="BA54" i="5"/>
  <c r="BA19" i="5"/>
  <c r="BA85" i="5"/>
  <c r="BC85" i="5" s="1"/>
  <c r="BA154" i="5"/>
  <c r="BB154" i="5" s="1"/>
  <c r="BM125" i="5"/>
  <c r="BN125" i="5" s="1"/>
  <c r="BB125" i="5"/>
  <c r="BC125" i="5"/>
  <c r="BE125" i="5" s="1"/>
  <c r="BJ125" i="5" s="1"/>
  <c r="BK125" i="5" s="1"/>
  <c r="BC150" i="5"/>
  <c r="BE150" i="5" s="1"/>
  <c r="BJ150" i="5" s="1"/>
  <c r="BK150" i="5" s="1"/>
  <c r="BM150" i="5"/>
  <c r="BN150" i="5" s="1"/>
  <c r="BB150" i="5"/>
  <c r="BM79" i="5"/>
  <c r="BB83" i="5"/>
  <c r="BD83" i="5" s="1"/>
  <c r="BM83" i="5"/>
  <c r="BE83" i="5"/>
  <c r="BJ83" i="5" s="1"/>
  <c r="BK83" i="5" s="1"/>
  <c r="BC83" i="5"/>
  <c r="BL112" i="5"/>
  <c r="AY112" i="5"/>
  <c r="BA112" i="5" s="1"/>
  <c r="BB100" i="5"/>
  <c r="BD100" i="5" s="1"/>
  <c r="BC100" i="5"/>
  <c r="BE100" i="5" s="1"/>
  <c r="BJ100" i="5" s="1"/>
  <c r="BK100" i="5" s="1"/>
  <c r="BM100" i="5"/>
  <c r="BN100" i="5" s="1"/>
  <c r="BO100" i="5" s="1"/>
  <c r="BP100" i="5" s="1"/>
  <c r="BE128" i="5"/>
  <c r="BJ128" i="5" s="1"/>
  <c r="BK128" i="5" s="1"/>
  <c r="BC128" i="5"/>
  <c r="BM128" i="5"/>
  <c r="BN128" i="5" s="1"/>
  <c r="BB128" i="5"/>
  <c r="BC84" i="5"/>
  <c r="BE84" i="5" s="1"/>
  <c r="BJ84" i="5" s="1"/>
  <c r="BK84" i="5" s="1"/>
  <c r="BB84" i="5"/>
  <c r="BM84" i="5"/>
  <c r="BN84" i="5" s="1"/>
  <c r="BM39" i="5"/>
  <c r="BN39" i="5" s="1"/>
  <c r="BB39" i="5"/>
  <c r="BC39" i="5"/>
  <c r="BE39" i="5" s="1"/>
  <c r="BJ39" i="5" s="1"/>
  <c r="BK39" i="5" s="1"/>
  <c r="BC59" i="5"/>
  <c r="BE59" i="5" s="1"/>
  <c r="BJ59" i="5" s="1"/>
  <c r="BK59" i="5" s="1"/>
  <c r="BM59" i="5"/>
  <c r="BN59" i="5" s="1"/>
  <c r="BB59" i="5"/>
  <c r="BL106" i="5"/>
  <c r="AY106" i="5"/>
  <c r="BA106" i="5" s="1"/>
  <c r="BL82" i="5"/>
  <c r="AY82" i="5"/>
  <c r="BA82" i="5" s="1"/>
  <c r="BC141" i="5"/>
  <c r="BE141" i="5" s="1"/>
  <c r="BJ141" i="5" s="1"/>
  <c r="BK141" i="5" s="1"/>
  <c r="BB141" i="5"/>
  <c r="BD141" i="5" s="1"/>
  <c r="BM141" i="5"/>
  <c r="BN141" i="5" s="1"/>
  <c r="BC52" i="5"/>
  <c r="BE52" i="5" s="1"/>
  <c r="BJ52" i="5" s="1"/>
  <c r="BK52" i="5" s="1"/>
  <c r="BB52" i="5"/>
  <c r="BM52" i="5"/>
  <c r="BN52" i="5" s="1"/>
  <c r="BM109" i="5"/>
  <c r="BN109" i="5" s="1"/>
  <c r="BB109" i="5"/>
  <c r="BC109" i="5"/>
  <c r="BE109" i="5" s="1"/>
  <c r="BJ109" i="5" s="1"/>
  <c r="BK109" i="5" s="1"/>
  <c r="BM35" i="5"/>
  <c r="BN35" i="5" s="1"/>
  <c r="BB35" i="5"/>
  <c r="BC35" i="5"/>
  <c r="BE35" i="5" s="1"/>
  <c r="BJ35" i="5" s="1"/>
  <c r="BK35" i="5" s="1"/>
  <c r="BE67" i="5"/>
  <c r="BJ67" i="5" s="1"/>
  <c r="BK67" i="5" s="1"/>
  <c r="BC67" i="5"/>
  <c r="BM67" i="5"/>
  <c r="BN67" i="5" s="1"/>
  <c r="BB67" i="5"/>
  <c r="BC34" i="5"/>
  <c r="BE34" i="5" s="1"/>
  <c r="BJ34" i="5" s="1"/>
  <c r="BK34" i="5" s="1"/>
  <c r="BB34" i="5"/>
  <c r="BM34" i="5"/>
  <c r="BN34" i="5" s="1"/>
  <c r="BL48" i="5"/>
  <c r="AY48" i="5"/>
  <c r="BA48" i="5" s="1"/>
  <c r="BL50" i="5"/>
  <c r="AY50" i="5"/>
  <c r="BA50" i="5" s="1"/>
  <c r="BB107" i="5"/>
  <c r="BM107" i="5"/>
  <c r="BN107" i="5" s="1"/>
  <c r="BC107" i="5"/>
  <c r="BE107" i="5" s="1"/>
  <c r="BJ107" i="5" s="1"/>
  <c r="BK107" i="5" s="1"/>
  <c r="BC63" i="5"/>
  <c r="BE63" i="5" s="1"/>
  <c r="BJ63" i="5" s="1"/>
  <c r="BK63" i="5" s="1"/>
  <c r="BM63" i="5"/>
  <c r="BN63" i="5" s="1"/>
  <c r="BB63" i="5"/>
  <c r="BC93" i="5"/>
  <c r="BE93" i="5" s="1"/>
  <c r="BJ93" i="5" s="1"/>
  <c r="BK93" i="5" s="1"/>
  <c r="BB93" i="5"/>
  <c r="BM93" i="5"/>
  <c r="BN93" i="5" s="1"/>
  <c r="BO93" i="5" s="1"/>
  <c r="BP93" i="5" s="1"/>
  <c r="BC21" i="5"/>
  <c r="BE21" i="5" s="1"/>
  <c r="BJ21" i="5" s="1"/>
  <c r="BK21" i="5" s="1"/>
  <c r="BM21" i="5"/>
  <c r="BN21" i="5" s="1"/>
  <c r="BB21" i="5"/>
  <c r="BD21" i="5" s="1"/>
  <c r="BC133" i="5"/>
  <c r="BE133" i="5" s="1"/>
  <c r="BJ133" i="5" s="1"/>
  <c r="BK133" i="5" s="1"/>
  <c r="BM133" i="5"/>
  <c r="BN133" i="5" s="1"/>
  <c r="BB133" i="5"/>
  <c r="BC146" i="5"/>
  <c r="BC65" i="5"/>
  <c r="BE65" i="5" s="1"/>
  <c r="BJ65" i="5" s="1"/>
  <c r="BK65" i="5" s="1"/>
  <c r="BB65" i="5"/>
  <c r="BM65" i="5"/>
  <c r="BN65" i="5" s="1"/>
  <c r="BL42" i="5"/>
  <c r="AY42" i="5"/>
  <c r="BA42" i="5" s="1"/>
  <c r="BL64" i="5"/>
  <c r="AY64" i="5"/>
  <c r="BA64" i="5" s="1"/>
  <c r="BL126" i="5"/>
  <c r="AY126" i="5"/>
  <c r="BA126" i="5" s="1"/>
  <c r="BL157" i="5"/>
  <c r="AY157" i="5"/>
  <c r="BA157" i="5" s="1"/>
  <c r="BC95" i="5"/>
  <c r="BE95" i="5" s="1"/>
  <c r="BJ95" i="5" s="1"/>
  <c r="BK95" i="5" s="1"/>
  <c r="BB95" i="5"/>
  <c r="BM95" i="5"/>
  <c r="BN95" i="5" s="1"/>
  <c r="BB57" i="5"/>
  <c r="BM57" i="5"/>
  <c r="BN57" i="5" s="1"/>
  <c r="BC57" i="5"/>
  <c r="BE57" i="5" s="1"/>
  <c r="BJ57" i="5" s="1"/>
  <c r="BK57" i="5" s="1"/>
  <c r="BC26" i="5"/>
  <c r="BE26" i="5" s="1"/>
  <c r="BJ26" i="5" s="1"/>
  <c r="BK26" i="5" s="1"/>
  <c r="BM60" i="5"/>
  <c r="BN60" i="5" s="1"/>
  <c r="BM89" i="5"/>
  <c r="BN89" i="5" s="1"/>
  <c r="BB147" i="5"/>
  <c r="BC147" i="5"/>
  <c r="BE147" i="5" s="1"/>
  <c r="BJ147" i="5" s="1"/>
  <c r="BK147" i="5" s="1"/>
  <c r="BM147" i="5"/>
  <c r="BN147" i="5" s="1"/>
  <c r="I8" i="5"/>
  <c r="AU9" i="5"/>
  <c r="BL29" i="5"/>
  <c r="AY29" i="5"/>
  <c r="BA29" i="5" s="1"/>
  <c r="BN83" i="5"/>
  <c r="BO83" i="5" s="1"/>
  <c r="BP83" i="5" s="1"/>
  <c r="BC51" i="5"/>
  <c r="BM51" i="5"/>
  <c r="BN51" i="5" s="1"/>
  <c r="BB51" i="5"/>
  <c r="BE51" i="5"/>
  <c r="BJ51" i="5" s="1"/>
  <c r="BK51" i="5" s="1"/>
  <c r="BB92" i="5"/>
  <c r="BD92" i="5" s="1"/>
  <c r="BC92" i="5"/>
  <c r="BE92" i="5" s="1"/>
  <c r="BJ92" i="5" s="1"/>
  <c r="BK92" i="5" s="1"/>
  <c r="BM92" i="5"/>
  <c r="BN92" i="5" s="1"/>
  <c r="BO92" i="5" s="1"/>
  <c r="BP92" i="5" s="1"/>
  <c r="BB74" i="5"/>
  <c r="BC74" i="5"/>
  <c r="BM74" i="5"/>
  <c r="BN74" i="5" s="1"/>
  <c r="BE74" i="5"/>
  <c r="BJ74" i="5" s="1"/>
  <c r="BK74" i="5" s="1"/>
  <c r="BC97" i="5"/>
  <c r="BE97" i="5" s="1"/>
  <c r="BJ97" i="5" s="1"/>
  <c r="BK97" i="5" s="1"/>
  <c r="BM97" i="5"/>
  <c r="BN97" i="5" s="1"/>
  <c r="BB97" i="5"/>
  <c r="BC49" i="5"/>
  <c r="BE49" i="5" s="1"/>
  <c r="BJ49" i="5" s="1"/>
  <c r="BK49" i="5" s="1"/>
  <c r="BM49" i="5"/>
  <c r="BN49" i="5" s="1"/>
  <c r="BB49" i="5"/>
  <c r="BE155" i="5"/>
  <c r="BJ155" i="5" s="1"/>
  <c r="BK155" i="5" s="1"/>
  <c r="BM155" i="5"/>
  <c r="BN155" i="5" s="1"/>
  <c r="BC155" i="5"/>
  <c r="BB155" i="5"/>
  <c r="BL78" i="5"/>
  <c r="AY78" i="5"/>
  <c r="BA78" i="5" s="1"/>
  <c r="AY66" i="5"/>
  <c r="BA66" i="5" s="1"/>
  <c r="BL66" i="5"/>
  <c r="BL11" i="5"/>
  <c r="AY11" i="5"/>
  <c r="BA11" i="5" s="1"/>
  <c r="BL72" i="5"/>
  <c r="AY72" i="5"/>
  <c r="BA72" i="5" s="1"/>
  <c r="BB149" i="5"/>
  <c r="BC149" i="5"/>
  <c r="BE149" i="5" s="1"/>
  <c r="BJ149" i="5" s="1"/>
  <c r="BK149" i="5" s="1"/>
  <c r="BM149" i="5"/>
  <c r="BN149" i="5" s="1"/>
  <c r="BC15" i="5"/>
  <c r="BE15" i="5" s="1"/>
  <c r="BJ15" i="5" s="1"/>
  <c r="BK15" i="5" s="1"/>
  <c r="BM15" i="5"/>
  <c r="BN15" i="5" s="1"/>
  <c r="BB15" i="5"/>
  <c r="BC103" i="5"/>
  <c r="BE103" i="5" s="1"/>
  <c r="BJ103" i="5" s="1"/>
  <c r="BK103" i="5" s="1"/>
  <c r="BM103" i="5"/>
  <c r="BN103" i="5" s="1"/>
  <c r="BO103" i="5" s="1"/>
  <c r="BP103" i="5" s="1"/>
  <c r="BB103" i="5"/>
  <c r="BB86" i="5"/>
  <c r="BC86" i="5"/>
  <c r="BE86" i="5" s="1"/>
  <c r="BJ86" i="5" s="1"/>
  <c r="BK86" i="5" s="1"/>
  <c r="BM86" i="5"/>
  <c r="BN86" i="5" s="1"/>
  <c r="BO86" i="5" s="1"/>
  <c r="BP86" i="5" s="1"/>
  <c r="BM27" i="5"/>
  <c r="BN27" i="5" s="1"/>
  <c r="BC27" i="5"/>
  <c r="BE27" i="5" s="1"/>
  <c r="BJ27" i="5" s="1"/>
  <c r="BK27" i="5" s="1"/>
  <c r="BB27" i="5"/>
  <c r="BD27" i="5" s="1"/>
  <c r="BB68" i="5"/>
  <c r="BM68" i="5"/>
  <c r="BN68" i="5" s="1"/>
  <c r="BC68" i="5"/>
  <c r="BE68" i="5" s="1"/>
  <c r="BJ68" i="5" s="1"/>
  <c r="BK68" i="5" s="1"/>
  <c r="BL56" i="5"/>
  <c r="AY56" i="5"/>
  <c r="BA56" i="5" s="1"/>
  <c r="AY142" i="5"/>
  <c r="BA142" i="5" s="1"/>
  <c r="BL142" i="5"/>
  <c r="BB41" i="5"/>
  <c r="BM22" i="5"/>
  <c r="BN22" i="5" s="1"/>
  <c r="BC22" i="5"/>
  <c r="BE22" i="5" s="1"/>
  <c r="BJ22" i="5" s="1"/>
  <c r="BK22" i="5" s="1"/>
  <c r="BB22" i="5"/>
  <c r="BC77" i="5"/>
  <c r="BE77" i="5" s="1"/>
  <c r="BJ77" i="5" s="1"/>
  <c r="BK77" i="5" s="1"/>
  <c r="BM77" i="5"/>
  <c r="BN77" i="5" s="1"/>
  <c r="BO77" i="5" s="1"/>
  <c r="BP77" i="5" s="1"/>
  <c r="BB77" i="5"/>
  <c r="BC139" i="5"/>
  <c r="BE139" i="5" s="1"/>
  <c r="BJ139" i="5" s="1"/>
  <c r="BK139" i="5" s="1"/>
  <c r="BM139" i="5"/>
  <c r="BN139" i="5" s="1"/>
  <c r="BO139" i="5" s="1"/>
  <c r="BP139" i="5" s="1"/>
  <c r="BB139" i="5"/>
  <c r="BC127" i="5"/>
  <c r="BE127" i="5" s="1"/>
  <c r="BJ127" i="5" s="1"/>
  <c r="BK127" i="5" s="1"/>
  <c r="BM127" i="5"/>
  <c r="BN127" i="5" s="1"/>
  <c r="BO127" i="5" s="1"/>
  <c r="BP127" i="5" s="1"/>
  <c r="BB127" i="5"/>
  <c r="BB134" i="5"/>
  <c r="BC134" i="5"/>
  <c r="BE134" i="5" s="1"/>
  <c r="BJ134" i="5" s="1"/>
  <c r="BK134" i="5" s="1"/>
  <c r="BM134" i="5"/>
  <c r="BN134" i="5" s="1"/>
  <c r="BL36" i="5"/>
  <c r="AY36" i="5"/>
  <c r="BA36" i="5" s="1"/>
  <c r="AY90" i="5"/>
  <c r="BA90" i="5" s="1"/>
  <c r="BL90" i="5"/>
  <c r="BL24" i="5"/>
  <c r="AY24" i="5"/>
  <c r="BA24" i="5" s="1"/>
  <c r="BC75" i="5"/>
  <c r="BE75" i="5" s="1"/>
  <c r="BJ75" i="5" s="1"/>
  <c r="BK75" i="5" s="1"/>
  <c r="BM53" i="5"/>
  <c r="BN53" i="5" s="1"/>
  <c r="BB53" i="5"/>
  <c r="BC53" i="5"/>
  <c r="BE53" i="5" s="1"/>
  <c r="BJ53" i="5" s="1"/>
  <c r="BK53" i="5" s="1"/>
  <c r="BM152" i="5"/>
  <c r="BN152" i="5" s="1"/>
  <c r="BB152" i="5"/>
  <c r="BC152" i="5"/>
  <c r="BE152" i="5" s="1"/>
  <c r="BJ152" i="5" s="1"/>
  <c r="BK152" i="5" s="1"/>
  <c r="BC110" i="5"/>
  <c r="BE110" i="5" s="1"/>
  <c r="BJ110" i="5" s="1"/>
  <c r="BK110" i="5" s="1"/>
  <c r="BB110" i="5"/>
  <c r="BM110" i="5"/>
  <c r="BN110" i="5" s="1"/>
  <c r="AU43" i="5"/>
  <c r="AZ43" i="5" s="1"/>
  <c r="BA43" i="5" s="1"/>
  <c r="BC76" i="5"/>
  <c r="BE76" i="5" s="1"/>
  <c r="BJ76" i="5" s="1"/>
  <c r="BK76" i="5" s="1"/>
  <c r="BM76" i="5"/>
  <c r="BN76" i="5" s="1"/>
  <c r="BB76" i="5"/>
  <c r="BM130" i="5"/>
  <c r="BN130" i="5" s="1"/>
  <c r="BO130" i="5" s="1"/>
  <c r="BP130" i="5" s="1"/>
  <c r="BC130" i="5"/>
  <c r="BE130" i="5" s="1"/>
  <c r="BJ130" i="5" s="1"/>
  <c r="BK130" i="5" s="1"/>
  <c r="BB130" i="5"/>
  <c r="BC71" i="5"/>
  <c r="BE71" i="5" s="1"/>
  <c r="BJ71" i="5" s="1"/>
  <c r="BK71" i="5" s="1"/>
  <c r="BB71" i="5"/>
  <c r="BM71" i="5"/>
  <c r="BN71" i="5" s="1"/>
  <c r="BL80" i="5"/>
  <c r="AY80" i="5"/>
  <c r="BA80" i="5" s="1"/>
  <c r="BL17" i="5"/>
  <c r="AY17" i="5"/>
  <c r="BA17" i="5" s="1"/>
  <c r="AY10" i="5"/>
  <c r="BA10" i="5" s="1"/>
  <c r="BL10" i="5"/>
  <c r="BL20" i="5"/>
  <c r="AY20" i="5"/>
  <c r="BA20" i="5" s="1"/>
  <c r="BC148" i="5"/>
  <c r="BE148" i="5" s="1"/>
  <c r="BJ148" i="5" s="1"/>
  <c r="BK148" i="5" s="1"/>
  <c r="BM148" i="5"/>
  <c r="BN148" i="5" s="1"/>
  <c r="BB148" i="5"/>
  <c r="BM138" i="5"/>
  <c r="BN138" i="5" s="1"/>
  <c r="BB138" i="5"/>
  <c r="BC138" i="5"/>
  <c r="BE138" i="5" s="1"/>
  <c r="BJ138" i="5" s="1"/>
  <c r="BK138" i="5" s="1"/>
  <c r="BC16" i="5"/>
  <c r="BE16" i="5" s="1"/>
  <c r="BJ16" i="5" s="1"/>
  <c r="BK16" i="5" s="1"/>
  <c r="BB16" i="5"/>
  <c r="BM16" i="5"/>
  <c r="BN16" i="5" s="1"/>
  <c r="BM55" i="5"/>
  <c r="BN55" i="5" s="1"/>
  <c r="BC55" i="5"/>
  <c r="BE55" i="5" s="1"/>
  <c r="BJ55" i="5" s="1"/>
  <c r="BK55" i="5" s="1"/>
  <c r="BB55" i="5"/>
  <c r="BM113" i="5"/>
  <c r="BN113" i="5" s="1"/>
  <c r="BB113" i="5"/>
  <c r="BC113" i="5"/>
  <c r="BE113" i="5" s="1"/>
  <c r="BJ113" i="5" s="1"/>
  <c r="BK113" i="5" s="1"/>
  <c r="AY120" i="5"/>
  <c r="BA120" i="5" s="1"/>
  <c r="BL120" i="5"/>
  <c r="AY104" i="5"/>
  <c r="BA104" i="5" s="1"/>
  <c r="BL104" i="5"/>
  <c r="BL9" i="5"/>
  <c r="AY9" i="5"/>
  <c r="BM28" i="5"/>
  <c r="BN28" i="5" s="1"/>
  <c r="BC54" i="5"/>
  <c r="BE54" i="5" s="1"/>
  <c r="BJ54" i="5" s="1"/>
  <c r="BK54" i="5" s="1"/>
  <c r="BB54" i="5"/>
  <c r="BM54" i="5"/>
  <c r="BN54" i="5" s="1"/>
  <c r="BB30" i="5"/>
  <c r="BM30" i="5"/>
  <c r="BN30" i="5" s="1"/>
  <c r="BC30" i="5"/>
  <c r="BE30" i="5" s="1"/>
  <c r="BJ30" i="5" s="1"/>
  <c r="BK30" i="5" s="1"/>
  <c r="BM129" i="5"/>
  <c r="BN129" i="5" s="1"/>
  <c r="BB129" i="5"/>
  <c r="BC129" i="5"/>
  <c r="BE129" i="5" s="1"/>
  <c r="BJ129" i="5" s="1"/>
  <c r="BK129" i="5" s="1"/>
  <c r="BC47" i="5"/>
  <c r="BE47" i="5" s="1"/>
  <c r="BJ47" i="5" s="1"/>
  <c r="BK47" i="5" s="1"/>
  <c r="BM47" i="5"/>
  <c r="BN47" i="5" s="1"/>
  <c r="BB47" i="5"/>
  <c r="BB37" i="5"/>
  <c r="BC37" i="5"/>
  <c r="BE37" i="5" s="1"/>
  <c r="BJ37" i="5" s="1"/>
  <c r="BK37" i="5" s="1"/>
  <c r="BM37" i="5"/>
  <c r="BN37" i="5" s="1"/>
  <c r="BM38" i="5"/>
  <c r="BN38" i="5" s="1"/>
  <c r="BO38" i="5" s="1"/>
  <c r="BP38" i="5" s="1"/>
  <c r="BB38" i="5"/>
  <c r="BC38" i="5"/>
  <c r="BE38" i="5" s="1"/>
  <c r="BJ38" i="5" s="1"/>
  <c r="BK38" i="5" s="1"/>
  <c r="BL58" i="5"/>
  <c r="AY58" i="5"/>
  <c r="BA58" i="5" s="1"/>
  <c r="BL132" i="5"/>
  <c r="AY132" i="5"/>
  <c r="BA132" i="5" s="1"/>
  <c r="BL25" i="5"/>
  <c r="AY25" i="5"/>
  <c r="BA25" i="5" s="1"/>
  <c r="BB19" i="5"/>
  <c r="BD19" i="5" s="1"/>
  <c r="BM19" i="5"/>
  <c r="BC19" i="5"/>
  <c r="BE19" i="5" s="1"/>
  <c r="BJ19" i="5" s="1"/>
  <c r="BK19" i="5" s="1"/>
  <c r="F13" i="6"/>
  <c r="M104" i="6"/>
  <c r="BC153" i="5"/>
  <c r="BM153" i="5"/>
  <c r="BN153" i="5" s="1"/>
  <c r="BB153" i="5"/>
  <c r="BD153" i="5" s="1"/>
  <c r="BE153" i="5"/>
  <c r="BJ153" i="5" s="1"/>
  <c r="BK153" i="5" s="1"/>
  <c r="BM117" i="5"/>
  <c r="BN117" i="5" s="1"/>
  <c r="BB117" i="5"/>
  <c r="BC117" i="5"/>
  <c r="BE117" i="5" s="1"/>
  <c r="BJ117" i="5" s="1"/>
  <c r="BK117" i="5" s="1"/>
  <c r="BM116" i="5"/>
  <c r="BN116" i="5" s="1"/>
  <c r="BC116" i="5"/>
  <c r="BE116" i="5" s="1"/>
  <c r="BJ116" i="5" s="1"/>
  <c r="BK116" i="5" s="1"/>
  <c r="BB116" i="5"/>
  <c r="BM81" i="5"/>
  <c r="BN81" i="5" s="1"/>
  <c r="BC81" i="5"/>
  <c r="BE81" i="5" s="1"/>
  <c r="BJ81" i="5" s="1"/>
  <c r="BK81" i="5" s="1"/>
  <c r="BB81" i="5"/>
  <c r="BC99" i="5"/>
  <c r="BE99" i="5" s="1"/>
  <c r="BJ99" i="5" s="1"/>
  <c r="BK99" i="5" s="1"/>
  <c r="BM99" i="5"/>
  <c r="BN99" i="5" s="1"/>
  <c r="BO99" i="5" s="1"/>
  <c r="BP99" i="5" s="1"/>
  <c r="BB99" i="5"/>
  <c r="BB85" i="5"/>
  <c r="AY114" i="5"/>
  <c r="BA114" i="5" s="1"/>
  <c r="BL114" i="5"/>
  <c r="BL33" i="5"/>
  <c r="AY33" i="5"/>
  <c r="BA33" i="5" s="1"/>
  <c r="AY40" i="5"/>
  <c r="BA40" i="5" s="1"/>
  <c r="BL40" i="5"/>
  <c r="BC91" i="5"/>
  <c r="BE91" i="5" s="1"/>
  <c r="BJ91" i="5" s="1"/>
  <c r="BK91" i="5" s="1"/>
  <c r="BB91" i="5"/>
  <c r="BM91" i="5"/>
  <c r="BN91" i="5" s="1"/>
  <c r="BC131" i="5"/>
  <c r="BE131" i="5" s="1"/>
  <c r="BJ131" i="5" s="1"/>
  <c r="BK131" i="5" s="1"/>
  <c r="BM131" i="5"/>
  <c r="BN131" i="5" s="1"/>
  <c r="BB131" i="5"/>
  <c r="BC32" i="5"/>
  <c r="BE32" i="5" s="1"/>
  <c r="BJ32" i="5" s="1"/>
  <c r="BK32" i="5" s="1"/>
  <c r="BB32" i="5"/>
  <c r="BM32" i="5"/>
  <c r="BN32" i="5" s="1"/>
  <c r="BC23" i="5"/>
  <c r="BE23" i="5" s="1"/>
  <c r="BJ23" i="5" s="1"/>
  <c r="BK23" i="5" s="1"/>
  <c r="BM23" i="5"/>
  <c r="BN23" i="5" s="1"/>
  <c r="BB23" i="5"/>
  <c r="BM108" i="5"/>
  <c r="BN108" i="5" s="1"/>
  <c r="BC108" i="5"/>
  <c r="BE108" i="5" s="1"/>
  <c r="BJ108" i="5" s="1"/>
  <c r="BK108" i="5" s="1"/>
  <c r="BB108" i="5"/>
  <c r="BD115" i="5"/>
  <c r="BN79" i="5"/>
  <c r="BM143" i="5"/>
  <c r="BN143" i="5" s="1"/>
  <c r="BC143" i="5"/>
  <c r="BE143" i="5" s="1"/>
  <c r="BJ143" i="5" s="1"/>
  <c r="BK143" i="5" s="1"/>
  <c r="BB143" i="5"/>
  <c r="BB73" i="5"/>
  <c r="BC73" i="5"/>
  <c r="BE73" i="5" s="1"/>
  <c r="BJ73" i="5" s="1"/>
  <c r="BK73" i="5" s="1"/>
  <c r="BM73" i="5"/>
  <c r="BN73" i="5" s="1"/>
  <c r="BC69" i="5"/>
  <c r="BE69" i="5" s="1"/>
  <c r="BJ69" i="5" s="1"/>
  <c r="BK69" i="5" s="1"/>
  <c r="BM69" i="5"/>
  <c r="BN69" i="5" s="1"/>
  <c r="BB69" i="5"/>
  <c r="BC135" i="5"/>
  <c r="BE135" i="5" s="1"/>
  <c r="BJ135" i="5" s="1"/>
  <c r="BK135" i="5" s="1"/>
  <c r="BM135" i="5"/>
  <c r="BN135" i="5" s="1"/>
  <c r="BB135" i="5"/>
  <c r="BM123" i="5"/>
  <c r="BN123" i="5" s="1"/>
  <c r="BC123" i="5"/>
  <c r="BE123" i="5" s="1"/>
  <c r="BJ123" i="5" s="1"/>
  <c r="BK123" i="5" s="1"/>
  <c r="BB123" i="5"/>
  <c r="BC140" i="5"/>
  <c r="BE140" i="5" s="1"/>
  <c r="BJ140" i="5" s="1"/>
  <c r="BK140" i="5" s="1"/>
  <c r="BM140" i="5"/>
  <c r="BN140" i="5" s="1"/>
  <c r="BO140" i="5" s="1"/>
  <c r="BP140" i="5" s="1"/>
  <c r="BB140" i="5"/>
  <c r="BD140" i="5" s="1"/>
  <c r="BL98" i="5"/>
  <c r="AY98" i="5"/>
  <c r="BA98" i="5" s="1"/>
  <c r="BL88" i="5"/>
  <c r="AY88" i="5"/>
  <c r="BA88" i="5" s="1"/>
  <c r="BL96" i="5"/>
  <c r="AY96" i="5"/>
  <c r="BA96" i="5" s="1"/>
  <c r="BL156" i="5"/>
  <c r="AY156" i="5"/>
  <c r="BA156" i="5" s="1"/>
  <c r="AY45" i="5"/>
  <c r="BA45" i="5" s="1"/>
  <c r="BL45" i="5"/>
  <c r="BM31" i="5"/>
  <c r="BN31" i="5" s="1"/>
  <c r="BO31" i="5" s="1"/>
  <c r="BP31" i="5" s="1"/>
  <c r="BB31" i="5"/>
  <c r="BC31" i="5"/>
  <c r="BE31" i="5" s="1"/>
  <c r="BJ31" i="5" s="1"/>
  <c r="BK31" i="5" s="1"/>
  <c r="BC102" i="5"/>
  <c r="BE102" i="5" s="1"/>
  <c r="BJ102" i="5" s="1"/>
  <c r="BK102" i="5" s="1"/>
  <c r="BB102" i="5"/>
  <c r="BM102" i="5"/>
  <c r="BN102" i="5" s="1"/>
  <c r="BM14" i="5"/>
  <c r="BN14" i="5" s="1"/>
  <c r="BC14" i="5"/>
  <c r="BE14" i="5" s="1"/>
  <c r="BJ14" i="5" s="1"/>
  <c r="BK14" i="5" s="1"/>
  <c r="BB14" i="5"/>
  <c r="AZ158" i="5"/>
  <c r="BA158" i="5" s="1"/>
  <c r="M138" i="6"/>
  <c r="BM46" i="5"/>
  <c r="BN46" i="5" s="1"/>
  <c r="BB46" i="5"/>
  <c r="BC46" i="5"/>
  <c r="BE46" i="5" s="1"/>
  <c r="BJ46" i="5" s="1"/>
  <c r="BK46" i="5" s="1"/>
  <c r="BB94" i="5"/>
  <c r="BM94" i="5"/>
  <c r="BN94" i="5" s="1"/>
  <c r="BC94" i="5"/>
  <c r="BE94" i="5" s="1"/>
  <c r="BJ94" i="5" s="1"/>
  <c r="BK94" i="5" s="1"/>
  <c r="BC12" i="5"/>
  <c r="BE12" i="5" s="1"/>
  <c r="BJ12" i="5" s="1"/>
  <c r="BK12" i="5" s="1"/>
  <c r="BM12" i="5"/>
  <c r="BN12" i="5" s="1"/>
  <c r="BB12" i="5"/>
  <c r="BM119" i="5"/>
  <c r="BN119" i="5" s="1"/>
  <c r="BC119" i="5"/>
  <c r="BE119" i="5" s="1"/>
  <c r="BJ119" i="5" s="1"/>
  <c r="BK119" i="5" s="1"/>
  <c r="BB119" i="5"/>
  <c r="E15" i="3"/>
  <c r="E16" i="3" s="1"/>
  <c r="BR159" i="5"/>
  <c r="E168" i="4"/>
  <c r="L168" i="4" s="1"/>
  <c r="AY144" i="5"/>
  <c r="BA144" i="5" s="1"/>
  <c r="BL144" i="5"/>
  <c r="BN19" i="5"/>
  <c r="BO19" i="5" s="1"/>
  <c r="BP19" i="5" s="1"/>
  <c r="AY137" i="5"/>
  <c r="BA137" i="5" s="1"/>
  <c r="BL137" i="5"/>
  <c r="BC105" i="5"/>
  <c r="BE105" i="5" s="1"/>
  <c r="BJ105" i="5" s="1"/>
  <c r="BK105" i="5" s="1"/>
  <c r="BM105" i="5"/>
  <c r="BN105" i="5" s="1"/>
  <c r="BB105" i="5"/>
  <c r="BC111" i="5"/>
  <c r="BE111" i="5" s="1"/>
  <c r="BJ111" i="5" s="1"/>
  <c r="BK111" i="5" s="1"/>
  <c r="BM111" i="5"/>
  <c r="BN111" i="5" s="1"/>
  <c r="BB111" i="5"/>
  <c r="BC44" i="5"/>
  <c r="BE44" i="5" s="1"/>
  <c r="BJ44" i="5" s="1"/>
  <c r="BK44" i="5" s="1"/>
  <c r="BB44" i="5"/>
  <c r="BM44" i="5"/>
  <c r="BN44" i="5" s="1"/>
  <c r="BM61" i="5"/>
  <c r="BN61" i="5" s="1"/>
  <c r="BB61" i="5"/>
  <c r="BD61" i="5" s="1"/>
  <c r="BC61" i="5"/>
  <c r="BE61" i="5" s="1"/>
  <c r="BJ61" i="5" s="1"/>
  <c r="BK61" i="5" s="1"/>
  <c r="BM18" i="5"/>
  <c r="BN18" i="5" s="1"/>
  <c r="BC18" i="5"/>
  <c r="BE18" i="5" s="1"/>
  <c r="BJ18" i="5" s="1"/>
  <c r="BK18" i="5" s="1"/>
  <c r="BB18" i="5"/>
  <c r="BM101" i="5"/>
  <c r="BN101" i="5" s="1"/>
  <c r="BC101" i="5"/>
  <c r="BE101" i="5" s="1"/>
  <c r="BJ101" i="5" s="1"/>
  <c r="BK101" i="5" s="1"/>
  <c r="BB101" i="5"/>
  <c r="AY136" i="5"/>
  <c r="BA136" i="5" s="1"/>
  <c r="BL136" i="5"/>
  <c r="BL13" i="5"/>
  <c r="AY13" i="5"/>
  <c r="BA13" i="5" s="1"/>
  <c r="BB122" i="5"/>
  <c r="BC122" i="5"/>
  <c r="BE122" i="5" s="1"/>
  <c r="BJ122" i="5" s="1"/>
  <c r="BK122" i="5" s="1"/>
  <c r="BM122" i="5"/>
  <c r="BN122" i="5" s="1"/>
  <c r="BM154" i="5"/>
  <c r="BN154" i="5" s="1"/>
  <c r="BB124" i="5"/>
  <c r="BD124" i="5" s="1"/>
  <c r="BM124" i="5"/>
  <c r="BN124" i="5" s="1"/>
  <c r="BO124" i="5" s="1"/>
  <c r="BP124" i="5" s="1"/>
  <c r="BC124" i="5"/>
  <c r="BE124" i="5" s="1"/>
  <c r="BJ124" i="5" s="1"/>
  <c r="BK124" i="5" s="1"/>
  <c r="BC87" i="5"/>
  <c r="BE87" i="5" s="1"/>
  <c r="BJ87" i="5" s="1"/>
  <c r="BK87" i="5" s="1"/>
  <c r="BM87" i="5"/>
  <c r="BN87" i="5" s="1"/>
  <c r="BB87" i="5"/>
  <c r="BC70" i="5"/>
  <c r="BE70" i="5" s="1"/>
  <c r="BJ70" i="5" s="1"/>
  <c r="BK70" i="5" s="1"/>
  <c r="BM70" i="5"/>
  <c r="BN70" i="5" s="1"/>
  <c r="BO70" i="5" s="1"/>
  <c r="BP70" i="5" s="1"/>
  <c r="BB70" i="5"/>
  <c r="BC62" i="5"/>
  <c r="BE62" i="5" s="1"/>
  <c r="BJ62" i="5" s="1"/>
  <c r="BK62" i="5" s="1"/>
  <c r="BM62" i="5"/>
  <c r="BN62" i="5" s="1"/>
  <c r="BB62" i="5"/>
  <c r="AY121" i="5"/>
  <c r="BA121" i="5" s="1"/>
  <c r="BL121" i="5"/>
  <c r="BC118" i="5" l="1"/>
  <c r="BE118" i="5" s="1"/>
  <c r="BJ118" i="5" s="1"/>
  <c r="BK118" i="5" s="1"/>
  <c r="BO14" i="5"/>
  <c r="BP14" i="5" s="1"/>
  <c r="E23" i="4" s="1"/>
  <c r="L23" i="4" s="1"/>
  <c r="BO108" i="5"/>
  <c r="BP108" i="5" s="1"/>
  <c r="BE85" i="5"/>
  <c r="BJ85" i="5" s="1"/>
  <c r="BK85" i="5" s="1"/>
  <c r="BO55" i="5"/>
  <c r="BP55" i="5" s="1"/>
  <c r="BR55" i="5" s="1"/>
  <c r="BD149" i="5"/>
  <c r="BC89" i="5"/>
  <c r="BE89" i="5" s="1"/>
  <c r="BJ89" i="5" s="1"/>
  <c r="BK89" i="5" s="1"/>
  <c r="BC60" i="5"/>
  <c r="BE60" i="5" s="1"/>
  <c r="BJ60" i="5" s="1"/>
  <c r="BK60" i="5" s="1"/>
  <c r="BB26" i="5"/>
  <c r="BD26" i="5" s="1"/>
  <c r="BB146" i="5"/>
  <c r="BB145" i="5"/>
  <c r="BD125" i="5"/>
  <c r="BD79" i="5"/>
  <c r="BB118" i="5"/>
  <c r="BO119" i="5"/>
  <c r="BP119" i="5" s="1"/>
  <c r="BD31" i="5"/>
  <c r="BM85" i="5"/>
  <c r="BN85" i="5" s="1"/>
  <c r="BO85" i="5" s="1"/>
  <c r="BP85" i="5" s="1"/>
  <c r="E94" i="4" s="1"/>
  <c r="L94" i="4" s="1"/>
  <c r="BO37" i="5"/>
  <c r="BP37" i="5" s="1"/>
  <c r="BO47" i="5"/>
  <c r="BP47" i="5" s="1"/>
  <c r="BD130" i="5"/>
  <c r="BD110" i="5"/>
  <c r="BM75" i="5"/>
  <c r="BN75" i="5" s="1"/>
  <c r="BD127" i="5"/>
  <c r="BC41" i="5"/>
  <c r="BE41" i="5" s="1"/>
  <c r="BJ41" i="5" s="1"/>
  <c r="BK41" i="5" s="1"/>
  <c r="BD49" i="5"/>
  <c r="BB60" i="5"/>
  <c r="BE146" i="5"/>
  <c r="BJ146" i="5" s="1"/>
  <c r="BK146" i="5" s="1"/>
  <c r="BO141" i="5"/>
  <c r="BP141" i="5" s="1"/>
  <c r="BD59" i="5"/>
  <c r="BM145" i="5"/>
  <c r="BN145" i="5" s="1"/>
  <c r="BO145" i="5" s="1"/>
  <c r="BP145" i="5" s="1"/>
  <c r="BO128" i="5"/>
  <c r="BP128" i="5" s="1"/>
  <c r="BC79" i="5"/>
  <c r="BE79" i="5" s="1"/>
  <c r="BJ79" i="5" s="1"/>
  <c r="BK79" i="5" s="1"/>
  <c r="BD85" i="5"/>
  <c r="BD44" i="5"/>
  <c r="BD54" i="5"/>
  <c r="BD55" i="5"/>
  <c r="BD139" i="5"/>
  <c r="BD77" i="5"/>
  <c r="BD103" i="5"/>
  <c r="BO149" i="5"/>
  <c r="BP149" i="5" s="1"/>
  <c r="BR149" i="5" s="1"/>
  <c r="BD63" i="5"/>
  <c r="BO115" i="5"/>
  <c r="BP115" i="5" s="1"/>
  <c r="E124" i="4" s="1"/>
  <c r="L124" i="4" s="1"/>
  <c r="BC154" i="5"/>
  <c r="BE154" i="5" s="1"/>
  <c r="BJ154" i="5" s="1"/>
  <c r="BK154" i="5" s="1"/>
  <c r="BO18" i="5"/>
  <c r="BP18" i="5" s="1"/>
  <c r="E27" i="4" s="1"/>
  <c r="L27" i="4" s="1"/>
  <c r="BO61" i="5"/>
  <c r="BP61" i="5" s="1"/>
  <c r="BR61" i="5" s="1"/>
  <c r="BO94" i="5"/>
  <c r="BP94" i="5" s="1"/>
  <c r="BD46" i="5"/>
  <c r="BD135" i="5"/>
  <c r="BO153" i="5"/>
  <c r="BP153" i="5" s="1"/>
  <c r="BD47" i="5"/>
  <c r="BD129" i="5"/>
  <c r="BE28" i="5"/>
  <c r="BJ28" i="5" s="1"/>
  <c r="BK28" i="5" s="1"/>
  <c r="BD75" i="5"/>
  <c r="BO134" i="5"/>
  <c r="BP134" i="5" s="1"/>
  <c r="BB151" i="5"/>
  <c r="BD22" i="5"/>
  <c r="BO41" i="5"/>
  <c r="BP41" i="5" s="1"/>
  <c r="BD155" i="5"/>
  <c r="BO74" i="5"/>
  <c r="BP74" i="5" s="1"/>
  <c r="BR74" i="5" s="1"/>
  <c r="BR115" i="5"/>
  <c r="BD95" i="5"/>
  <c r="BD65" i="5"/>
  <c r="BO146" i="5"/>
  <c r="BP146" i="5" s="1"/>
  <c r="E155" i="4" s="1"/>
  <c r="L155" i="4" s="1"/>
  <c r="BD39" i="5"/>
  <c r="BO154" i="5"/>
  <c r="BP154" i="5" s="1"/>
  <c r="BO12" i="5"/>
  <c r="BP12" i="5" s="1"/>
  <c r="BO46" i="5"/>
  <c r="BP46" i="5" s="1"/>
  <c r="E55" i="4" s="1"/>
  <c r="L55" i="4" s="1"/>
  <c r="BD14" i="5"/>
  <c r="BO102" i="5"/>
  <c r="BP102" i="5" s="1"/>
  <c r="BD69" i="5"/>
  <c r="BO30" i="5"/>
  <c r="BP30" i="5" s="1"/>
  <c r="BR30" i="5" s="1"/>
  <c r="BB28" i="5"/>
  <c r="BD28" i="5" s="1"/>
  <c r="BO138" i="5"/>
  <c r="BP138" i="5" s="1"/>
  <c r="BO53" i="5"/>
  <c r="BP53" i="5" s="1"/>
  <c r="BC151" i="5"/>
  <c r="BE151" i="5" s="1"/>
  <c r="BJ151" i="5" s="1"/>
  <c r="BK151" i="5" s="1"/>
  <c r="BD150" i="5"/>
  <c r="BO87" i="5"/>
  <c r="BP87" i="5" s="1"/>
  <c r="BO105" i="5"/>
  <c r="BP105" i="5" s="1"/>
  <c r="BD94" i="5"/>
  <c r="BO135" i="5"/>
  <c r="BP135" i="5" s="1"/>
  <c r="E144" i="4" s="1"/>
  <c r="L144" i="4" s="1"/>
  <c r="BO69" i="5"/>
  <c r="BP69" i="5" s="1"/>
  <c r="BD38" i="5"/>
  <c r="BO129" i="5"/>
  <c r="BP129" i="5" s="1"/>
  <c r="E138" i="4" s="1"/>
  <c r="L138" i="4" s="1"/>
  <c r="BD30" i="5"/>
  <c r="BO152" i="5"/>
  <c r="BP152" i="5" s="1"/>
  <c r="BD74" i="5"/>
  <c r="BO147" i="5"/>
  <c r="BP147" i="5" s="1"/>
  <c r="BR147" i="5" s="1"/>
  <c r="BO95" i="5"/>
  <c r="BP95" i="5" s="1"/>
  <c r="BR95" i="5" s="1"/>
  <c r="BO65" i="5"/>
  <c r="BP65" i="5" s="1"/>
  <c r="BD146" i="5"/>
  <c r="BD133" i="5"/>
  <c r="BD67" i="5"/>
  <c r="BO84" i="5"/>
  <c r="BP84" i="5" s="1"/>
  <c r="BD145" i="5"/>
  <c r="BD128" i="5"/>
  <c r="BO150" i="5"/>
  <c r="BP150" i="5" s="1"/>
  <c r="BR150" i="5" s="1"/>
  <c r="E50" i="4"/>
  <c r="L50" i="4" s="1"/>
  <c r="BR41" i="5"/>
  <c r="BR31" i="5"/>
  <c r="E40" i="4"/>
  <c r="L40" i="4" s="1"/>
  <c r="BO62" i="5"/>
  <c r="BP62" i="5" s="1"/>
  <c r="BO118" i="5"/>
  <c r="BP118" i="5" s="1"/>
  <c r="BD87" i="5"/>
  <c r="BO122" i="5"/>
  <c r="BP122" i="5" s="1"/>
  <c r="BD101" i="5"/>
  <c r="BO111" i="5"/>
  <c r="BP111" i="5" s="1"/>
  <c r="BD105" i="5"/>
  <c r="BB137" i="5"/>
  <c r="BM137" i="5"/>
  <c r="BC137" i="5"/>
  <c r="BE137" i="5" s="1"/>
  <c r="BJ137" i="5" s="1"/>
  <c r="BK137" i="5" s="1"/>
  <c r="BR94" i="5"/>
  <c r="E103" i="4"/>
  <c r="L103" i="4" s="1"/>
  <c r="BC158" i="5"/>
  <c r="BE158" i="5" s="1"/>
  <c r="BJ158" i="5" s="1"/>
  <c r="BK158" i="5" s="1"/>
  <c r="BM158" i="5"/>
  <c r="BN158" i="5" s="1"/>
  <c r="BB158" i="5"/>
  <c r="BO73" i="5"/>
  <c r="BP73" i="5" s="1"/>
  <c r="BD143" i="5"/>
  <c r="BO23" i="5"/>
  <c r="BP23" i="5" s="1"/>
  <c r="BD32" i="5"/>
  <c r="BO131" i="5"/>
  <c r="BP131" i="5" s="1"/>
  <c r="BD91" i="5"/>
  <c r="BB33" i="5"/>
  <c r="BM33" i="5"/>
  <c r="BN33" i="5" s="1"/>
  <c r="BC33" i="5"/>
  <c r="BE33" i="5" s="1"/>
  <c r="BJ33" i="5" s="1"/>
  <c r="BK33" i="5" s="1"/>
  <c r="BD99" i="5"/>
  <c r="BD81" i="5"/>
  <c r="BD116" i="5"/>
  <c r="BM132" i="5"/>
  <c r="BN132" i="5" s="1"/>
  <c r="BB132" i="5"/>
  <c r="BC132" i="5"/>
  <c r="BE132" i="5" s="1"/>
  <c r="BJ132" i="5" s="1"/>
  <c r="BK132" i="5" s="1"/>
  <c r="BO54" i="5"/>
  <c r="BP54" i="5" s="1"/>
  <c r="BO28" i="5"/>
  <c r="BP28" i="5" s="1"/>
  <c r="BO113" i="5"/>
  <c r="BP113" i="5" s="1"/>
  <c r="BD16" i="5"/>
  <c r="BO148" i="5"/>
  <c r="BP148" i="5" s="1"/>
  <c r="BM80" i="5"/>
  <c r="BN80" i="5" s="1"/>
  <c r="BB80" i="5"/>
  <c r="BC80" i="5"/>
  <c r="BE80" i="5" s="1"/>
  <c r="BJ80" i="5" s="1"/>
  <c r="BK80" i="5" s="1"/>
  <c r="BD71" i="5"/>
  <c r="BO76" i="5"/>
  <c r="BP76" i="5" s="1"/>
  <c r="BD152" i="5"/>
  <c r="BD53" i="5"/>
  <c r="BO151" i="5"/>
  <c r="BP151" i="5" s="1"/>
  <c r="BO22" i="5"/>
  <c r="BP22" i="5" s="1"/>
  <c r="BD68" i="5"/>
  <c r="BD86" i="5"/>
  <c r="BO15" i="5"/>
  <c r="BP15" i="5" s="1"/>
  <c r="BB11" i="5"/>
  <c r="BM11" i="5"/>
  <c r="BC11" i="5"/>
  <c r="BE11" i="5" s="1"/>
  <c r="BJ11" i="5" s="1"/>
  <c r="BK11" i="5" s="1"/>
  <c r="BB78" i="5"/>
  <c r="BM78" i="5"/>
  <c r="BN78" i="5" s="1"/>
  <c r="BO78" i="5" s="1"/>
  <c r="BP78" i="5" s="1"/>
  <c r="BC78" i="5"/>
  <c r="BE78" i="5" s="1"/>
  <c r="BJ78" i="5" s="1"/>
  <c r="BK78" i="5" s="1"/>
  <c r="BO155" i="5"/>
  <c r="BP155" i="5" s="1"/>
  <c r="BO97" i="5"/>
  <c r="BP97" i="5" s="1"/>
  <c r="BO51" i="5"/>
  <c r="BP51" i="5" s="1"/>
  <c r="BD60" i="5"/>
  <c r="BD57" i="5"/>
  <c r="BD107" i="5"/>
  <c r="BM48" i="5"/>
  <c r="BN48" i="5" s="1"/>
  <c r="BB48" i="5"/>
  <c r="BC48" i="5"/>
  <c r="BE48" i="5" s="1"/>
  <c r="BJ48" i="5" s="1"/>
  <c r="BK48" i="5" s="1"/>
  <c r="BD34" i="5"/>
  <c r="BO52" i="5"/>
  <c r="BP52" i="5" s="1"/>
  <c r="E150" i="4"/>
  <c r="L150" i="4" s="1"/>
  <c r="BR141" i="5"/>
  <c r="BO39" i="5"/>
  <c r="BP39" i="5" s="1"/>
  <c r="BR70" i="5"/>
  <c r="E79" i="4"/>
  <c r="L79" i="4" s="1"/>
  <c r="BR87" i="5"/>
  <c r="E96" i="4"/>
  <c r="L96" i="4" s="1"/>
  <c r="E133" i="4"/>
  <c r="L133" i="4" s="1"/>
  <c r="BR124" i="5"/>
  <c r="BR18" i="5"/>
  <c r="E70" i="4"/>
  <c r="L70" i="4" s="1"/>
  <c r="BR105" i="5"/>
  <c r="E114" i="4"/>
  <c r="L114" i="4" s="1"/>
  <c r="E28" i="4"/>
  <c r="L28" i="4" s="1"/>
  <c r="BR19" i="5"/>
  <c r="BR119" i="5"/>
  <c r="E128" i="4"/>
  <c r="L128" i="4" s="1"/>
  <c r="BR12" i="5"/>
  <c r="E21" i="4"/>
  <c r="L21" i="4" s="1"/>
  <c r="BM96" i="5"/>
  <c r="BB96" i="5"/>
  <c r="BC96" i="5"/>
  <c r="BE96" i="5" s="1"/>
  <c r="BJ96" i="5" s="1"/>
  <c r="BK96" i="5" s="1"/>
  <c r="BB98" i="5"/>
  <c r="BM98" i="5"/>
  <c r="BC98" i="5"/>
  <c r="BE98" i="5" s="1"/>
  <c r="BJ98" i="5" s="1"/>
  <c r="BK98" i="5" s="1"/>
  <c r="BD123" i="5"/>
  <c r="BR108" i="5"/>
  <c r="E117" i="4"/>
  <c r="L117" i="4" s="1"/>
  <c r="BR99" i="5"/>
  <c r="E108" i="4"/>
  <c r="L108" i="4" s="1"/>
  <c r="BR37" i="5"/>
  <c r="E46" i="4"/>
  <c r="L46" i="4" s="1"/>
  <c r="BB120" i="5"/>
  <c r="BD120" i="5" s="1"/>
  <c r="BM120" i="5"/>
  <c r="BN120" i="5" s="1"/>
  <c r="BO120" i="5" s="1"/>
  <c r="BP120" i="5" s="1"/>
  <c r="BC120" i="5"/>
  <c r="BE120" i="5" s="1"/>
  <c r="BJ120" i="5" s="1"/>
  <c r="BK120" i="5" s="1"/>
  <c r="E64" i="4"/>
  <c r="L64" i="4" s="1"/>
  <c r="BR138" i="5"/>
  <c r="E147" i="4"/>
  <c r="L147" i="4" s="1"/>
  <c r="BM10" i="5"/>
  <c r="BN10" i="5" s="1"/>
  <c r="BO10" i="5" s="1"/>
  <c r="BP10" i="5" s="1"/>
  <c r="BB10" i="5"/>
  <c r="BC10" i="5"/>
  <c r="BE10" i="5" s="1"/>
  <c r="BJ10" i="5" s="1"/>
  <c r="BK10" i="5" s="1"/>
  <c r="E139" i="4"/>
  <c r="L139" i="4" s="1"/>
  <c r="BR130" i="5"/>
  <c r="BR53" i="5"/>
  <c r="E62" i="4"/>
  <c r="L62" i="4" s="1"/>
  <c r="BR134" i="5"/>
  <c r="E143" i="4"/>
  <c r="L143" i="4" s="1"/>
  <c r="BN11" i="5"/>
  <c r="BO11" i="5" s="1"/>
  <c r="BP11" i="5" s="1"/>
  <c r="AZ9" i="5"/>
  <c r="BA9" i="5" s="1"/>
  <c r="AU8" i="5"/>
  <c r="E156" i="4"/>
  <c r="L156" i="4" s="1"/>
  <c r="E35" i="4"/>
  <c r="L35" i="4" s="1"/>
  <c r="BR26" i="5"/>
  <c r="E104" i="4"/>
  <c r="L104" i="4" s="1"/>
  <c r="BB157" i="5"/>
  <c r="BM157" i="5"/>
  <c r="BC157" i="5"/>
  <c r="BE157" i="5" s="1"/>
  <c r="BJ157" i="5" s="1"/>
  <c r="BK157" i="5" s="1"/>
  <c r="BM64" i="5"/>
  <c r="BB64" i="5"/>
  <c r="BC64" i="5"/>
  <c r="BE64" i="5" s="1"/>
  <c r="BJ64" i="5" s="1"/>
  <c r="BK64" i="5" s="1"/>
  <c r="E74" i="4"/>
  <c r="L74" i="4" s="1"/>
  <c r="BR65" i="5"/>
  <c r="BM50" i="5"/>
  <c r="BB50" i="5"/>
  <c r="BE50" i="5"/>
  <c r="BJ50" i="5" s="1"/>
  <c r="BK50" i="5" s="1"/>
  <c r="BC50" i="5"/>
  <c r="BO35" i="5"/>
  <c r="BP35" i="5" s="1"/>
  <c r="BO109" i="5"/>
  <c r="BP109" i="5" s="1"/>
  <c r="BD52" i="5"/>
  <c r="BB82" i="5"/>
  <c r="BM82" i="5"/>
  <c r="BC82" i="5"/>
  <c r="BE82" i="5" s="1"/>
  <c r="BJ82" i="5" s="1"/>
  <c r="BK82" i="5" s="1"/>
  <c r="BR84" i="5"/>
  <c r="E93" i="4"/>
  <c r="L93" i="4" s="1"/>
  <c r="BM112" i="5"/>
  <c r="BN112" i="5" s="1"/>
  <c r="BO112" i="5" s="1"/>
  <c r="BP112" i="5" s="1"/>
  <c r="BB112" i="5"/>
  <c r="BC112" i="5"/>
  <c r="BE112" i="5" s="1"/>
  <c r="BJ112" i="5" s="1"/>
  <c r="BK112" i="5" s="1"/>
  <c r="BB121" i="5"/>
  <c r="BM121" i="5"/>
  <c r="BN121" i="5" s="1"/>
  <c r="BC121" i="5"/>
  <c r="BE121" i="5" s="1"/>
  <c r="BJ121" i="5" s="1"/>
  <c r="BK121" i="5" s="1"/>
  <c r="E163" i="4"/>
  <c r="L163" i="4" s="1"/>
  <c r="BR154" i="5"/>
  <c r="BD122" i="5"/>
  <c r="BB136" i="5"/>
  <c r="BM136" i="5"/>
  <c r="BN136" i="5" s="1"/>
  <c r="BC136" i="5"/>
  <c r="BE136" i="5" s="1"/>
  <c r="BJ136" i="5" s="1"/>
  <c r="BK136" i="5" s="1"/>
  <c r="BO101" i="5"/>
  <c r="BP101" i="5" s="1"/>
  <c r="BR46" i="5"/>
  <c r="BR102" i="5"/>
  <c r="E111" i="4"/>
  <c r="L111" i="4" s="1"/>
  <c r="BB45" i="5"/>
  <c r="BM45" i="5"/>
  <c r="BN45" i="5" s="1"/>
  <c r="BC45" i="5"/>
  <c r="BE45" i="5" s="1"/>
  <c r="BJ45" i="5" s="1"/>
  <c r="BK45" i="5" s="1"/>
  <c r="BN96" i="5"/>
  <c r="BN98" i="5"/>
  <c r="BO98" i="5" s="1"/>
  <c r="BP98" i="5" s="1"/>
  <c r="E149" i="4"/>
  <c r="L149" i="4" s="1"/>
  <c r="BR140" i="5"/>
  <c r="E78" i="4"/>
  <c r="L78" i="4" s="1"/>
  <c r="BR69" i="5"/>
  <c r="BD73" i="5"/>
  <c r="BO32" i="5"/>
  <c r="BP32" i="5" s="1"/>
  <c r="BD131" i="5"/>
  <c r="BO91" i="5"/>
  <c r="BP91" i="5" s="1"/>
  <c r="BO81" i="5"/>
  <c r="BP81" i="5" s="1"/>
  <c r="BD117" i="5"/>
  <c r="BR153" i="5"/>
  <c r="E162" i="4"/>
  <c r="L162" i="4" s="1"/>
  <c r="BB25" i="5"/>
  <c r="BM25" i="5"/>
  <c r="BC25" i="5"/>
  <c r="BE25" i="5" s="1"/>
  <c r="BJ25" i="5" s="1"/>
  <c r="BK25" i="5" s="1"/>
  <c r="BB58" i="5"/>
  <c r="BM58" i="5"/>
  <c r="BN58" i="5" s="1"/>
  <c r="BC58" i="5"/>
  <c r="BE58" i="5" s="1"/>
  <c r="BJ58" i="5" s="1"/>
  <c r="BK58" i="5" s="1"/>
  <c r="E47" i="4"/>
  <c r="L47" i="4" s="1"/>
  <c r="BR38" i="5"/>
  <c r="BR47" i="5"/>
  <c r="E56" i="4"/>
  <c r="L56" i="4" s="1"/>
  <c r="E39" i="4"/>
  <c r="L39" i="4" s="1"/>
  <c r="BO16" i="5"/>
  <c r="BP16" i="5" s="1"/>
  <c r="BD148" i="5"/>
  <c r="BM20" i="5"/>
  <c r="BB20" i="5"/>
  <c r="BC20" i="5"/>
  <c r="BE20" i="5" s="1"/>
  <c r="BJ20" i="5" s="1"/>
  <c r="BK20" i="5" s="1"/>
  <c r="BB17" i="5"/>
  <c r="BM17" i="5"/>
  <c r="BN17" i="5" s="1"/>
  <c r="BC17" i="5"/>
  <c r="BE17" i="5" s="1"/>
  <c r="BJ17" i="5" s="1"/>
  <c r="BK17" i="5" s="1"/>
  <c r="BO71" i="5"/>
  <c r="BP71" i="5" s="1"/>
  <c r="BM43" i="5"/>
  <c r="BN43" i="5" s="1"/>
  <c r="BC43" i="5"/>
  <c r="BE43" i="5" s="1"/>
  <c r="BJ43" i="5" s="1"/>
  <c r="BK43" i="5" s="1"/>
  <c r="BB43" i="5"/>
  <c r="BR152" i="5"/>
  <c r="E161" i="4"/>
  <c r="L161" i="4" s="1"/>
  <c r="BB90" i="5"/>
  <c r="BM90" i="5"/>
  <c r="BN90" i="5" s="1"/>
  <c r="BC90" i="5"/>
  <c r="BE90" i="5" s="1"/>
  <c r="BJ90" i="5" s="1"/>
  <c r="BK90" i="5" s="1"/>
  <c r="BB142" i="5"/>
  <c r="BM142" i="5"/>
  <c r="BN142" i="5" s="1"/>
  <c r="BC142" i="5"/>
  <c r="BE142" i="5" s="1"/>
  <c r="BJ142" i="5" s="1"/>
  <c r="BK142" i="5" s="1"/>
  <c r="E95" i="4"/>
  <c r="L95" i="4" s="1"/>
  <c r="BR86" i="5"/>
  <c r="BM72" i="5"/>
  <c r="BN72" i="5" s="1"/>
  <c r="BO72" i="5" s="1"/>
  <c r="BP72" i="5" s="1"/>
  <c r="BB72" i="5"/>
  <c r="BC72" i="5"/>
  <c r="BE72" i="5" s="1"/>
  <c r="BJ72" i="5" s="1"/>
  <c r="BK72" i="5" s="1"/>
  <c r="E101" i="4"/>
  <c r="L101" i="4" s="1"/>
  <c r="BR92" i="5"/>
  <c r="E92" i="4"/>
  <c r="L92" i="4" s="1"/>
  <c r="BR83" i="5"/>
  <c r="BN157" i="5"/>
  <c r="BN64" i="5"/>
  <c r="BO64" i="5" s="1"/>
  <c r="BP64" i="5" s="1"/>
  <c r="BR93" i="5"/>
  <c r="E102" i="4"/>
  <c r="L102" i="4" s="1"/>
  <c r="BN50" i="5"/>
  <c r="BO50" i="5" s="1"/>
  <c r="BP50" i="5" s="1"/>
  <c r="BN82" i="5"/>
  <c r="BR145" i="5"/>
  <c r="E154" i="4"/>
  <c r="L154" i="4" s="1"/>
  <c r="BR128" i="5"/>
  <c r="E137" i="4"/>
  <c r="L137" i="4" s="1"/>
  <c r="BR100" i="5"/>
  <c r="E109" i="4"/>
  <c r="L109" i="4" s="1"/>
  <c r="E159" i="4"/>
  <c r="L159" i="4" s="1"/>
  <c r="BD62" i="5"/>
  <c r="BD70" i="5"/>
  <c r="BD118" i="5"/>
  <c r="BM13" i="5"/>
  <c r="BN13" i="5" s="1"/>
  <c r="BO13" i="5" s="1"/>
  <c r="BP13" i="5" s="1"/>
  <c r="BE13" i="5"/>
  <c r="BJ13" i="5" s="1"/>
  <c r="BK13" i="5" s="1"/>
  <c r="BB13" i="5"/>
  <c r="BC13" i="5"/>
  <c r="BD18" i="5"/>
  <c r="BO44" i="5"/>
  <c r="BP44" i="5" s="1"/>
  <c r="BD111" i="5"/>
  <c r="BN137" i="5"/>
  <c r="BO137" i="5" s="1"/>
  <c r="BP137" i="5" s="1"/>
  <c r="BM144" i="5"/>
  <c r="BN144" i="5" s="1"/>
  <c r="BB144" i="5"/>
  <c r="BC144" i="5"/>
  <c r="BE144" i="5" s="1"/>
  <c r="BJ144" i="5" s="1"/>
  <c r="BK144" i="5" s="1"/>
  <c r="BD119" i="5"/>
  <c r="BD12" i="5"/>
  <c r="F144" i="6"/>
  <c r="BD102" i="5"/>
  <c r="BB156" i="5"/>
  <c r="BM156" i="5"/>
  <c r="BN156" i="5" s="1"/>
  <c r="BC156" i="5"/>
  <c r="BE156" i="5" s="1"/>
  <c r="BJ156" i="5" s="1"/>
  <c r="BK156" i="5" s="1"/>
  <c r="BB88" i="5"/>
  <c r="BD88" i="5" s="1"/>
  <c r="BM88" i="5"/>
  <c r="BN88" i="5" s="1"/>
  <c r="BC88" i="5"/>
  <c r="BE88" i="5" s="1"/>
  <c r="BJ88" i="5" s="1"/>
  <c r="BK88" i="5" s="1"/>
  <c r="BO123" i="5"/>
  <c r="BP123" i="5" s="1"/>
  <c r="BO143" i="5"/>
  <c r="BP143" i="5" s="1"/>
  <c r="BD108" i="5"/>
  <c r="BD23" i="5"/>
  <c r="BB40" i="5"/>
  <c r="BD40" i="5" s="1"/>
  <c r="BM40" i="5"/>
  <c r="BN40" i="5" s="1"/>
  <c r="BC40" i="5"/>
  <c r="BE40" i="5" s="1"/>
  <c r="BJ40" i="5" s="1"/>
  <c r="BK40" i="5" s="1"/>
  <c r="BE114" i="5"/>
  <c r="BJ114" i="5" s="1"/>
  <c r="BK114" i="5" s="1"/>
  <c r="BM114" i="5"/>
  <c r="BN114" i="5" s="1"/>
  <c r="BB114" i="5"/>
  <c r="BC114" i="5"/>
  <c r="BO116" i="5"/>
  <c r="BP116" i="5" s="1"/>
  <c r="BO117" i="5"/>
  <c r="BP117" i="5" s="1"/>
  <c r="BN25" i="5"/>
  <c r="BD37" i="5"/>
  <c r="BR129" i="5"/>
  <c r="BB104" i="5"/>
  <c r="BE104" i="5"/>
  <c r="BJ104" i="5" s="1"/>
  <c r="BK104" i="5" s="1"/>
  <c r="BM104" i="5"/>
  <c r="BN104" i="5" s="1"/>
  <c r="BO104" i="5" s="1"/>
  <c r="BP104" i="5" s="1"/>
  <c r="BC104" i="5"/>
  <c r="BD113" i="5"/>
  <c r="BD138" i="5"/>
  <c r="BN20" i="5"/>
  <c r="BD76" i="5"/>
  <c r="BO110" i="5"/>
  <c r="BP110" i="5" s="1"/>
  <c r="BO75" i="5"/>
  <c r="BP75" i="5" s="1"/>
  <c r="BM24" i="5"/>
  <c r="BN24" i="5" s="1"/>
  <c r="BB24" i="5"/>
  <c r="BC24" i="5"/>
  <c r="BE24" i="5" s="1"/>
  <c r="BJ24" i="5" s="1"/>
  <c r="BK24" i="5" s="1"/>
  <c r="BB36" i="5"/>
  <c r="BM36" i="5"/>
  <c r="BN36" i="5" s="1"/>
  <c r="BC36" i="5"/>
  <c r="BE36" i="5" s="1"/>
  <c r="BJ36" i="5" s="1"/>
  <c r="BK36" i="5" s="1"/>
  <c r="BD134" i="5"/>
  <c r="E136" i="4"/>
  <c r="L136" i="4" s="1"/>
  <c r="BR127" i="5"/>
  <c r="BR139" i="5"/>
  <c r="E148" i="4"/>
  <c r="L148" i="4" s="1"/>
  <c r="E86" i="4"/>
  <c r="L86" i="4" s="1"/>
  <c r="BR77" i="5"/>
  <c r="BD41" i="5"/>
  <c r="BM56" i="5"/>
  <c r="BN56" i="5" s="1"/>
  <c r="BO56" i="5" s="1"/>
  <c r="BP56" i="5" s="1"/>
  <c r="BB56" i="5"/>
  <c r="BD56" i="5" s="1"/>
  <c r="BC56" i="5"/>
  <c r="BE56" i="5" s="1"/>
  <c r="BJ56" i="5" s="1"/>
  <c r="BK56" i="5" s="1"/>
  <c r="BO68" i="5"/>
  <c r="BP68" i="5" s="1"/>
  <c r="BO27" i="5"/>
  <c r="BP27" i="5" s="1"/>
  <c r="BR103" i="5"/>
  <c r="E112" i="4"/>
  <c r="L112" i="4" s="1"/>
  <c r="BD15" i="5"/>
  <c r="E158" i="4"/>
  <c r="L158" i="4" s="1"/>
  <c r="BB66" i="5"/>
  <c r="BM66" i="5"/>
  <c r="BN66" i="5" s="1"/>
  <c r="BC66" i="5"/>
  <c r="BE66" i="5" s="1"/>
  <c r="BJ66" i="5" s="1"/>
  <c r="BK66" i="5" s="1"/>
  <c r="BO49" i="5"/>
  <c r="BP49" i="5" s="1"/>
  <c r="BD97" i="5"/>
  <c r="E83" i="4"/>
  <c r="L83" i="4" s="1"/>
  <c r="BD51" i="5"/>
  <c r="BB29" i="5"/>
  <c r="BM29" i="5"/>
  <c r="BN29" i="5" s="1"/>
  <c r="BC29" i="5"/>
  <c r="BE29" i="5" s="1"/>
  <c r="BJ29" i="5" s="1"/>
  <c r="BK29" i="5" s="1"/>
  <c r="BD147" i="5"/>
  <c r="BD89" i="5"/>
  <c r="BO57" i="5"/>
  <c r="BP57" i="5" s="1"/>
  <c r="BM126" i="5"/>
  <c r="BN126" i="5" s="1"/>
  <c r="BB126" i="5"/>
  <c r="BC126" i="5"/>
  <c r="BE126" i="5" s="1"/>
  <c r="BJ126" i="5" s="1"/>
  <c r="BK126" i="5" s="1"/>
  <c r="BM42" i="5"/>
  <c r="BN42" i="5" s="1"/>
  <c r="BB42" i="5"/>
  <c r="BC42" i="5"/>
  <c r="BE42" i="5" s="1"/>
  <c r="BJ42" i="5" s="1"/>
  <c r="BK42" i="5" s="1"/>
  <c r="BO133" i="5"/>
  <c r="BP133" i="5" s="1"/>
  <c r="BO21" i="5"/>
  <c r="BP21" i="5" s="1"/>
  <c r="BD93" i="5"/>
  <c r="BO63" i="5"/>
  <c r="BP63" i="5" s="1"/>
  <c r="BO107" i="5"/>
  <c r="BP107" i="5" s="1"/>
  <c r="BO34" i="5"/>
  <c r="BP34" i="5" s="1"/>
  <c r="BO67" i="5"/>
  <c r="BP67" i="5" s="1"/>
  <c r="BD35" i="5"/>
  <c r="BD109" i="5"/>
  <c r="BB106" i="5"/>
  <c r="BM106" i="5"/>
  <c r="BN106" i="5" s="1"/>
  <c r="BC106" i="5"/>
  <c r="BE106" i="5" s="1"/>
  <c r="BJ106" i="5" s="1"/>
  <c r="BK106" i="5" s="1"/>
  <c r="BO59" i="5"/>
  <c r="BP59" i="5" s="1"/>
  <c r="BD84" i="5"/>
  <c r="BO125" i="5"/>
  <c r="BP125" i="5" s="1"/>
  <c r="BD144" i="5" l="1"/>
  <c r="BO82" i="5"/>
  <c r="BP82" i="5" s="1"/>
  <c r="BO121" i="5"/>
  <c r="BP121" i="5" s="1"/>
  <c r="BD42" i="5"/>
  <c r="BO29" i="5"/>
  <c r="BP29" i="5" s="1"/>
  <c r="BR146" i="5"/>
  <c r="BD29" i="5"/>
  <c r="BO25" i="5"/>
  <c r="BP25" i="5" s="1"/>
  <c r="BO156" i="5"/>
  <c r="BP156" i="5" s="1"/>
  <c r="BO144" i="5"/>
  <c r="BP144" i="5" s="1"/>
  <c r="BD72" i="5"/>
  <c r="BO58" i="5"/>
  <c r="BP58" i="5" s="1"/>
  <c r="BR14" i="5"/>
  <c r="BO89" i="5"/>
  <c r="BP89" i="5" s="1"/>
  <c r="BD126" i="5"/>
  <c r="BO66" i="5"/>
  <c r="BP66" i="5" s="1"/>
  <c r="BO114" i="5"/>
  <c r="BP114" i="5" s="1"/>
  <c r="BD156" i="5"/>
  <c r="BO90" i="5"/>
  <c r="BP90" i="5" s="1"/>
  <c r="BO48" i="5"/>
  <c r="BP48" i="5" s="1"/>
  <c r="BO80" i="5"/>
  <c r="BP80" i="5" s="1"/>
  <c r="BO132" i="5"/>
  <c r="BP132" i="5" s="1"/>
  <c r="BD137" i="5"/>
  <c r="BO60" i="5"/>
  <c r="BP60" i="5" s="1"/>
  <c r="BO79" i="5"/>
  <c r="BP79" i="5" s="1"/>
  <c r="BO106" i="5"/>
  <c r="BP106" i="5" s="1"/>
  <c r="BO42" i="5"/>
  <c r="BP42" i="5" s="1"/>
  <c r="BO126" i="5"/>
  <c r="BP126" i="5" s="1"/>
  <c r="BD24" i="5"/>
  <c r="BO142" i="5"/>
  <c r="BP142" i="5" s="1"/>
  <c r="BD20" i="5"/>
  <c r="BR85" i="5"/>
  <c r="BR135" i="5"/>
  <c r="BO45" i="5"/>
  <c r="BP45" i="5" s="1"/>
  <c r="BO136" i="5"/>
  <c r="BP136" i="5" s="1"/>
  <c r="BD50" i="5"/>
  <c r="BO33" i="5"/>
  <c r="BP33" i="5" s="1"/>
  <c r="BR33" i="5" s="1"/>
  <c r="BD158" i="5"/>
  <c r="F18" i="6" s="1"/>
  <c r="F20" i="6" s="1"/>
  <c r="C13" i="6" s="1"/>
  <c r="BD151" i="5"/>
  <c r="BO36" i="5"/>
  <c r="BP36" i="5" s="1"/>
  <c r="BO24" i="5"/>
  <c r="BP24" i="5" s="1"/>
  <c r="BR24" i="5" s="1"/>
  <c r="BO17" i="5"/>
  <c r="BP17" i="5" s="1"/>
  <c r="E26" i="4" s="1"/>
  <c r="L26" i="4" s="1"/>
  <c r="BO40" i="5"/>
  <c r="BP40" i="5" s="1"/>
  <c r="BO88" i="5"/>
  <c r="BP88" i="5" s="1"/>
  <c r="BD13" i="5"/>
  <c r="BO43" i="5"/>
  <c r="BP43" i="5" s="1"/>
  <c r="BO96" i="5"/>
  <c r="BP96" i="5" s="1"/>
  <c r="BD136" i="5"/>
  <c r="BO158" i="5"/>
  <c r="BP158" i="5" s="1"/>
  <c r="BR158" i="5" s="1"/>
  <c r="BO20" i="5"/>
  <c r="BP20" i="5" s="1"/>
  <c r="BO157" i="5"/>
  <c r="BP157" i="5" s="1"/>
  <c r="BD154" i="5"/>
  <c r="BR144" i="5"/>
  <c r="E153" i="4"/>
  <c r="L153" i="4" s="1"/>
  <c r="BR13" i="5"/>
  <c r="E22" i="4"/>
  <c r="L22" i="4" s="1"/>
  <c r="E99" i="4"/>
  <c r="L99" i="4" s="1"/>
  <c r="BR90" i="5"/>
  <c r="E130" i="4"/>
  <c r="L130" i="4" s="1"/>
  <c r="BR121" i="5"/>
  <c r="BM9" i="5"/>
  <c r="BN9" i="5" s="1"/>
  <c r="BE9" i="5"/>
  <c r="BB9" i="5"/>
  <c r="BC9" i="5"/>
  <c r="BC8" i="5" s="1"/>
  <c r="BR10" i="5"/>
  <c r="E19" i="4"/>
  <c r="L19" i="4" s="1"/>
  <c r="BR106" i="5"/>
  <c r="E115" i="4"/>
  <c r="L115" i="4" s="1"/>
  <c r="BR42" i="5"/>
  <c r="E51" i="4"/>
  <c r="L51" i="4" s="1"/>
  <c r="E135" i="4"/>
  <c r="L135" i="4" s="1"/>
  <c r="BR126" i="5"/>
  <c r="BR142" i="5"/>
  <c r="E151" i="4"/>
  <c r="L151" i="4" s="1"/>
  <c r="BR45" i="5"/>
  <c r="E54" i="4"/>
  <c r="L54" i="4" s="1"/>
  <c r="BR136" i="5"/>
  <c r="E145" i="4"/>
  <c r="L145" i="4" s="1"/>
  <c r="E45" i="4"/>
  <c r="L45" i="4" s="1"/>
  <c r="BR36" i="5"/>
  <c r="E33" i="4"/>
  <c r="L33" i="4" s="1"/>
  <c r="BR40" i="5"/>
  <c r="E49" i="4"/>
  <c r="L49" i="4" s="1"/>
  <c r="E97" i="4"/>
  <c r="L97" i="4" s="1"/>
  <c r="BR88" i="5"/>
  <c r="E129" i="4"/>
  <c r="L129" i="4" s="1"/>
  <c r="BR120" i="5"/>
  <c r="BR29" i="5"/>
  <c r="E38" i="4"/>
  <c r="L38" i="4" s="1"/>
  <c r="BR66" i="5"/>
  <c r="E75" i="4"/>
  <c r="L75" i="4" s="1"/>
  <c r="BR56" i="5"/>
  <c r="E65" i="4"/>
  <c r="L65" i="4" s="1"/>
  <c r="E113" i="4"/>
  <c r="L113" i="4" s="1"/>
  <c r="BR104" i="5"/>
  <c r="BR114" i="5"/>
  <c r="E123" i="4"/>
  <c r="L123" i="4" s="1"/>
  <c r="BR156" i="5"/>
  <c r="E165" i="4"/>
  <c r="L165" i="4" s="1"/>
  <c r="BD106" i="5"/>
  <c r="E76" i="4"/>
  <c r="L76" i="4" s="1"/>
  <c r="BR67" i="5"/>
  <c r="BD66" i="5"/>
  <c r="BR27" i="5"/>
  <c r="E36" i="4"/>
  <c r="L36" i="4" s="1"/>
  <c r="BD104" i="5"/>
  <c r="BR58" i="5"/>
  <c r="E67" i="4"/>
  <c r="L67" i="4" s="1"/>
  <c r="BD142" i="5"/>
  <c r="E80" i="4"/>
  <c r="L80" i="4" s="1"/>
  <c r="BR71" i="5"/>
  <c r="BD17" i="5"/>
  <c r="BD25" i="5"/>
  <c r="BR32" i="5"/>
  <c r="E41" i="4"/>
  <c r="L41" i="4" s="1"/>
  <c r="E107" i="4"/>
  <c r="L107" i="4" s="1"/>
  <c r="BR98" i="5"/>
  <c r="BD112" i="5"/>
  <c r="BD82" i="5"/>
  <c r="E57" i="4"/>
  <c r="L57" i="4" s="1"/>
  <c r="BR48" i="5"/>
  <c r="BD64" i="5"/>
  <c r="BR39" i="5"/>
  <c r="E48" i="4"/>
  <c r="L48" i="4" s="1"/>
  <c r="BR52" i="5"/>
  <c r="E61" i="4"/>
  <c r="L61" i="4" s="1"/>
  <c r="BR51" i="5"/>
  <c r="E60" i="4"/>
  <c r="L60" i="4" s="1"/>
  <c r="BR151" i="5"/>
  <c r="E160" i="4"/>
  <c r="L160" i="4" s="1"/>
  <c r="BD80" i="5"/>
  <c r="BR148" i="5"/>
  <c r="E157" i="4"/>
  <c r="L157" i="4" s="1"/>
  <c r="BD33" i="5"/>
  <c r="BR122" i="5"/>
  <c r="E131" i="4"/>
  <c r="L131" i="4" s="1"/>
  <c r="BR59" i="5"/>
  <c r="E68" i="4"/>
  <c r="L68" i="4" s="1"/>
  <c r="E43" i="4"/>
  <c r="L43" i="4" s="1"/>
  <c r="BR34" i="5"/>
  <c r="BR21" i="5"/>
  <c r="E30" i="4"/>
  <c r="L30" i="4" s="1"/>
  <c r="BR57" i="5"/>
  <c r="E66" i="4"/>
  <c r="L66" i="4" s="1"/>
  <c r="E58" i="4"/>
  <c r="L58" i="4" s="1"/>
  <c r="BR49" i="5"/>
  <c r="E77" i="4"/>
  <c r="L77" i="4" s="1"/>
  <c r="BR68" i="5"/>
  <c r="BD36" i="5"/>
  <c r="BR25" i="5"/>
  <c r="E34" i="4"/>
  <c r="L34" i="4" s="1"/>
  <c r="BD114" i="5"/>
  <c r="M144" i="6"/>
  <c r="M147" i="6" s="1"/>
  <c r="BR137" i="5"/>
  <c r="E146" i="4"/>
  <c r="L146" i="4" s="1"/>
  <c r="BR82" i="5"/>
  <c r="E91" i="4"/>
  <c r="L91" i="4" s="1"/>
  <c r="BD90" i="5"/>
  <c r="BD43" i="5"/>
  <c r="BD58" i="5"/>
  <c r="E90" i="4"/>
  <c r="L90" i="4" s="1"/>
  <c r="BR81" i="5"/>
  <c r="BR96" i="5"/>
  <c r="E105" i="4"/>
  <c r="L105" i="4" s="1"/>
  <c r="BD45" i="5"/>
  <c r="E87" i="4"/>
  <c r="L87" i="4" s="1"/>
  <c r="BR78" i="5"/>
  <c r="BD96" i="5"/>
  <c r="E106" i="4"/>
  <c r="L106" i="4" s="1"/>
  <c r="BR97" i="5"/>
  <c r="BR76" i="5"/>
  <c r="E85" i="4"/>
  <c r="L85" i="4" s="1"/>
  <c r="E37" i="4"/>
  <c r="L37" i="4" s="1"/>
  <c r="BR28" i="5"/>
  <c r="BD132" i="5"/>
  <c r="BR23" i="5"/>
  <c r="E32" i="4"/>
  <c r="L32" i="4" s="1"/>
  <c r="BR73" i="5"/>
  <c r="E82" i="4"/>
  <c r="L82" i="4" s="1"/>
  <c r="BR111" i="5"/>
  <c r="E120" i="4"/>
  <c r="L120" i="4" s="1"/>
  <c r="E116" i="4"/>
  <c r="L116" i="4" s="1"/>
  <c r="BR107" i="5"/>
  <c r="BR133" i="5"/>
  <c r="E142" i="4"/>
  <c r="L142" i="4" s="1"/>
  <c r="BR72" i="5"/>
  <c r="E81" i="4"/>
  <c r="L81" i="4" s="1"/>
  <c r="E84" i="4"/>
  <c r="L84" i="4" s="1"/>
  <c r="BR75" i="5"/>
  <c r="E29" i="4"/>
  <c r="L29" i="4" s="1"/>
  <c r="BR20" i="5"/>
  <c r="BR117" i="5"/>
  <c r="E126" i="4"/>
  <c r="L126" i="4" s="1"/>
  <c r="E152" i="4"/>
  <c r="L152" i="4" s="1"/>
  <c r="BR143" i="5"/>
  <c r="E121" i="4"/>
  <c r="L121" i="4" s="1"/>
  <c r="BR112" i="5"/>
  <c r="C19" i="6"/>
  <c r="C12" i="6"/>
  <c r="C14" i="6"/>
  <c r="C9" i="6"/>
  <c r="C17" i="6"/>
  <c r="C20" i="6"/>
  <c r="C21" i="6"/>
  <c r="F22" i="6"/>
  <c r="C15" i="6"/>
  <c r="C10" i="6"/>
  <c r="C11" i="6"/>
  <c r="C16" i="6"/>
  <c r="BR64" i="5"/>
  <c r="E73" i="4"/>
  <c r="L73" i="4" s="1"/>
  <c r="BR16" i="5"/>
  <c r="E25" i="4"/>
  <c r="L25" i="4" s="1"/>
  <c r="BR91" i="5"/>
  <c r="E100" i="4"/>
  <c r="L100" i="4" s="1"/>
  <c r="BD121" i="5"/>
  <c r="E118" i="4"/>
  <c r="L118" i="4" s="1"/>
  <c r="BR109" i="5"/>
  <c r="BD157" i="5"/>
  <c r="BR11" i="5"/>
  <c r="E20" i="4"/>
  <c r="L20" i="4" s="1"/>
  <c r="BD10" i="5"/>
  <c r="BD98" i="5"/>
  <c r="BR155" i="5"/>
  <c r="E164" i="4"/>
  <c r="L164" i="4" s="1"/>
  <c r="BD78" i="5"/>
  <c r="BD11" i="5"/>
  <c r="BR113" i="5"/>
  <c r="E122" i="4"/>
  <c r="L122" i="4" s="1"/>
  <c r="BR54" i="5"/>
  <c r="E63" i="4"/>
  <c r="L63" i="4" s="1"/>
  <c r="C18" i="6"/>
  <c r="BR118" i="5"/>
  <c r="E127" i="4"/>
  <c r="L127" i="4" s="1"/>
  <c r="BR125" i="5"/>
  <c r="E134" i="4"/>
  <c r="L134" i="4" s="1"/>
  <c r="BR63" i="5"/>
  <c r="E72" i="4"/>
  <c r="L72" i="4" s="1"/>
  <c r="BR110" i="5"/>
  <c r="E119" i="4"/>
  <c r="L119" i="4" s="1"/>
  <c r="E125" i="4"/>
  <c r="L125" i="4" s="1"/>
  <c r="BR116" i="5"/>
  <c r="E132" i="4"/>
  <c r="L132" i="4" s="1"/>
  <c r="BR123" i="5"/>
  <c r="E53" i="4"/>
  <c r="L53" i="4" s="1"/>
  <c r="BR44" i="5"/>
  <c r="BR50" i="5"/>
  <c r="E59" i="4"/>
  <c r="L59" i="4" s="1"/>
  <c r="BR157" i="5"/>
  <c r="E166" i="4"/>
  <c r="L166" i="4" s="1"/>
  <c r="BR43" i="5"/>
  <c r="E52" i="4"/>
  <c r="L52" i="4" s="1"/>
  <c r="E110" i="4"/>
  <c r="L110" i="4" s="1"/>
  <c r="BR101" i="5"/>
  <c r="BR35" i="5"/>
  <c r="E44" i="4"/>
  <c r="L44" i="4" s="1"/>
  <c r="BR80" i="5"/>
  <c r="E89" i="4"/>
  <c r="L89" i="4" s="1"/>
  <c r="BR132" i="5"/>
  <c r="E141" i="4"/>
  <c r="L141" i="4" s="1"/>
  <c r="E42" i="4"/>
  <c r="L42" i="4" s="1"/>
  <c r="BD48" i="5"/>
  <c r="BR15" i="5"/>
  <c r="E24" i="4"/>
  <c r="L24" i="4" s="1"/>
  <c r="BR22" i="5"/>
  <c r="E31" i="4"/>
  <c r="L31" i="4" s="1"/>
  <c r="BR131" i="5"/>
  <c r="E140" i="4"/>
  <c r="L140" i="4" s="1"/>
  <c r="F23" i="6"/>
  <c r="E167" i="4"/>
  <c r="L167" i="4" s="1"/>
  <c r="BR62" i="5"/>
  <c r="E71" i="4"/>
  <c r="L71" i="4" s="1"/>
  <c r="BR60" i="5" l="1"/>
  <c r="E69" i="4"/>
  <c r="L69" i="4" s="1"/>
  <c r="BR89" i="5"/>
  <c r="E98" i="4"/>
  <c r="L98" i="4" s="1"/>
  <c r="E88" i="4"/>
  <c r="L88" i="4" s="1"/>
  <c r="BR79" i="5"/>
  <c r="BR17" i="5"/>
  <c r="BB8" i="5"/>
  <c r="BD9" i="5"/>
  <c r="BD8" i="5" s="1"/>
  <c r="BE8" i="5"/>
  <c r="BJ8" i="5" s="1"/>
  <c r="BJ9" i="5"/>
  <c r="BK9" i="5" s="1"/>
  <c r="F150" i="6"/>
  <c r="M150" i="6" s="1"/>
  <c r="F174" i="6"/>
  <c r="BO9" i="5"/>
  <c r="BO8" i="5" l="1"/>
  <c r="BP9" i="5"/>
  <c r="P16" i="6"/>
  <c r="O16" i="6" s="1"/>
  <c r="BK8" i="5"/>
  <c r="P20" i="6"/>
  <c r="O20" i="6" s="1"/>
  <c r="P18" i="6"/>
  <c r="O18" i="6" s="1"/>
  <c r="P14" i="6"/>
  <c r="O14" i="6" s="1"/>
  <c r="P21" i="6"/>
  <c r="O21" i="6" s="1"/>
  <c r="P13" i="6"/>
  <c r="O13" i="6" s="1"/>
  <c r="P17" i="6"/>
  <c r="O17" i="6" s="1"/>
  <c r="P19" i="6"/>
  <c r="O19" i="6" s="1"/>
  <c r="P11" i="6"/>
  <c r="P15" i="6"/>
  <c r="O15" i="6" s="1"/>
  <c r="P12" i="6"/>
  <c r="O12" i="6" s="1"/>
  <c r="M153" i="6"/>
  <c r="K174" i="6" s="1"/>
  <c r="M174" i="6" s="1"/>
  <c r="F178" i="6" s="1"/>
  <c r="M181" i="6" s="1"/>
  <c r="M156" i="6" l="1"/>
  <c r="P22" i="6"/>
  <c r="O11" i="6"/>
  <c r="BR9" i="5"/>
  <c r="E18" i="4"/>
  <c r="BP8" i="5"/>
  <c r="BR8" i="5" s="1"/>
  <c r="L18" i="4" l="1"/>
  <c r="L16" i="4" s="1"/>
  <c r="L17" i="4" s="1"/>
  <c r="E16" i="4"/>
  <c r="E17" i="4" s="1"/>
  <c r="M161" i="6"/>
  <c r="M171" i="6"/>
</calcChain>
</file>

<file path=xl/sharedStrings.xml><?xml version="1.0" encoding="utf-8"?>
<sst xmlns="http://schemas.openxmlformats.org/spreadsheetml/2006/main" count="2214" uniqueCount="505">
  <si>
    <t>High Needs National Funding Formula - allocations to local authorities (LAs)</t>
  </si>
  <si>
    <t>What this spreadsheet shows</t>
  </si>
  <si>
    <t></t>
  </si>
  <si>
    <t>This spreadsheet shows how local authorities' provisional  2019-20 high needs allocations have been calculated.  Detailed information about the calculations is given in the accompanying technical note, which will be published shortly. Some elements of the 2019-20 allocations will be updated with the latest data, as explained in the tables and technical note.</t>
  </si>
  <si>
    <t>https://www.gov.uk/contact-dfe</t>
  </si>
  <si>
    <t>Contents</t>
  </si>
  <si>
    <t>The contents of each sheet in this workbook are as follows:</t>
  </si>
  <si>
    <r>
      <t xml:space="preserve">- </t>
    </r>
    <r>
      <rPr>
        <b/>
        <sz val="12"/>
        <color theme="1"/>
        <rFont val="Arial"/>
        <family val="2"/>
      </rPr>
      <t>Information</t>
    </r>
    <r>
      <rPr>
        <sz val="12"/>
        <color theme="1"/>
        <rFont val="Arial"/>
        <family val="2"/>
      </rPr>
      <t xml:space="preserve">: High level overview of contents with glossary of abbreviations. </t>
    </r>
  </si>
  <si>
    <r>
      <t xml:space="preserve">- </t>
    </r>
    <r>
      <rPr>
        <b/>
        <sz val="12"/>
        <color theme="1"/>
        <rFont val="Arial"/>
        <family val="2"/>
      </rPr>
      <t>National Details</t>
    </r>
    <r>
      <rPr>
        <sz val="12"/>
        <color theme="1"/>
        <rFont val="Arial"/>
        <family val="2"/>
      </rPr>
      <t>: Breakdown of the total high needs block of funding at national level for 2019-20.</t>
    </r>
  </si>
  <si>
    <r>
      <t xml:space="preserve">- </t>
    </r>
    <r>
      <rPr>
        <b/>
        <sz val="12"/>
        <rFont val="Arial"/>
        <family val="2"/>
      </rPr>
      <t>2019-20 Allocations</t>
    </r>
    <r>
      <rPr>
        <sz val="12"/>
        <rFont val="Arial"/>
        <family val="2"/>
      </rPr>
      <t>: Summary of the 2019-20 high needs national funding formula provisional allocations for every local authority in England.</t>
    </r>
  </si>
  <si>
    <r>
      <t xml:space="preserve">- </t>
    </r>
    <r>
      <rPr>
        <b/>
        <sz val="12"/>
        <rFont val="Arial"/>
        <family val="2"/>
      </rPr>
      <t>2019-20 StepbyStep Allocations</t>
    </r>
    <r>
      <rPr>
        <sz val="12"/>
        <rFont val="Arial"/>
        <family val="2"/>
      </rPr>
      <t>: Detailed calculation of the 2019-20 high needs national funding formula provisional allocations for every local authority in England.</t>
    </r>
  </si>
  <si>
    <r>
      <t xml:space="preserve">- </t>
    </r>
    <r>
      <rPr>
        <b/>
        <sz val="12"/>
        <rFont val="Arial"/>
        <family val="2"/>
      </rPr>
      <t>Individual LA</t>
    </r>
    <r>
      <rPr>
        <sz val="12"/>
        <rFont val="Arial"/>
        <family val="2"/>
      </rPr>
      <t>: 2019-20 high needs national funding formula provisional allocation calculated for a single LA.</t>
    </r>
  </si>
  <si>
    <t>Glossary</t>
  </si>
  <si>
    <t>The following terms are used in this workbook;</t>
  </si>
  <si>
    <t>ACA</t>
  </si>
  <si>
    <t>Area cost adjustment</t>
  </si>
  <si>
    <t>DLA</t>
  </si>
  <si>
    <t>Disability living allowance</t>
  </si>
  <si>
    <t>ESFA</t>
  </si>
  <si>
    <t>Education and Skills Funding Agency</t>
  </si>
  <si>
    <t>FE institutions</t>
  </si>
  <si>
    <t>Post-16 institutions that are not schools or academies, i.e. further education (FE) colleges, sixth form colleges and commercial and charitable providers (CCPs); not school sixth forms. Although this definition normally includes special post-16 institutions, in this workbook we have excluded these from this category of provider.</t>
  </si>
  <si>
    <t>FSM</t>
  </si>
  <si>
    <t>Free school meals</t>
  </si>
  <si>
    <t>FY</t>
  </si>
  <si>
    <t>Financial year</t>
  </si>
  <si>
    <t>HN</t>
  </si>
  <si>
    <t>High needs</t>
  </si>
  <si>
    <t>IDACI</t>
  </si>
  <si>
    <t>Income deprivation affecting children index</t>
  </si>
  <si>
    <t>KS2</t>
  </si>
  <si>
    <t>Key stage two</t>
  </si>
  <si>
    <t>KS4</t>
  </si>
  <si>
    <t>Key stage four</t>
  </si>
  <si>
    <t>LA</t>
  </si>
  <si>
    <t>Local authority</t>
  </si>
  <si>
    <t>ND[x]</t>
  </si>
  <si>
    <t>Item [x] in the 'National Details' sheet.</t>
  </si>
  <si>
    <t>NFF</t>
  </si>
  <si>
    <t>National funding formula</t>
  </si>
  <si>
    <t>NMSS</t>
  </si>
  <si>
    <t>Non-maintained special school</t>
  </si>
  <si>
    <t>ONS</t>
  </si>
  <si>
    <t>Office for National Statistics</t>
  </si>
  <si>
    <t>Provider LA</t>
  </si>
  <si>
    <t>The local authority from whose high needs funding allocation the costs of the high needs place funding are met, usually the authority in whose area the provider (e.g. school or college) is located.</t>
  </si>
  <si>
    <t>Resident LA</t>
  </si>
  <si>
    <t>The local authority in whose area a pupil resides. This LA is responsible for securing the provision for the pupil and paying any associated top-up funding.</t>
  </si>
  <si>
    <t>SPI</t>
  </si>
  <si>
    <t>Special post-16 institution</t>
  </si>
  <si>
    <t>High Needs National Funding Formula (HN NFF): national details (2019-20)</t>
  </si>
  <si>
    <t>This page explains:</t>
  </si>
  <si>
    <t>Cell colour guide</t>
  </si>
  <si>
    <t>- how the total national high needs funding for allocation through the formula for 2019-20 is calculated</t>
  </si>
  <si>
    <t>Input data</t>
  </si>
  <si>
    <t>- how the funding is distributed through the HN NFF factors</t>
  </si>
  <si>
    <t>Calculation</t>
  </si>
  <si>
    <t>Explanation</t>
  </si>
  <si>
    <t>Explanation of amounts and calculations</t>
  </si>
  <si>
    <t xml:space="preserve">High needs funding to be distributed through the basic entitlement factor, historic spend factor and proxy factors
[d]=[a]+[b]+[c]
</t>
  </si>
  <si>
    <t>This is the net cost of providing the funding floor factor to local authorities after the recovery made through limiting the gains.</t>
  </si>
  <si>
    <t>Total 2019-20 high needs funding
[g] = [d] + [e] + [f]</t>
  </si>
  <si>
    <t>This is the total quantum of funding for the high needs national funding formula that is used in these allocations.</t>
  </si>
  <si>
    <t xml:space="preserve">High needs funding to be distributed through the basic entitlement factor, historic spend factor and proxy factors
[d] </t>
  </si>
  <si>
    <t>Basic entitlement factor funding
[h]</t>
  </si>
  <si>
    <t>Historic spend factor funding
[i]</t>
  </si>
  <si>
    <t>This is the total funding allocated through the historic spend factor.</t>
  </si>
  <si>
    <t>Remaining funding to be distributed through proxy factors
[j] = [d] - [h] - [i]</t>
  </si>
  <si>
    <t>This is the total funding remaining to be distributed through the proxy factors, as detailed below.</t>
  </si>
  <si>
    <t>Factor</t>
  </si>
  <si>
    <t>Weight</t>
  </si>
  <si>
    <t>Factor total</t>
  </si>
  <si>
    <r>
      <rPr>
        <b/>
        <sz val="12"/>
        <color rgb="FF000000"/>
        <rFont val="Arial"/>
        <family val="2"/>
      </rPr>
      <t xml:space="preserve">Description of measure used </t>
    </r>
    <r>
      <rPr>
        <sz val="12"/>
        <color rgb="FF000000"/>
        <rFont val="Arial"/>
        <family val="2"/>
      </rPr>
      <t xml:space="preserve">
See technical note for further details</t>
    </r>
  </si>
  <si>
    <t>Population
[k] = 50% * [j]</t>
  </si>
  <si>
    <t>The total local authority age 2-18 population projection for mid-2019 as published by ONS.</t>
  </si>
  <si>
    <t>Deprivation factor:
FSM
[l] = 10% * [j]</t>
  </si>
  <si>
    <r>
      <t>The number of pupils eligible for free school meals known to be resident in each local authority in the January 2018</t>
    </r>
    <r>
      <rPr>
        <sz val="12"/>
        <rFont val="Arial"/>
        <family val="2"/>
      </rPr>
      <t xml:space="preserve"> school census data.</t>
    </r>
  </si>
  <si>
    <t>Deprivation factor:
IDACI
[m] = 10% * [j]</t>
  </si>
  <si>
    <t xml:space="preserve">This factor is split into subtotals for IDACI bands A-F totalling 10%. These are Band A: 1.15%, Band B: 2.3%, Band C: 1.7%, Band D: 1.85%, Band E: 1.6%, Band F: 1.4%. The population numbers are taken from the ONS 2-18 mid-2016 population estimates. </t>
  </si>
  <si>
    <t>Health and disability factor: Children in bad health
[n] = 7.5% * [j]</t>
  </si>
  <si>
    <t>The number of children in each local authority identified in the 2011 population census as having bad or very bad health.</t>
  </si>
  <si>
    <t>Health and disability factor:
Disability
[o] = 7.5% * [j]</t>
  </si>
  <si>
    <t>The number of children in each local authority identified as receiving disability living allowance (DLA) as at November 2017 (published May 2018), rounded to the nearest ten.</t>
  </si>
  <si>
    <t>Low attainment factor:
KS2 low attainment
[p] = 7.5% * [j]</t>
  </si>
  <si>
    <t>The total number of pupils resident in each local authority not attaining level 3 in the KS2 reading test in the years 2013-2015, and the number of pupils resident in the local authority area who did not attain a scaled score in the 2016-2017 KS2 reading test, or who weren’t entered into the test due to being below the standard or unable to access the test. This includes results for all state-funded schools, i.e. mainstream and special schools and academies.</t>
  </si>
  <si>
    <t>Low attainment factor:
KS4 low attainment
[q] = 7.5% * [j]</t>
  </si>
  <si>
    <t xml:space="preserve">The total number of pupils resident in each local authority not attaining five or more A* to G grades in the years 2013 to 2016 plus the total number of pupils resident in each local authority in the lowest 5% of attainers nationally for 2017. </t>
  </si>
  <si>
    <t>Total of proxy factors
[r] (= [j]) = [k] + [l] + [m] + [n] + [o] + [p] + [q]</t>
  </si>
  <si>
    <t>High Needs National Funding Formula - 2019-20 allocations to local authorities (LAs)</t>
  </si>
  <si>
    <t>KEY:</t>
  </si>
  <si>
    <t xml:space="preserve">Provisional NFF funding in 2019-20 </t>
  </si>
  <si>
    <t>* Denotes figures which will be updated</t>
  </si>
  <si>
    <t>This table shows the 2019-20 LA funding for the high needs block.</t>
  </si>
  <si>
    <t>The table sets out:</t>
  </si>
  <si>
    <t>- provisional allocations for those elements of the high needs national funding formula that will be subject to later changes, based on new data sets becoming available. These elements are the basic entitlement factor and import/export adjustment.</t>
  </si>
  <si>
    <t>Provisional NFF high needs funding in 2019-20</t>
  </si>
  <si>
    <t xml:space="preserve">
Region
(alphabetical order)</t>
  </si>
  <si>
    <t xml:space="preserve">
LA number</t>
  </si>
  <si>
    <t xml:space="preserve">
LA name 
(alphabetical order within region)</t>
  </si>
  <si>
    <t>High needs NFF 2019-20 allocations, excluding basic entitlement factor, import/export adjustments and hospital education funding</t>
  </si>
  <si>
    <t>High needs NFF basic entitlement factor provisional allocations for 2019-20</t>
  </si>
  <si>
    <t>High needs NNF provisional import/export adjustments 2019-20</t>
  </si>
  <si>
    <t>Hospital education funding</t>
  </si>
  <si>
    <t>High needs NFF provisional allocations for 2019-20</t>
  </si>
  <si>
    <t>Number of pupils in special schools/academies *</t>
  </si>
  <si>
    <t>[a]</t>
  </si>
  <si>
    <t>[c]</t>
  </si>
  <si>
    <t>England total</t>
  </si>
  <si>
    <t>Total excluding ESFA</t>
  </si>
  <si>
    <t xml:space="preserve">EAST MIDLANDS </t>
  </si>
  <si>
    <t>Derby</t>
  </si>
  <si>
    <t>Derbyshire</t>
  </si>
  <si>
    <t>Leicester</t>
  </si>
  <si>
    <t>Leicestershire</t>
  </si>
  <si>
    <t>Lincolnshire</t>
  </si>
  <si>
    <t>Northamptonshire</t>
  </si>
  <si>
    <t>Nottingham</t>
  </si>
  <si>
    <t>Nottinghamshire</t>
  </si>
  <si>
    <t>Rutland</t>
  </si>
  <si>
    <t xml:space="preserve">EAST OF ENGLAND </t>
  </si>
  <si>
    <t>Bedford Borough</t>
  </si>
  <si>
    <t>Cambridgeshire</t>
  </si>
  <si>
    <t>Central Bedfordshire</t>
  </si>
  <si>
    <t>Essex</t>
  </si>
  <si>
    <t>Hertfordshire</t>
  </si>
  <si>
    <t>Luton</t>
  </si>
  <si>
    <t>Norfolk</t>
  </si>
  <si>
    <t>Peterborough</t>
  </si>
  <si>
    <t>Southend-on-Sea</t>
  </si>
  <si>
    <t>Suffolk</t>
  </si>
  <si>
    <t>Thurrock</t>
  </si>
  <si>
    <t xml:space="preserve">INNER LONDON </t>
  </si>
  <si>
    <t>Camden</t>
  </si>
  <si>
    <t>Hackney</t>
  </si>
  <si>
    <t>Hammersmith and Fulham</t>
  </si>
  <si>
    <t>Haringey</t>
  </si>
  <si>
    <t>Islington</t>
  </si>
  <si>
    <t>Kensington and Chelsea</t>
  </si>
  <si>
    <t>Lambeth</t>
  </si>
  <si>
    <t>Lewisham</t>
  </si>
  <si>
    <t>Newham</t>
  </si>
  <si>
    <t>Southwark</t>
  </si>
  <si>
    <t>Tower Hamlets</t>
  </si>
  <si>
    <t>Wandsworth</t>
  </si>
  <si>
    <t>Westminster</t>
  </si>
  <si>
    <t xml:space="preserve">NORTH EAST </t>
  </si>
  <si>
    <t>Darlington</t>
  </si>
  <si>
    <t>Durham</t>
  </si>
  <si>
    <t>Gateshead</t>
  </si>
  <si>
    <t>Hartlepool</t>
  </si>
  <si>
    <t>Middlesbrough</t>
  </si>
  <si>
    <t>Newcastle upon Tyne</t>
  </si>
  <si>
    <t>North Tyneside</t>
  </si>
  <si>
    <t>Northumberland</t>
  </si>
  <si>
    <t>Redcar and Cleveland</t>
  </si>
  <si>
    <t>South Tyneside</t>
  </si>
  <si>
    <t>Stockton-on-Tees</t>
  </si>
  <si>
    <t>Sunderland</t>
  </si>
  <si>
    <t xml:space="preserve">NORTH WEST </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</si>
  <si>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</si>
  <si>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</si>
  <si>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</si>
  <si>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</si>
  <si>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</si>
  <si>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</si>
  <si>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</si>
  <si>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</si>
  <si>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</si>
  <si>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</si>
  <si>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</si>
  <si>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</si>
  <si>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</si>
  <si>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</si>
  <si>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</si>
  <si>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</si>
  <si>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</si>
  <si>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</si>
  <si>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</si>
  <si>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</si>
  <si>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</si>
  <si>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</si>
  <si>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</si>
  <si>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 xml:space="preserve">OUTER LONDON </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</si>
  <si>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</si>
  <si>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</si>
  <si>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</si>
  <si>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</si>
  <si>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</si>
  <si>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</si>
  <si>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</si>
  <si>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</si>
  <si>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</si>
  <si>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</si>
  <si>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</si>
  <si>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</si>
  <si>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</si>
  <si>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</si>
  <si>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</si>
  <si>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</si>
  <si>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</si>
  <si>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</si>
  <si>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</si>
  <si>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 xml:space="preserve">SOUTH EAST </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</si>
  <si>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</si>
  <si>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</si>
  <si>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</si>
  <si>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</si>
  <si>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</si>
  <si>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</si>
  <si>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</si>
  <si>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</si>
  <si>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</si>
  <si>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</si>
  <si>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</si>
  <si>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</si>
  <si>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</si>
  <si>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</si>
  <si>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</si>
  <si>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</si>
  <si>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</si>
  <si>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</si>
  <si>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</si>
  <si>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 xml:space="preserve">SOUTH WEST </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</si>
  <si>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</si>
  <si>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</si>
  <si>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</si>
  <si>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</si>
  <si>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</si>
  <si>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</si>
  <si>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</si>
  <si>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</si>
  <si>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</si>
  <si>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</si>
  <si>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</si>
  <si>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</si>
  <si>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</si>
  <si>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</si>
  <si>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</si>
  <si>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 xml:space="preserve">WEST MIDLANDS </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</si>
  <si>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</si>
  <si>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</si>
  <si>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</si>
  <si>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</si>
  <si>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</si>
  <si>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</si>
  <si>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</si>
  <si>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</si>
  <si>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</si>
  <si>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</si>
  <si>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</si>
  <si>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</si>
  <si>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</si>
  <si>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</si>
  <si>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 xml:space="preserve">YORKSHIRE AND THE HUMBER </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</si>
  <si>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</si>
  <si>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</si>
  <si>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</si>
  <si>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</si>
  <si>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</si>
  <si>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</si>
  <si>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</si>
  <si>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</si>
  <si>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</si>
  <si>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</si>
  <si>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</si>
  <si>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</si>
  <si>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</si>
  <si>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</si>
  <si>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</si>
  <si>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High Needs National Funding Formula - 2019-20 provisional allocations to local authorities (LAs)</t>
  </si>
  <si>
    <t>Step-by-step guide for LAs to understand the calculation of the high needs block provisional allocations for 2019-20</t>
  </si>
  <si>
    <t>These columns calculate the basic entitlement factor funding for each LA. This funding will be recalculated later based on the January 2018 alternative provision census and October 2018 school census.</t>
  </si>
  <si>
    <t>These columns distribute the remaining funding to LAs through the proxy factors. The calculation for each proxy factor is as follows: for each local authority multiply the number of children by the ACA to give an ACA-weighted number of children; work out the national total of ACA-weighted children; and split the total factor funding between local authorities using their proportion of the national total of ACA-weighted numbers of children.</t>
  </si>
  <si>
    <t>The funding floor factor protection is calculated on a per head of population basis, ensuring that every local authority receives at least a 1.0% increase per head. The additional absolute floor ensures that even those local authorities with a decreasing population receive a cash flat protection compared to their 2017-18 baseline. The gains under the formula are also calculated on a per head basis.</t>
  </si>
  <si>
    <t>This funding is subject to any changes notified to ESFA in autumn 2018, and agreed as part of the 2019-20 final allocations, and to any further changes introduced following consultation</t>
  </si>
  <si>
    <t>This funding will be recalculated based on the January 2019 census and R06 ILR for 2018/19</t>
  </si>
  <si>
    <t>High needs NFF 2019-20 allocations</t>
  </si>
  <si>
    <t>Region</t>
  </si>
  <si>
    <t>LA code</t>
  </si>
  <si>
    <t>LA name</t>
  </si>
  <si>
    <t>Area cost adjustment ('ACA')
[a]</t>
  </si>
  <si>
    <t>(A) Basic entitlement factor</t>
  </si>
  <si>
    <t>(B) Historic spend factor (from [m] in 'Baselines+Historic Spend Factor')
[e]</t>
  </si>
  <si>
    <t>(C) Population factor</t>
  </si>
  <si>
    <t>(D) FSM factor</t>
  </si>
  <si>
    <t>IDACI band F factor</t>
  </si>
  <si>
    <t>IDACI band E factor</t>
  </si>
  <si>
    <t>IDACI band D factor</t>
  </si>
  <si>
    <t>IDACI band C factor</t>
  </si>
  <si>
    <t>IDACI band B factor</t>
  </si>
  <si>
    <t>IDACI band A factor</t>
  </si>
  <si>
    <t>(E) IDACI factor</t>
  </si>
  <si>
    <t>(F) Bad health factor</t>
  </si>
  <si>
    <t>(G) Disability factor</t>
  </si>
  <si>
    <t>(H) KS2 low attainment factor</t>
  </si>
  <si>
    <t>(I) KS4 low attainment factor</t>
  </si>
  <si>
    <t>Total historic spend and proxy factor allocation (sum of (B) - (I))
[aq]</t>
  </si>
  <si>
    <t>(J) Funding floor factor</t>
  </si>
  <si>
    <t>Total historic spend, proxy factor and 2019-20 funding floor factor allocation
[ba] = [aw] * [f] + [ay]</t>
  </si>
  <si>
    <t>(K) Hospital education funding</t>
  </si>
  <si>
    <t>(L) Import/export adjustment</t>
  </si>
  <si>
    <t>2017-18 LA baseline after schools block transfer (taken from 'Baselines+Historic Spend Factor' [b] - [c])
[be]</t>
  </si>
  <si>
    <t>2019-20 high needs NFF allocations before gains cap
[bf] = [d] + [ba] + [bb] + [bd]</t>
  </si>
  <si>
    <t>Percentage change versus equivalent 2017-18 baseline
[bg] = ([bf] - [be]) / [be]</t>
  </si>
  <si>
    <t>Number of pupils in special schools/academies
[b]</t>
  </si>
  <si>
    <t>ACA-weighted basic entitlement unit rate (£4k per pupil)
[c]</t>
  </si>
  <si>
    <t>Basic entitlement factor
[d] = [b] x [c]</t>
  </si>
  <si>
    <t>Mid-2019 age 2-18 ONS population projection
[f]</t>
  </si>
  <si>
    <t>ACA-weighted population
[g]</t>
  </si>
  <si>
    <t>Number of FSM pupils resident in LA
[i]</t>
  </si>
  <si>
    <t>ACA-weighted FSM pupils
[j]</t>
  </si>
  <si>
    <t>IDACI band F population
[l]</t>
  </si>
  <si>
    <t>ACA-weighted IDACI band F population
[m]</t>
  </si>
  <si>
    <t>IDACI band E population
[o]</t>
  </si>
  <si>
    <t>ACA-weighted IDACI band E population
[p]</t>
  </si>
  <si>
    <t>IDACI band D population
[r]</t>
  </si>
  <si>
    <t>ACA-weighted IDACI band D population
[s]</t>
  </si>
  <si>
    <t>IDACI band C population
[u]</t>
  </si>
  <si>
    <t>ACA-weighted IDACI band C population
[v]</t>
  </si>
  <si>
    <t>IDACI band B population
[x]</t>
  </si>
  <si>
    <t>ACA-weighted IDACI band B population
[y]</t>
  </si>
  <si>
    <t>IDACI band A population
[aa]</t>
  </si>
  <si>
    <t>ACA-weighted IDACI band A population
[ab]</t>
  </si>
  <si>
    <t>Number of children in bad health resident in LA
[ae]</t>
  </si>
  <si>
    <t>ACA-weighted number of children in bad health
[af]</t>
  </si>
  <si>
    <t>Number of children resident in LA for whom DLA claimed
[ah]</t>
  </si>
  <si>
    <t>ACA-weighted number of children for whom DLA claimed
[ai]</t>
  </si>
  <si>
    <t>Number of pupils resident in LA with low attainment in KS2 reading (5 year total)
[ak]</t>
  </si>
  <si>
    <t>ACA-weighted number of pupils resident in LA with low attainment in KS2 reading (5 year total)
[al]</t>
  </si>
  <si>
    <t>Number of pupils resident in LA with low attainment at KS4 (5 year total)
[an]</t>
  </si>
  <si>
    <t>ACA-weighted number of pupils with low attainment at KS4 (5 year total)
[ao]</t>
  </si>
  <si>
    <t>Baseline for funding floor and gains (from column [l] in 'Baselines+Historic Spend Factor')
[ar]</t>
  </si>
  <si>
    <t>Mid-2017 age 2-18 ONS population projection
[as]</t>
  </si>
  <si>
    <t>2017-18 baseline per head (based on mid-2017 age 2-18 ONS population projection)
[at] = [ar] / [as]</t>
  </si>
  <si>
    <t>2019-20 per head funding floor
[au] = [at] * 101%</t>
  </si>
  <si>
    <t>Formula per head (based on mid-2019 age 2-18 ONS population projection)
[av] = [aq] / [f]</t>
  </si>
  <si>
    <t>Protected per head rate for the purpose of the funding floor
[aw] = MAX([au], [av])</t>
  </si>
  <si>
    <t>Per head funding floor factor
[ax] = ([aw] - [av]) * [f]</t>
  </si>
  <si>
    <t>Absolute funding floor factor
[ay] = MAX([ar] - ([f] * [aw]), 0)</t>
  </si>
  <si>
    <t>Total funding floor factor
[az] = [ax] + [ay]</t>
  </si>
  <si>
    <t>Net number of imported pupils/students (from column [j] in 'Import|Export Adjustments Data')
[bc]</t>
  </si>
  <si>
    <t>Import/export adjustments
[bd] = [bc] x £6k</t>
  </si>
  <si>
    <t>2017-18 baseline per head (based on mid-2017 age 2-18 ONS population projection)
[bh] = [at]</t>
  </si>
  <si>
    <t>2019-20 per head rate after funding floor
[bi] = [aw]</t>
  </si>
  <si>
    <t>2019-20 per head rate after calculation of gains up to 6.09%
[bj] = MIN([bh] * 106.09%, [bi])</t>
  </si>
  <si>
    <t>Allocation after calculation of gains up to 6.09%
[bk] = [bj] * [f] + [ay]</t>
  </si>
  <si>
    <t>High needs NFF 2019-20 allocations
[bl] = [d] + [bb] + [bd] + [bk]</t>
  </si>
  <si>
    <t xml:space="preserve">High needs NFF 2018-19 allocations
[bm] </t>
  </si>
  <si>
    <t>High needs NFF 2019-20 percentage change compared to equivalent 2018-19 allocations
[bo] = ([bl] - [bm]) / [bm]</t>
  </si>
  <si>
    <t>High Needs National Funding Formula - step by step allocation for an individual local authority (LA)</t>
  </si>
  <si>
    <t>Step-by-step guide for LAs to understand the calculation of their high needs block provisional allocations</t>
  </si>
  <si>
    <t>Select LA name</t>
  </si>
  <si>
    <t>Area cost adjustment ('ACA')</t>
  </si>
  <si>
    <t>Average LA formula split</t>
  </si>
  <si>
    <t>(B) Historic spend factor</t>
  </si>
  <si>
    <t>(K) Hospital education Funding</t>
  </si>
  <si>
    <t>Number of pupils in special schools/academies</t>
  </si>
  <si>
    <t>x</t>
  </si>
  <si>
    <t>Basic entitlement unit rate</t>
  </si>
  <si>
    <t>=</t>
  </si>
  <si>
    <t>(B)[i] Published LA baseline after adjustments</t>
  </si>
  <si>
    <t>(B)[ii] Schools block transfer</t>
  </si>
  <si>
    <t>(B)[iii] Baseline year basic entitlement</t>
  </si>
  <si>
    <t>(B)[iv] Baseline year hospital education funding</t>
  </si>
  <si>
    <t>(B)[v] Baseline year import/export adjustment</t>
  </si>
  <si>
    <t>Net imported pupils/students in baseline year</t>
  </si>
  <si>
    <t>Import/export adjustment unit rate</t>
  </si>
  <si>
    <t>(B)[vi] Funding floor and year 1 gains baseline</t>
  </si>
  <si>
    <t>Population factor funding</t>
  </si>
  <si>
    <t xml:space="preserve">                                                                                                                        </t>
  </si>
  <si>
    <t>Total of ACA-weighted population</t>
  </si>
  <si>
    <t>(</t>
  </si>
  <si>
    <t>)</t>
  </si>
  <si>
    <t xml:space="preserve">                                                                                                                                                                           </t>
  </si>
  <si>
    <t>FSM factor funding</t>
  </si>
  <si>
    <t>Total of ACA-weighted FSM population</t>
  </si>
  <si>
    <t>Total of ACA-weighted IDACI band F population</t>
  </si>
  <si>
    <t>Total of ACA-weighted IDACI band E population</t>
  </si>
  <si>
    <t>Total of ACA-weighted IDACI band D population</t>
  </si>
  <si>
    <t>Total of ACA-weighted IDACI band C population</t>
  </si>
  <si>
    <t>Total of ACA-weighted IDACI band B population</t>
  </si>
  <si>
    <t>Total of ACA-weighted IDACI band A population</t>
  </si>
  <si>
    <t>Bad health factor funding</t>
  </si>
  <si>
    <t>Total of ACA-weighted bad health population</t>
  </si>
  <si>
    <t>Disability factor funding</t>
  </si>
  <si>
    <t>Total of ACA-weighted DLA children</t>
  </si>
  <si>
    <t>KS2 factor funding</t>
  </si>
  <si>
    <t>Total of ACA-weighted low KS2 attainers</t>
  </si>
  <si>
    <t>KS4 factor funding</t>
  </si>
  <si>
    <t>Total of ACA-weighted low KS4 attainers</t>
  </si>
  <si>
    <t>Total historic and proxy factor allocation (sum of (B) - (I))</t>
  </si>
  <si>
    <t>Baseline for funding floor and 2019-20 gains</t>
  </si>
  <si>
    <t>Mid-2017 age 2-18 ONS population projection</t>
  </si>
  <si>
    <t>2017-18 baseline per head (based on mid-2017 age 2-18 ONS population projection)</t>
  </si>
  <si>
    <t>2019-20 per head funding floor</t>
  </si>
  <si>
    <t>/</t>
  </si>
  <si>
    <t>x 101.0% =</t>
  </si>
  <si>
    <t>Total historic spend and proxy factor allocation (sum of (B) - (I))</t>
  </si>
  <si>
    <t>Mid-2019 aged 2-18 population projection</t>
  </si>
  <si>
    <t>Formula per head (based on mid-2019 age 2-18 ONS population projection)</t>
  </si>
  <si>
    <t>Protected per head rate for the purpose of the funding floor</t>
  </si>
  <si>
    <t>Additional cost per head above 2019-20</t>
  </si>
  <si>
    <t>Per head funding floor factor</t>
  </si>
  <si>
    <t>Absolute funding floor factor</t>
  </si>
  <si>
    <t>Total funding floor factor</t>
  </si>
  <si>
    <t>(K) Hospital education funding (including 1% uplift)</t>
  </si>
  <si>
    <t xml:space="preserve"> </t>
  </si>
  <si>
    <t>NFF allocation before provisional import/export adjustment</t>
  </si>
  <si>
    <t>(L) Import/export adjustment (provisional)</t>
  </si>
  <si>
    <t>Net imported pupils/students</t>
  </si>
  <si>
    <t>–</t>
  </si>
  <si>
    <t>Additional entitlement unit rate</t>
  </si>
  <si>
    <t>Import/export adjustment</t>
  </si>
  <si>
    <t>2019-20 high needs NFF provisional allocation before gains cap</t>
  </si>
  <si>
    <t>2019-20 high needs NFF provisional allocation after calculation of gain on 2017-18 baseline up to 6.09% per head</t>
  </si>
  <si>
    <t>Per head rate after calculation of gains up to 6.09%</t>
  </si>
  <si>
    <t>Mid 2019 aged 2-18 population projection</t>
  </si>
  <si>
    <t>Allocation after calculation of gains up to 6.09%</t>
  </si>
  <si>
    <t>)      +</t>
  </si>
  <si>
    <t>+</t>
  </si>
  <si>
    <t>High needs NFF 2019-20 provisional allocation</t>
  </si>
  <si>
    <t>High Needs National Funding Formula - baselines and historic spend factor</t>
  </si>
  <si>
    <t>Step-by-step guide for LAs to understand the calculation of the high needs block allocations</t>
  </si>
  <si>
    <t>These columns set out identifying information for LAs</t>
  </si>
  <si>
    <t>This is a geographical cost adjustment</t>
  </si>
  <si>
    <t>These elements are deducted from the baseline funding to produce the historic spend figure and the baseline for the funding floor and gains</t>
  </si>
  <si>
    <t>Area cost adjustment (ACA)
[a]</t>
  </si>
  <si>
    <t>(B)[i] Published LA baseline after any hospital education and other agreed adjustments
[b]</t>
  </si>
  <si>
    <t>(B)[ii] Schools block transfer to reflect funding change for special units
[c]</t>
  </si>
  <si>
    <t>(B)[iv] Baseline year hospital education funding (adjusted for full FY)
[g]</t>
  </si>
  <si>
    <t>(B)[v] Baseline year revised import/export adjustment</t>
  </si>
  <si>
    <t>Revised October 2016 school and January 2017 AP census numbers of pupils in special schools/academies
[d]</t>
  </si>
  <si>
    <t>ACA-weighted basic entitlement unit rate (£4k per pupil)
[e] = [a] * £4k</t>
  </si>
  <si>
    <t>Baseline year revised basic entitlement
[f] = [d] x [e]</t>
  </si>
  <si>
    <t>Provider LA revised 2017 numbers
[h]</t>
  </si>
  <si>
    <t>Resident LA revised 2017 numbers
[i]</t>
  </si>
  <si>
    <t>Net imported pupils (revised)
[j] = [h] - [i]</t>
  </si>
  <si>
    <t>Baseline year revised import/export adjustment
[k] = [j] x £6k</t>
  </si>
  <si>
    <t>High Needs National Funding Formula - provisional import/export adjustments data</t>
  </si>
  <si>
    <t>Step-by-step guide for LAs to understand the calculation of the high needs block provisional allocations</t>
  </si>
  <si>
    <t>Split of pupils/students in special schools and academies, or those in mainstream schools/colleges for whom top-up funding is paid, by LA in which they are resident</t>
  </si>
  <si>
    <t>Pupils/students in NMSSs or SPIs by LA in which they are resident</t>
  </si>
  <si>
    <t>Split of pupils/students in special schools and academies, or those in mainstream schools/colleges for whom top-up funding is paid, by LA which hosts the provider</t>
  </si>
  <si>
    <t>Pupil/student numbers in NMSSs or SPIs whose places are funded directly by the ESFA</t>
  </si>
  <si>
    <t>Maintained special school and special academy pupil numbers by resident LA (January 2018 school census)
[a]</t>
  </si>
  <si>
    <t>Pupils numbers for whom top-up funding is paid to mainstream schools, by resident LA (January 2018 school census)
[b]</t>
  </si>
  <si>
    <t>Student numbers for whom top-up funding is paid to FE institutions, by resident LA (February 2018 ILR R06)
[c]</t>
  </si>
  <si>
    <t>NMSS pupil numbers by resident LA (January 2018 school census)
[d]</t>
  </si>
  <si>
    <t>SPI student numbers by resident LA (February 2018 ILR R06)
[e]</t>
  </si>
  <si>
    <t>High Needs National Funding Formula - provisional hospital education factor funding</t>
  </si>
  <si>
    <t>Changes to hospital education funding in 2018-19 (adjusted for full FY)
[b]</t>
  </si>
  <si>
    <t>Provisional 2019-20 hospital education funding
[c]=[a]*101% + [b]*100.5%</t>
  </si>
  <si>
    <t>Population factor
[h] = [g]% x ND[k]</t>
  </si>
  <si>
    <t>FSM factor
[k] = [j]% x ND[l]</t>
  </si>
  <si>
    <t>IDACI band F factor
[n] = [m]% x (ND[m] x 14%)</t>
  </si>
  <si>
    <t>IDACI band E factor
[q] = [p]% x (ND[m] x 16%)</t>
  </si>
  <si>
    <t>IDACI band D factor
[t] = [s]% x (ND[m] x 18.5%)</t>
  </si>
  <si>
    <t>IDACI band C factor
[w] = [v]% x (ND[m] x 17%)</t>
  </si>
  <si>
    <t>IDACI band B factor
[z] = [y]% x (ND[m] x 23%)</t>
  </si>
  <si>
    <t>IDACI band A factor
[ac] = [ab]% x (ND[m] x 11.5%)</t>
  </si>
  <si>
    <t>IDACI factor
[ad] = (ND[m]) = [n]+ [q] + [t] + [w]+ [z] + [ac]</t>
  </si>
  <si>
    <t>Bad health factor
[ag] = [af]% x ND[n]</t>
  </si>
  <si>
    <t>Disability factor
[aj] = [ai]% x ND[o]</t>
  </si>
  <si>
    <t>KS2 factor
[am] = [al]% x ND[p]</t>
  </si>
  <si>
    <t>KS4 factor
[ap] = [ao]% x ND[q]</t>
  </si>
  <si>
    <t>** Denotes figures which may be updated</t>
  </si>
  <si>
    <t xml:space="preserve">Net number of imported pupils/students (based on January 2018 school census and February R06 2017/18 ILR)* (from [j] in 'Import|Export Adjustments Data') *
</t>
  </si>
  <si>
    <t>[b] *</t>
  </si>
  <si>
    <t>[e]*</t>
  </si>
  <si>
    <t>[f] = [e] x £6,000*</t>
  </si>
  <si>
    <t>High needs 2017-18 baseline excluding NMSS/SPI and hospital education funding
[a]</t>
  </si>
  <si>
    <t>Provisional 2019-20 provisional allocation for NMSS/SPI
[b]</t>
  </si>
  <si>
    <t>Additional funding for 2019-20
[c]</t>
  </si>
  <si>
    <t>Additional cost of providing 1.0% funding floor in 2019-20
[e]</t>
  </si>
  <si>
    <t>Hospital education funding (including 1.0% uplift on 2017-18 baselines and 0.5% uplift on additional 2018-19 funding)
[f]</t>
  </si>
  <si>
    <r>
      <t xml:space="preserve">- </t>
    </r>
    <r>
      <rPr>
        <b/>
        <sz val="12"/>
        <rFont val="Arial"/>
        <family val="2"/>
      </rPr>
      <t>Import/Export Adjustments Data</t>
    </r>
    <r>
      <rPr>
        <sz val="12"/>
        <rFont val="Arial"/>
        <family val="2"/>
      </rPr>
      <t>: Breakdown of the figures used to produce the individual local authority adjustments made to reflect cross-border movement of pupils and students with high needs living in one local authority who attend provision in another.  These figures are based on January 2018 school census and February 2018 ILR R06 data; this is consistent with the 2018-19 DSG allocations.</t>
    </r>
  </si>
  <si>
    <t>If you have queries about the calculation for particular local authorities, or about the data we have used, you will find more information in the technical note.  If this does not answer your query, please contact the Department through:</t>
  </si>
  <si>
    <r>
      <t xml:space="preserve">- </t>
    </r>
    <r>
      <rPr>
        <b/>
        <sz val="12"/>
        <rFont val="Arial"/>
        <family val="2"/>
      </rPr>
      <t>Baselines+Historic Spend Factor</t>
    </r>
    <r>
      <rPr>
        <sz val="12"/>
        <rFont val="Arial"/>
        <family val="2"/>
      </rPr>
      <t xml:space="preserve">: Calculation of the spending baselines used in the historic spend factor, funding floor factor and gains calculation for the 2019-20 allocations; and calculation of the historic spend factor value for every local authority.  The historic spend factor has been amended for 2019-20  to account for corrections to the local authority baselines requested by some local authorities and to correct minor issues in the basic entitlement and import/export adjustment data.  </t>
    </r>
  </si>
  <si>
    <t>[d] = [b] x [c] *</t>
  </si>
  <si>
    <t>[g] **</t>
  </si>
  <si>
    <t>Import/export adjustments *</t>
  </si>
  <si>
    <t>[h]=[a]+[d]+[f]+[g]</t>
  </si>
  <si>
    <t>(B) Historic spend factor
[m] = 50% x [l]</t>
  </si>
  <si>
    <r>
      <t xml:space="preserve">The historic spend factor has been amended for 2019-20 to account for corrections to the local authority baselines requested by some local authorities and to correct minor </t>
    </r>
    <r>
      <rPr>
        <sz val="12"/>
        <rFont val="Arial"/>
        <family val="2"/>
      </rPr>
      <t>issues i</t>
    </r>
    <r>
      <rPr>
        <sz val="12"/>
        <color rgb="FF0D0D0D"/>
        <rFont val="Arial"/>
        <family val="2"/>
      </rPr>
      <t>n the basic entitlement and import/export adjustment data.</t>
    </r>
  </si>
  <si>
    <t>Total of specialist and mainstream provider pupil/student numbers split by resident LA
[f] = [a] + [b] + [c] + [d] + [e]</t>
  </si>
  <si>
    <t>Maintained special school and special academy pupil numbers by provider LA (January 2018 school census)
[g]</t>
  </si>
  <si>
    <t>Pupils numbers for whom top-up funding is paid to mainstream schools, by provider LA (January 2018 school census)
[h]</t>
  </si>
  <si>
    <t>Student numbers for whom top-up funding is paid to FE institutions, by provider LA (February 2018 ILR R06)
[i]</t>
  </si>
  <si>
    <t>Pupil numbers for NMSSs whose places are funded directly by the ESFA (January 2018 school census)
[j]</t>
  </si>
  <si>
    <t>Student numbers for SPIs whose places are funded directly by the ESFA (February 2018 ILR R06)
[k]</t>
  </si>
  <si>
    <t>Total of specialist and mainstream provider pupil/student numbers split by provider LA
[l] = [g] + [h] + [i] + [j] + [k]</t>
  </si>
  <si>
    <t>(B)[vi] Adjusted baseline:  to be used for the funding floor and gains
[l] = [b] - [c] - [f] - [g] 
- [k]</t>
  </si>
  <si>
    <t>This is the provisional cost of the basic entitlement factor and remainder of the funding for NMSS and SPI places for 2019-20, based on the January 2018 school census and February 2018 ILR R06 data.</t>
  </si>
  <si>
    <t>This is the total 2017-18 hospital education spending baseline, as published in August 2017, with adjustments and 1.0 % uplift. Any additional funding that local authorities received in 2018-19 is subject to a 0.5% uplift.</t>
  </si>
  <si>
    <t>This is the total funding provisionally allocated through the basic entitlement factor.</t>
  </si>
  <si>
    <t>This is the 2017-18 adjusted baseline plus the provisional basic entitlement factor funding for local authorities, but excluding the basic entitlement and remainder of the place funding generated through the import/export adjustment for NMSS/SPIs. This is included in the next line.</t>
  </si>
  <si>
    <t>This is additional funding provided above the 2017-18 adjusted baseline for 2019-20, not including the additional cost of providing the 1.0% funding floor (see below).</t>
  </si>
  <si>
    <t>Net imported pupils
[m] = [l] - [f]</t>
  </si>
  <si>
    <t xml:space="preserve">2017-18 Hospital education spending with uplift (from column [c] in 'HospitalEducationFunding Baselines') **
</t>
  </si>
  <si>
    <t xml:space="preserve">- an actual allocation for all local authorities, calculated from the elements of the high needs national funding formula that will not change prior to the final allocations.  The only exception to this is if there are any later adjustments to hospital education funding as a result of changes notified by local authorities. 
</t>
  </si>
  <si>
    <t>2017-18 Hospital education spending with 1.0% uplift and 2018-19 adjustments with 0.5% uplift (from column [c] in 'HospitalEducationFundingBaselines' )
[bb]</t>
  </si>
  <si>
    <t xml:space="preserve">Baseline year (2017-18) hospital education spending (adjusted for full FY)
[a]
</t>
  </si>
  <si>
    <t>Total funding to be allocated provisionally through the basic entitlement factor, historic spend factor and proxy factors of the high needs funding formula in 2019-20.</t>
  </si>
  <si>
    <t>Total funding to be allocated provisionally through the basic entitlement factor, historic spend factor and proxy factors of the high needs funding formula in 2019-20 - as in [d] above.</t>
  </si>
  <si>
    <r>
      <t xml:space="preserve"> - </t>
    </r>
    <r>
      <rPr>
        <b/>
        <sz val="12"/>
        <color theme="1"/>
        <rFont val="Arial"/>
        <family val="2"/>
      </rPr>
      <t>Hospital Education Funding</t>
    </r>
    <r>
      <rPr>
        <sz val="12"/>
        <color theme="1"/>
        <rFont val="Arial"/>
        <family val="2"/>
      </rPr>
      <t xml:space="preserve">: The 2017-18 baseline hospital education data, adjustments for 2018-19 and the calculation of the </t>
    </r>
    <r>
      <rPr>
        <sz val="12"/>
        <rFont val="Arial"/>
        <family val="2"/>
      </rPr>
      <t xml:space="preserve">provisional </t>
    </r>
    <r>
      <rPr>
        <sz val="12"/>
        <color theme="1"/>
        <rFont val="Arial"/>
        <family val="2"/>
      </rPr>
      <t>2019-20 funding for every local authority in England.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</si>
</sst>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64" formatCode="&quot;£&quot;#,##0"/>
    <numFmt numFmtId="165" formatCode="&quot;£&quot;#,##0.00"/>
    <numFmt numFmtId="166" formatCode="&quot;£&quot;#,##0_);[Red]\(&quot;£&quot;#,##0\)"/>
    <numFmt numFmtId="167" formatCode="0.0%"/>
    <numFmt numFmtId="168" formatCode="_(* #,##0.00_);_(* \(#,##0.00\);_(* &quot;-&quot;??_);_(@_)"/>
    <numFmt numFmtId="169" formatCode="_(* #,##0_);_(* \(#,##0\);_(* &quot;-&quot;??_);_(@_)"/>
    <numFmt numFmtId="170" formatCode="_-* #,##0_-;\-* #,##0_-;_-* &quot;-&quot;??_-;_-@_-"/>
    <numFmt numFmtId="171" formatCode="_-&quot;£&quot;* #,##0_-;\-&quot;£&quot;* #,##0_-;_-&quot;£&quot;* &quot;-&quot;??_-;_-@_-"/>
    <numFmt numFmtId="172" formatCode="_(&quot;£&quot;* #,##0.00_);_(&quot;£&quot;* \(#,##0.00\);_(&quot;£&quot;* &quot;-&quot;??_);_(@_)"/>
    <numFmt numFmtId="173" formatCode="#,##0_ ;\-#,##0\ "/>
    <numFmt numFmtId="174" formatCode="#,##0;[Red]#,##0"/>
    <numFmt numFmtId="175" formatCode="&quot;£&quot;#,##0;[Red]&quot;£&quot;#,##0"/>
    <numFmt numFmtId="176" formatCode="#,##0_ ;[Red]\-#,##0\ "/>
    <numFmt numFmtId="177" formatCode="&quot;£&quot;#,##0.00;[Red]&quot;£&quot;#,##0.00"/>
    <numFmt numFmtId="178" formatCode="0.000"/>
    <numFmt numFmtId="179" formatCode="#,##0.000_ ;[Red]\-#,##0.000\ "/>
  </numFmts>
  <fonts count="5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Arial"/>
      <family val="2"/>
    </font>
    <font>
      <b/>
      <sz val="20"/>
      <color theme="1"/>
      <name val="Arial"/>
      <family val="2"/>
    </font>
    <font>
      <b/>
      <u/>
      <sz val="12"/>
      <color theme="1"/>
      <name val="Arial"/>
      <family val="2"/>
    </font>
    <font>
      <sz val="12"/>
      <color theme="1"/>
      <name val="Wingdings"/>
      <charset val="2"/>
    </font>
    <font>
      <u/>
      <sz val="11"/>
      <color rgb="FF0000FF"/>
      <name val="Calibri"/>
      <family val="2"/>
    </font>
    <font>
      <u/>
      <sz val="11"/>
      <color rgb="FF0000FF"/>
      <name val="Arial"/>
      <family val="2"/>
    </font>
    <font>
      <b/>
      <sz val="12"/>
      <color theme="1"/>
      <name val="Arial"/>
      <family val="2"/>
    </font>
    <font>
      <sz val="12"/>
      <color rgb="FF222222"/>
      <name val="Arial"/>
      <family val="2"/>
    </font>
    <font>
      <sz val="11"/>
      <color rgb="FF000000"/>
      <name val="Calibri"/>
      <family val="2"/>
    </font>
    <font>
      <sz val="12"/>
      <color rgb="FF000000"/>
      <name val="Arial"/>
      <family val="2"/>
    </font>
    <font>
      <sz val="14"/>
      <color rgb="FFFF0000"/>
      <name val="Calibri"/>
      <family val="2"/>
      <scheme val="minor"/>
    </font>
    <font>
      <b/>
      <sz val="20"/>
      <color rgb="FF000000"/>
      <name val="Arial"/>
      <family val="2"/>
    </font>
    <font>
      <b/>
      <sz val="12"/>
      <color rgb="FF000000"/>
      <name val="Arial"/>
      <family val="2"/>
    </font>
    <font>
      <sz val="12"/>
      <color rgb="FFFF0000"/>
      <name val="Arial"/>
      <family val="2"/>
    </font>
    <font>
      <b/>
      <u/>
      <sz val="12"/>
      <color rgb="FF000000"/>
      <name val="Arial"/>
      <family val="2"/>
    </font>
    <font>
      <sz val="12"/>
      <name val="Arial"/>
      <family val="2"/>
    </font>
    <font>
      <b/>
      <sz val="12"/>
      <name val="Arial"/>
      <family val="2"/>
    </font>
    <font>
      <sz val="12"/>
      <color theme="0"/>
      <name val="Arial"/>
      <family val="2"/>
    </font>
    <font>
      <sz val="11"/>
      <color theme="1"/>
      <name val="Arial"/>
      <family val="2"/>
    </font>
    <font>
      <b/>
      <sz val="20"/>
      <name val="Arial"/>
      <family val="2"/>
    </font>
    <font>
      <b/>
      <sz val="12"/>
      <color theme="0"/>
      <name val="Arial"/>
      <family val="2"/>
    </font>
    <font>
      <sz val="20"/>
      <color theme="1"/>
      <name val="Arial"/>
      <family val="2"/>
    </font>
    <font>
      <sz val="10"/>
      <color theme="1"/>
      <name val="Arial"/>
      <family val="2"/>
    </font>
    <font>
      <sz val="11"/>
      <name val="Calibri"/>
      <family val="2"/>
      <scheme val="minor"/>
    </font>
    <font>
      <u/>
      <sz val="11"/>
      <color theme="0"/>
      <name val="Calibri"/>
      <family val="2"/>
    </font>
    <font>
      <u/>
      <sz val="12"/>
      <color rgb="FF0000FF"/>
      <name val="Arial"/>
      <family val="2"/>
    </font>
    <font>
      <i/>
      <sz val="12"/>
      <color rgb="FF000000"/>
      <name val="Arial"/>
      <family val="2"/>
    </font>
    <font>
      <strike/>
      <sz val="12"/>
      <color theme="0"/>
      <name val="Arial"/>
      <family val="2"/>
    </font>
    <font>
      <sz val="48"/>
      <color theme="1"/>
      <name val="Calibri"/>
      <family val="2"/>
      <scheme val="minor"/>
    </font>
    <font>
      <b/>
      <strike/>
      <sz val="14"/>
      <color theme="1"/>
      <name val="Calibri"/>
      <family val="2"/>
      <scheme val="minor"/>
    </font>
    <font>
      <i/>
      <sz val="11"/>
      <color theme="1"/>
      <name val="Calibri"/>
      <family val="2"/>
      <scheme val="minor"/>
    </font>
    <font>
      <i/>
      <sz val="12"/>
      <color theme="0"/>
      <name val="Arial"/>
      <family val="2"/>
    </font>
    <font>
      <b/>
      <i/>
      <sz val="11"/>
      <color theme="0"/>
      <name val="Calibri"/>
      <family val="2"/>
      <scheme val="minor"/>
    </font>
    <font>
      <b/>
      <i/>
      <sz val="12"/>
      <color theme="0"/>
      <name val="Arial"/>
      <family val="2"/>
    </font>
    <font>
      <i/>
      <strike/>
      <sz val="12"/>
      <color theme="0"/>
      <name val="Arial"/>
      <family val="2"/>
    </font>
    <font>
      <i/>
      <sz val="11"/>
      <color theme="0"/>
      <name val="Calibri"/>
      <family val="2"/>
      <scheme val="minor"/>
    </font>
    <font>
      <b/>
      <i/>
      <sz val="11"/>
      <color theme="1"/>
      <name val="Calibri"/>
      <family val="2"/>
      <scheme val="minor"/>
    </font>
    <font>
      <i/>
      <sz val="48"/>
      <color theme="1"/>
      <name val="Calibri"/>
      <family val="2"/>
      <scheme val="minor"/>
    </font>
    <font>
      <b/>
      <i/>
      <sz val="12"/>
      <color rgb="FF000000"/>
      <name val="Arial"/>
      <family val="2"/>
    </font>
    <font>
      <b/>
      <i/>
      <strike/>
      <sz val="14"/>
      <color theme="1"/>
      <name val="Calibri"/>
      <family val="2"/>
      <scheme val="minor"/>
    </font>
    <font>
      <sz val="16"/>
      <color theme="1"/>
      <name val="Calibri"/>
      <family val="2"/>
      <scheme val="minor"/>
    </font>
    <font>
      <sz val="12"/>
      <color rgb="FF0D0D0D"/>
      <name val="Arial"/>
      <family val="2"/>
    </font>
    <font>
      <b/>
      <sz val="12"/>
      <color theme="1" tint="0.14999847407452621"/>
      <name val="Arial"/>
      <family val="2"/>
    </font>
    <font>
      <sz val="12"/>
      <color theme="1" tint="0.14999847407452621"/>
      <name val="Arial"/>
      <family val="2"/>
    </font>
    <font>
      <sz val="20"/>
      <name val="Arial"/>
      <family val="2"/>
    </font>
  </fonts>
  <fills count="24">
    <fill>
      <patternFill patternType="none"/>
    </fill>
    <fill>
      <patternFill patternType="gray125"/>
    </fill>
    <fill>
      <patternFill patternType="solid">
        <fgColor rgb="FFCFDCE3"/>
        <bgColor rgb="FFCFDCE3"/>
      </patternFill>
    </fill>
    <fill>
      <patternFill patternType="solid">
        <fgColor rgb="FFD4CEDE"/>
        <bgColor rgb="FFD4CEDE"/>
      </patternFill>
    </fill>
    <fill>
      <patternFill patternType="solid">
        <fgColor rgb="FFF3ECCD"/>
        <bgColor rgb="FFF3ECCD"/>
      </patternFill>
    </fill>
    <fill>
      <patternFill patternType="solid">
        <fgColor rgb="FFD0A8A9"/>
        <bgColor rgb="FFD4CEDE"/>
      </patternFill>
    </fill>
    <fill>
      <patternFill patternType="solid">
        <fgColor rgb="FFE8D3D4"/>
        <bgColor rgb="FFDCE6F1"/>
      </patternFill>
    </fill>
    <fill>
      <patternFill patternType="solid">
        <fgColor rgb="FFD8B2B4"/>
        <bgColor rgb="FFD4CEDE"/>
      </patternFill>
    </fill>
    <fill>
      <patternFill patternType="solid">
        <fgColor rgb="FFF3ECCD"/>
        <bgColor indexed="64"/>
      </patternFill>
    </fill>
    <fill>
      <patternFill patternType="solid">
        <fgColor rgb="FFD9D9D9"/>
        <bgColor rgb="FFD9D9D9"/>
      </patternFill>
    </fill>
    <fill>
      <patternFill patternType="solid">
        <fgColor theme="0" tint="-0.14999847407452621"/>
        <bgColor indexed="64"/>
      </patternFill>
    </fill>
    <fill>
      <patternFill patternType="solid">
        <fgColor rgb="FF004712"/>
        <bgColor indexed="64"/>
      </patternFill>
    </fill>
    <fill>
      <patternFill patternType="solid">
        <fgColor rgb="FFE8D3D4"/>
        <bgColor indexed="64"/>
      </patternFill>
    </fill>
    <fill>
      <patternFill patternType="darkGray">
        <bgColor rgb="FFE8D3D4"/>
      </patternFill>
    </fill>
    <fill>
      <patternFill patternType="solid">
        <fgColor rgb="FF104F75"/>
        <bgColor indexed="64"/>
      </patternFill>
    </fill>
    <fill>
      <patternFill patternType="darkGray">
        <bgColor theme="0" tint="-0.499984740745262"/>
      </patternFill>
    </fill>
    <fill>
      <patternFill patternType="solid">
        <fgColor rgb="FFD4CEDE"/>
        <bgColor indexed="64"/>
      </patternFill>
    </fill>
    <fill>
      <patternFill patternType="darkGray">
        <bgColor rgb="FFD4CEDE"/>
      </patternFill>
    </fill>
    <fill>
      <patternFill patternType="solid">
        <fgColor theme="0" tint="-0.34998626667073579"/>
        <bgColor indexed="64"/>
      </patternFill>
    </fill>
    <fill>
      <patternFill patternType="solid">
        <fgColor theme="3" tint="0.59999389629810485"/>
        <bgColor rgb="FFDCE6F1"/>
      </patternFill>
    </fill>
    <fill>
      <patternFill patternType="solid">
        <fgColor rgb="FFA15154"/>
        <bgColor indexed="64"/>
      </patternFill>
    </fill>
    <fill>
      <patternFill patternType="solid">
        <fgColor rgb="FFDCE6F1"/>
        <bgColor rgb="FFDCE6F1"/>
      </patternFill>
    </fill>
    <fill>
      <patternFill patternType="solid">
        <fgColor theme="6" tint="0.79998168889431442"/>
        <bgColor indexed="64"/>
      </patternFill>
    </fill>
    <fill>
      <patternFill patternType="solid">
        <fgColor theme="0"/>
        <bgColor indexed="64"/>
      </patternFill>
    </fill>
  </fills>
  <borders count="78">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style="medium">
        <color indexed="64"/>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style="medium">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rgb="FF000000"/>
      </right>
      <top style="thin">
        <color rgb="FF000000"/>
      </top>
      <bottom style="medium">
        <color indexed="64"/>
      </bottom>
      <diagonal/>
    </border>
    <border>
      <left style="medium">
        <color rgb="FF000000"/>
      </left>
      <right style="medium">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8">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3" fillId="0" borderId="0"/>
    <xf numFmtId="0" fontId="5" fillId="0" borderId="0"/>
    <xf numFmtId="168" fontId="1" fillId="0" borderId="0" applyFont="0" applyFill="0" applyBorder="0" applyAlignment="0" applyProtection="0"/>
    <xf numFmtId="0" fontId="1" fillId="0" borderId="0"/>
    <xf numFmtId="172" fontId="1" fillId="0" borderId="0" applyFont="0" applyFill="0" applyBorder="0" applyAlignment="0" applyProtection="0"/>
  </cellStyleXfs>
  <cellXfs count="518">
    <xf numFmtId="0" fontId="0" fillId="0" borderId="0" xfId="0"/>
    <xf numFmtId="0" fontId="5" fillId="0" borderId="0" xfId="0" applyFont="1"/>
    <xf numFmtId="0" fontId="6" fillId="0" borderId="0" xfId="0" applyFont="1" applyAlignment="1">
      <alignment horizontal="left" vertical="center"/>
    </xf>
    <xf numFmtId="0" fontId="5" fillId="0" borderId="0" xfId="0" applyFont="1" applyAlignment="1">
      <alignment vertical="top"/>
    </xf>
    <xf numFmtId="0" fontId="14" fillId="0" borderId="0" xfId="3" applyFont="1"/>
    <xf numFmtId="0" fontId="15" fillId="0" borderId="0" xfId="0" applyFont="1"/>
    <xf numFmtId="0" fontId="16" fillId="0" borderId="0" xfId="3" applyFont="1"/>
    <xf numFmtId="0" fontId="14" fillId="0" borderId="0" xfId="3" quotePrefix="1" applyFont="1"/>
    <xf numFmtId="0" fontId="18" fillId="0" borderId="0" xfId="3" applyFont="1"/>
    <xf numFmtId="0" fontId="19" fillId="0" borderId="0" xfId="3" applyFont="1"/>
    <xf numFmtId="164" fontId="0" fillId="0" borderId="0" xfId="0" applyNumberFormat="1"/>
    <xf numFmtId="0" fontId="4" fillId="0" borderId="0" xfId="0" applyFont="1"/>
    <xf numFmtId="164" fontId="14" fillId="0" borderId="0" xfId="3" applyNumberFormat="1" applyFont="1"/>
    <xf numFmtId="165" fontId="14" fillId="0" borderId="0" xfId="3" applyNumberFormat="1" applyFont="1"/>
    <xf numFmtId="0" fontId="14" fillId="0" borderId="0" xfId="3" applyFont="1" applyAlignment="1">
      <alignment horizontal="center"/>
    </xf>
    <xf numFmtId="166" fontId="17" fillId="8" borderId="2" xfId="3" applyNumberFormat="1" applyFont="1" applyFill="1" applyBorder="1" applyAlignment="1">
      <alignment horizontal="center" vertical="center" wrapText="1"/>
    </xf>
    <xf numFmtId="0" fontId="14" fillId="8" borderId="10" xfId="3" applyFont="1" applyFill="1" applyBorder="1" applyAlignment="1">
      <alignment horizontal="centerContinuous" vertical="center" wrapText="1"/>
    </xf>
    <xf numFmtId="0" fontId="14" fillId="8" borderId="12" xfId="3" applyFont="1" applyFill="1" applyBorder="1" applyAlignment="1">
      <alignment horizontal="centerContinuous" vertical="center" wrapText="1"/>
    </xf>
    <xf numFmtId="167" fontId="14" fillId="8" borderId="9" xfId="1" applyNumberFormat="1" applyFont="1" applyFill="1" applyBorder="1" applyAlignment="1">
      <alignment horizontal="center" vertical="center"/>
    </xf>
    <xf numFmtId="0" fontId="14" fillId="8" borderId="14" xfId="3" applyFont="1" applyFill="1" applyBorder="1" applyAlignment="1">
      <alignment horizontal="centerContinuous" vertical="center" wrapText="1"/>
    </xf>
    <xf numFmtId="0" fontId="14" fillId="8" borderId="15" xfId="3" applyFont="1" applyFill="1" applyBorder="1" applyAlignment="1">
      <alignment horizontal="centerContinuous" vertical="center" wrapText="1"/>
    </xf>
    <xf numFmtId="167" fontId="14" fillId="8" borderId="16" xfId="1" applyNumberFormat="1" applyFont="1" applyFill="1" applyBorder="1" applyAlignment="1">
      <alignment horizontal="center" vertical="center"/>
    </xf>
    <xf numFmtId="0" fontId="17" fillId="8" borderId="17" xfId="3" applyFont="1" applyFill="1" applyBorder="1" applyAlignment="1">
      <alignment horizontal="centerContinuous" vertical="center" wrapText="1"/>
    </xf>
    <xf numFmtId="0" fontId="17" fillId="8" borderId="18" xfId="3" applyFont="1" applyFill="1" applyBorder="1" applyAlignment="1">
      <alignment horizontal="centerContinuous" vertical="center" wrapText="1"/>
    </xf>
    <xf numFmtId="167" fontId="17" fillId="8" borderId="19" xfId="1" applyNumberFormat="1" applyFont="1" applyFill="1" applyBorder="1" applyAlignment="1">
      <alignment horizontal="center" vertical="center"/>
    </xf>
    <xf numFmtId="164" fontId="4" fillId="0" borderId="0" xfId="0" applyNumberFormat="1" applyFont="1"/>
    <xf numFmtId="0" fontId="5" fillId="0" borderId="0" xfId="4" applyAlignment="1" applyProtection="1">
      <alignment horizontal="center" vertical="center"/>
      <protection hidden="1"/>
    </xf>
    <xf numFmtId="164" fontId="5" fillId="0" borderId="0" xfId="4" applyNumberFormat="1" applyAlignment="1" applyProtection="1">
      <alignment horizontal="center" vertical="center"/>
      <protection hidden="1"/>
    </xf>
    <xf numFmtId="0" fontId="14" fillId="9" borderId="1" xfId="4" applyFont="1" applyFill="1" applyBorder="1" applyAlignment="1" applyProtection="1">
      <alignment horizontal="center" vertical="center"/>
      <protection hidden="1"/>
    </xf>
    <xf numFmtId="0" fontId="23" fillId="0" borderId="0" xfId="4" applyFont="1" applyProtection="1">
      <protection hidden="1"/>
    </xf>
    <xf numFmtId="0" fontId="6" fillId="0" borderId="0" xfId="4" applyFont="1" applyAlignment="1" applyProtection="1">
      <alignment horizontal="left" vertical="center"/>
      <protection hidden="1"/>
    </xf>
    <xf numFmtId="0" fontId="20" fillId="10" borderId="21" xfId="4" applyFont="1" applyFill="1" applyBorder="1" applyAlignment="1" applyProtection="1">
      <alignment horizontal="left" vertical="center"/>
      <protection hidden="1"/>
    </xf>
    <xf numFmtId="0" fontId="20" fillId="10" borderId="22" xfId="4" applyFont="1" applyFill="1" applyBorder="1" applyAlignment="1" applyProtection="1">
      <alignment horizontal="center" vertical="center"/>
      <protection hidden="1"/>
    </xf>
    <xf numFmtId="0" fontId="20" fillId="10" borderId="23" xfId="4" applyFont="1" applyFill="1" applyBorder="1" applyAlignment="1" applyProtection="1">
      <alignment horizontal="center" vertical="center"/>
      <protection hidden="1"/>
    </xf>
    <xf numFmtId="0" fontId="24" fillId="10" borderId="24" xfId="4" applyFont="1" applyFill="1" applyBorder="1" applyAlignment="1" applyProtection="1">
      <alignment horizontal="left" vertical="center"/>
      <protection hidden="1"/>
    </xf>
    <xf numFmtId="0" fontId="20" fillId="10" borderId="0" xfId="4" applyFont="1" applyFill="1" applyAlignment="1" applyProtection="1">
      <alignment horizontal="center" vertical="center"/>
      <protection hidden="1"/>
    </xf>
    <xf numFmtId="0" fontId="20" fillId="10" borderId="25" xfId="4" applyFont="1" applyFill="1" applyBorder="1" applyAlignment="1" applyProtection="1">
      <alignment horizontal="center" vertical="center"/>
      <protection hidden="1"/>
    </xf>
    <xf numFmtId="0" fontId="20" fillId="10" borderId="24" xfId="4" applyFont="1" applyFill="1" applyBorder="1" applyAlignment="1" applyProtection="1">
      <alignment horizontal="left" wrapText="1"/>
      <protection hidden="1"/>
    </xf>
    <xf numFmtId="0" fontId="24" fillId="10" borderId="0" xfId="4" applyFont="1" applyFill="1" applyAlignment="1" applyProtection="1">
      <alignment horizontal="left" wrapText="1"/>
      <protection hidden="1"/>
    </xf>
    <xf numFmtId="0" fontId="24" fillId="10" borderId="25" xfId="4" applyFont="1" applyFill="1" applyBorder="1" applyAlignment="1" applyProtection="1">
      <alignment horizontal="left" wrapText="1"/>
      <protection hidden="1"/>
    </xf>
    <xf numFmtId="0" fontId="20" fillId="10" borderId="26" xfId="4" applyFont="1" applyFill="1" applyBorder="1" applyAlignment="1" applyProtection="1">
      <alignment horizontal="left"/>
      <protection hidden="1"/>
    </xf>
    <xf numFmtId="0" fontId="20" fillId="10" borderId="27" xfId="4" applyFont="1" applyFill="1" applyBorder="1" applyAlignment="1" applyProtection="1">
      <alignment wrapText="1"/>
      <protection hidden="1"/>
    </xf>
    <xf numFmtId="0" fontId="24" fillId="10" borderId="28" xfId="4" applyFont="1" applyFill="1" applyBorder="1" applyAlignment="1" applyProtection="1">
      <alignment horizontal="left" wrapText="1"/>
      <protection hidden="1"/>
    </xf>
    <xf numFmtId="0" fontId="5" fillId="0" borderId="0" xfId="4" applyAlignment="1" applyProtection="1">
      <alignment horizontal="left" vertical="top"/>
      <protection hidden="1"/>
    </xf>
    <xf numFmtId="0" fontId="23" fillId="0" borderId="0" xfId="4" applyFont="1" applyAlignment="1" applyProtection="1">
      <alignment vertical="top"/>
      <protection hidden="1"/>
    </xf>
    <xf numFmtId="0" fontId="20" fillId="4" borderId="2" xfId="4" applyFont="1" applyFill="1" applyBorder="1" applyAlignment="1" applyProtection="1">
      <alignment vertical="center" wrapText="1"/>
      <protection hidden="1"/>
    </xf>
    <xf numFmtId="0" fontId="20" fillId="4" borderId="3" xfId="4" applyFont="1" applyFill="1" applyBorder="1" applyAlignment="1" applyProtection="1">
      <alignment vertical="center" wrapText="1"/>
      <protection hidden="1"/>
    </xf>
    <xf numFmtId="0" fontId="20" fillId="4" borderId="7" xfId="4" applyFont="1" applyFill="1" applyBorder="1" applyAlignment="1" applyProtection="1">
      <alignment vertical="center" wrapText="1"/>
      <protection hidden="1"/>
    </xf>
    <xf numFmtId="0" fontId="22" fillId="11" borderId="40" xfId="0" applyFont="1" applyFill="1" applyBorder="1" applyAlignment="1" applyProtection="1">
      <alignment horizontal="center" vertical="center" wrapText="1"/>
      <protection hidden="1"/>
    </xf>
    <xf numFmtId="0" fontId="22" fillId="11" borderId="20" xfId="0" applyFont="1" applyFill="1" applyBorder="1" applyAlignment="1" applyProtection="1">
      <alignment horizontal="center" vertical="center" wrapText="1"/>
      <protection hidden="1"/>
    </xf>
    <xf numFmtId="0" fontId="22" fillId="11" borderId="41" xfId="0" applyFont="1" applyFill="1" applyBorder="1" applyAlignment="1" applyProtection="1">
      <alignment horizontal="center" vertical="center" wrapText="1"/>
      <protection hidden="1"/>
    </xf>
    <xf numFmtId="0" fontId="22" fillId="11" borderId="42" xfId="0" quotePrefix="1" applyFont="1" applyFill="1" applyBorder="1" applyAlignment="1" applyProtection="1">
      <alignment horizontal="center" vertical="center" wrapText="1"/>
      <protection hidden="1"/>
    </xf>
    <xf numFmtId="0" fontId="22" fillId="11" borderId="43" xfId="0" quotePrefix="1" applyFont="1" applyFill="1" applyBorder="1" applyAlignment="1" applyProtection="1">
      <alignment horizontal="center" vertical="center" wrapText="1"/>
      <protection hidden="1"/>
    </xf>
    <xf numFmtId="0" fontId="5" fillId="0" borderId="0" xfId="4" applyAlignment="1" applyProtection="1">
      <alignment horizontal="center" vertical="top"/>
      <protection hidden="1"/>
    </xf>
    <xf numFmtId="0" fontId="22" fillId="11" borderId="47" xfId="4" quotePrefix="1" applyFont="1" applyFill="1" applyBorder="1" applyAlignment="1" applyProtection="1">
      <alignment horizontal="center" vertical="center" wrapText="1"/>
      <protection hidden="1"/>
    </xf>
    <xf numFmtId="0" fontId="22" fillId="11" borderId="40" xfId="4" quotePrefix="1" applyFont="1" applyFill="1" applyBorder="1" applyAlignment="1" applyProtection="1">
      <alignment horizontal="center" vertical="center" wrapText="1"/>
      <protection hidden="1"/>
    </xf>
    <xf numFmtId="0" fontId="22" fillId="11" borderId="20" xfId="4" quotePrefix="1" applyFont="1" applyFill="1" applyBorder="1" applyAlignment="1" applyProtection="1">
      <alignment horizontal="center" vertical="center" wrapText="1"/>
      <protection hidden="1"/>
    </xf>
    <xf numFmtId="0" fontId="22" fillId="11" borderId="41" xfId="4" quotePrefix="1" applyFont="1" applyFill="1" applyBorder="1" applyAlignment="1" applyProtection="1">
      <alignment horizontal="center" vertical="center" wrapText="1"/>
      <protection hidden="1"/>
    </xf>
    <xf numFmtId="0" fontId="22" fillId="11" borderId="40" xfId="0" quotePrefix="1" applyFont="1" applyFill="1" applyBorder="1" applyAlignment="1" applyProtection="1">
      <alignment horizontal="center" vertical="center" wrapText="1"/>
      <protection hidden="1"/>
    </xf>
    <xf numFmtId="0" fontId="22" fillId="11" borderId="41" xfId="0" quotePrefix="1" applyFont="1" applyFill="1" applyBorder="1" applyAlignment="1" applyProtection="1">
      <alignment horizontal="center" vertical="center" wrapText="1"/>
      <protection hidden="1"/>
    </xf>
    <xf numFmtId="0" fontId="11" fillId="12" borderId="48" xfId="4" applyFont="1" applyFill="1" applyBorder="1" applyAlignment="1" applyProtection="1">
      <alignment horizontal="left"/>
      <protection hidden="1"/>
    </xf>
    <xf numFmtId="0" fontId="11" fillId="12" borderId="49" xfId="4" applyFont="1" applyFill="1" applyBorder="1" applyAlignment="1" applyProtection="1">
      <alignment horizontal="center"/>
      <protection hidden="1"/>
    </xf>
    <xf numFmtId="0" fontId="11" fillId="12" borderId="50" xfId="4" applyFont="1" applyFill="1" applyBorder="1" applyAlignment="1" applyProtection="1">
      <alignment horizontal="left"/>
      <protection hidden="1"/>
    </xf>
    <xf numFmtId="164" fontId="11" fillId="12" borderId="26" xfId="4" applyNumberFormat="1" applyFont="1" applyFill="1" applyBorder="1" applyAlignment="1" applyProtection="1">
      <alignment horizontal="right" indent="2"/>
      <protection hidden="1"/>
    </xf>
    <xf numFmtId="1" fontId="11" fillId="13" borderId="44" xfId="4" applyNumberFormat="1" applyFont="1" applyFill="1" applyBorder="1" applyAlignment="1" applyProtection="1">
      <alignment horizontal="right" indent="2"/>
      <protection hidden="1"/>
    </xf>
    <xf numFmtId="164" fontId="11" fillId="13" borderId="45" xfId="4" applyNumberFormat="1" applyFont="1" applyFill="1" applyBorder="1" applyAlignment="1" applyProtection="1">
      <alignment horizontal="right" indent="2"/>
      <protection hidden="1"/>
    </xf>
    <xf numFmtId="164" fontId="11" fillId="12" borderId="46" xfId="4" applyNumberFormat="1" applyFont="1" applyFill="1" applyBorder="1" applyAlignment="1" applyProtection="1">
      <alignment horizontal="right" indent="2"/>
      <protection hidden="1"/>
    </xf>
    <xf numFmtId="0" fontId="5" fillId="0" borderId="42" xfId="4" applyBorder="1" applyAlignment="1" applyProtection="1">
      <alignment horizontal="left" vertical="top"/>
      <protection hidden="1"/>
    </xf>
    <xf numFmtId="0" fontId="5" fillId="0" borderId="51" xfId="4" applyBorder="1" applyAlignment="1" applyProtection="1">
      <alignment horizontal="center" vertical="top"/>
      <protection hidden="1"/>
    </xf>
    <xf numFmtId="0" fontId="5" fillId="0" borderId="43" xfId="4" applyBorder="1" applyAlignment="1" applyProtection="1">
      <alignment horizontal="left" vertical="top"/>
      <protection hidden="1"/>
    </xf>
    <xf numFmtId="164" fontId="5" fillId="0" borderId="52" xfId="4" applyNumberFormat="1" applyBorder="1" applyAlignment="1" applyProtection="1">
      <alignment horizontal="right" indent="2"/>
      <protection hidden="1"/>
    </xf>
    <xf numFmtId="169" fontId="5" fillId="0" borderId="42" xfId="5" applyNumberFormat="1" applyFont="1" applyBorder="1" applyAlignment="1" applyProtection="1">
      <alignment horizontal="right" indent="2"/>
      <protection hidden="1"/>
    </xf>
    <xf numFmtId="164" fontId="5" fillId="0" borderId="51" xfId="4" applyNumberFormat="1" applyBorder="1" applyAlignment="1" applyProtection="1">
      <alignment horizontal="right" indent="2"/>
      <protection hidden="1"/>
    </xf>
    <xf numFmtId="164" fontId="5" fillId="0" borderId="43" xfId="4" applyNumberFormat="1" applyBorder="1" applyAlignment="1" applyProtection="1">
      <alignment horizontal="right" indent="2"/>
      <protection hidden="1"/>
    </xf>
    <xf numFmtId="1" fontId="5" fillId="0" borderId="42" xfId="4" applyNumberFormat="1" applyBorder="1" applyAlignment="1" applyProtection="1">
      <alignment horizontal="right" indent="2"/>
      <protection hidden="1"/>
    </xf>
    <xf numFmtId="164" fontId="5" fillId="0" borderId="53" xfId="4" applyNumberFormat="1" applyBorder="1" applyAlignment="1" applyProtection="1">
      <alignment horizontal="right" indent="2"/>
      <protection hidden="1"/>
    </xf>
    <xf numFmtId="0" fontId="5" fillId="0" borderId="40" xfId="4" applyBorder="1" applyAlignment="1" applyProtection="1">
      <alignment horizontal="left" vertical="top"/>
      <protection hidden="1"/>
    </xf>
    <xf numFmtId="0" fontId="5" fillId="0" borderId="20" xfId="4" applyBorder="1" applyAlignment="1" applyProtection="1">
      <alignment horizontal="center" vertical="top"/>
      <protection hidden="1"/>
    </xf>
    <xf numFmtId="0" fontId="5" fillId="0" borderId="41" xfId="4" applyBorder="1" applyAlignment="1" applyProtection="1">
      <alignment horizontal="left" vertical="top"/>
      <protection hidden="1"/>
    </xf>
    <xf numFmtId="0" fontId="5" fillId="0" borderId="54" xfId="4" applyBorder="1" applyAlignment="1" applyProtection="1">
      <alignment horizontal="left" vertical="top"/>
      <protection hidden="1"/>
    </xf>
    <xf numFmtId="0" fontId="5" fillId="0" borderId="55" xfId="4" applyBorder="1" applyAlignment="1" applyProtection="1">
      <alignment horizontal="center" vertical="top"/>
      <protection hidden="1"/>
    </xf>
    <xf numFmtId="0" fontId="5" fillId="0" borderId="56" xfId="4" applyBorder="1" applyAlignment="1" applyProtection="1">
      <alignment horizontal="left" vertical="top"/>
      <protection hidden="1"/>
    </xf>
    <xf numFmtId="169" fontId="5" fillId="0" borderId="44" xfId="5" applyNumberFormat="1" applyFont="1" applyBorder="1" applyAlignment="1" applyProtection="1">
      <alignment horizontal="right" indent="2"/>
      <protection hidden="1"/>
    </xf>
    <xf numFmtId="164" fontId="5" fillId="0" borderId="45" xfId="4" applyNumberFormat="1" applyBorder="1" applyAlignment="1" applyProtection="1">
      <alignment horizontal="right" indent="2"/>
      <protection hidden="1"/>
    </xf>
    <xf numFmtId="164" fontId="5" fillId="0" borderId="46" xfId="4" applyNumberFormat="1" applyBorder="1" applyAlignment="1" applyProtection="1">
      <alignment horizontal="right" indent="2"/>
      <protection hidden="1"/>
    </xf>
    <xf numFmtId="1" fontId="5" fillId="0" borderId="44" xfId="4" applyNumberFormat="1" applyBorder="1" applyAlignment="1" applyProtection="1">
      <alignment horizontal="right" indent="2"/>
      <protection hidden="1"/>
    </xf>
    <xf numFmtId="164" fontId="5" fillId="0" borderId="28" xfId="4" applyNumberFormat="1" applyBorder="1" applyAlignment="1" applyProtection="1">
      <alignment horizontal="right" indent="2"/>
      <protection hidden="1"/>
    </xf>
    <xf numFmtId="0" fontId="26" fillId="0" borderId="0" xfId="0" applyFont="1"/>
    <xf numFmtId="0" fontId="6" fillId="0" borderId="0" xfId="0" applyFont="1"/>
    <xf numFmtId="165" fontId="27" fillId="0" borderId="0" xfId="0" applyNumberFormat="1" applyFont="1"/>
    <xf numFmtId="0" fontId="26" fillId="0" borderId="0" xfId="0" quotePrefix="1" applyFont="1"/>
    <xf numFmtId="0" fontId="28" fillId="0" borderId="0" xfId="0" applyFont="1"/>
    <xf numFmtId="167" fontId="0" fillId="0" borderId="0" xfId="1" applyNumberFormat="1" applyFont="1"/>
    <xf numFmtId="167" fontId="26" fillId="0" borderId="0" xfId="0" applyNumberFormat="1" applyFont="1"/>
    <xf numFmtId="6" fontId="0" fillId="0" borderId="0" xfId="0" applyNumberFormat="1"/>
    <xf numFmtId="170" fontId="26" fillId="0" borderId="0" xfId="0" applyNumberFormat="1" applyFont="1"/>
    <xf numFmtId="3" fontId="6" fillId="0" borderId="0" xfId="0" applyNumberFormat="1" applyFont="1"/>
    <xf numFmtId="167" fontId="6" fillId="0" borderId="0" xfId="0" applyNumberFormat="1" applyFont="1"/>
    <xf numFmtId="6" fontId="6" fillId="0" borderId="0" xfId="0" applyNumberFormat="1" applyFont="1"/>
    <xf numFmtId="0" fontId="3" fillId="0" borderId="0" xfId="0" applyFont="1" applyAlignment="1">
      <alignment horizontal="center" wrapText="1"/>
    </xf>
    <xf numFmtId="0" fontId="27" fillId="0" borderId="0" xfId="0" applyFont="1"/>
    <xf numFmtId="171" fontId="26" fillId="0" borderId="0" xfId="0" applyNumberFormat="1" applyFont="1"/>
    <xf numFmtId="0" fontId="5" fillId="0" borderId="0" xfId="0" applyFont="1" applyAlignment="1">
      <alignment horizontal="center"/>
    </xf>
    <xf numFmtId="0" fontId="0" fillId="0" borderId="0" xfId="0" applyAlignment="1">
      <alignment horizontal="center"/>
    </xf>
    <xf numFmtId="0" fontId="17" fillId="4" borderId="2" xfId="0" applyFont="1" applyFill="1" applyBorder="1" applyAlignment="1">
      <alignment horizontal="centerContinuous" vertical="center"/>
    </xf>
    <xf numFmtId="0" fontId="17" fillId="4" borderId="3" xfId="0" applyFont="1" applyFill="1" applyBorder="1" applyAlignment="1">
      <alignment horizontal="centerContinuous" vertical="center"/>
    </xf>
    <xf numFmtId="0" fontId="17" fillId="4" borderId="7" xfId="0" applyFont="1" applyFill="1" applyBorder="1" applyAlignment="1">
      <alignment horizontal="centerContinuous" vertical="center"/>
    </xf>
    <xf numFmtId="0" fontId="17" fillId="4" borderId="57" xfId="0" applyFont="1" applyFill="1" applyBorder="1" applyAlignment="1">
      <alignment horizontal="center" vertical="center" wrapText="1"/>
    </xf>
    <xf numFmtId="0" fontId="17" fillId="4" borderId="57" xfId="0" applyFont="1" applyFill="1" applyBorder="1" applyAlignment="1">
      <alignment horizontal="left" vertical="center" indent="2"/>
    </xf>
    <xf numFmtId="0" fontId="25" fillId="11" borderId="57" xfId="0" applyFont="1" applyFill="1" applyBorder="1" applyAlignment="1">
      <alignment horizontal="center" vertical="center" wrapText="1"/>
    </xf>
    <xf numFmtId="0" fontId="25" fillId="11" borderId="41" xfId="0" applyFont="1" applyFill="1" applyBorder="1" applyAlignment="1" applyProtection="1">
      <alignment horizontal="center" vertical="center" wrapText="1"/>
      <protection hidden="1"/>
    </xf>
    <xf numFmtId="0" fontId="22" fillId="11" borderId="21" xfId="0" applyFont="1" applyFill="1" applyBorder="1" applyAlignment="1">
      <alignment horizontal="center" vertical="center" wrapText="1"/>
    </xf>
    <xf numFmtId="0" fontId="22" fillId="11" borderId="23" xfId="0" applyFont="1" applyFill="1" applyBorder="1" applyAlignment="1">
      <alignment horizontal="center" vertical="center" wrapText="1"/>
    </xf>
    <xf numFmtId="0" fontId="25" fillId="11" borderId="23" xfId="0" applyFont="1" applyFill="1" applyBorder="1" applyAlignment="1">
      <alignment horizontal="center" vertical="center" wrapText="1"/>
    </xf>
    <xf numFmtId="0" fontId="25" fillId="11" borderId="32" xfId="0" applyFont="1" applyFill="1" applyBorder="1" applyAlignment="1">
      <alignment horizontal="center" vertical="center" wrapText="1"/>
    </xf>
    <xf numFmtId="0" fontId="22" fillId="11" borderId="32" xfId="0" applyFont="1" applyFill="1" applyBorder="1" applyAlignment="1">
      <alignment horizontal="center" vertical="center" wrapText="1"/>
    </xf>
    <xf numFmtId="0" fontId="22" fillId="11" borderId="20" xfId="0" quotePrefix="1" applyFont="1" applyFill="1" applyBorder="1" applyAlignment="1" applyProtection="1">
      <alignment horizontal="center" vertical="center" wrapText="1"/>
      <protection hidden="1"/>
    </xf>
    <xf numFmtId="0" fontId="25" fillId="11" borderId="59" xfId="0" quotePrefix="1" applyFont="1" applyFill="1" applyBorder="1" applyAlignment="1" applyProtection="1">
      <alignment horizontal="center" vertical="center" wrapText="1"/>
      <protection hidden="1"/>
    </xf>
    <xf numFmtId="0" fontId="22" fillId="11" borderId="25" xfId="0" applyFont="1" applyFill="1" applyBorder="1" applyAlignment="1">
      <alignment horizontal="center" vertical="center" wrapText="1"/>
    </xf>
    <xf numFmtId="0" fontId="25" fillId="11" borderId="25" xfId="0" applyFont="1" applyFill="1" applyBorder="1" applyAlignment="1">
      <alignment horizontal="center" vertical="center" wrapText="1"/>
    </xf>
    <xf numFmtId="0" fontId="25" fillId="11" borderId="60" xfId="0" applyFont="1" applyFill="1" applyBorder="1" applyAlignment="1">
      <alignment horizontal="center" vertical="center" wrapText="1"/>
    </xf>
    <xf numFmtId="0" fontId="21" fillId="0" borderId="0" xfId="0" applyFont="1" applyAlignment="1">
      <alignment horizontal="center" vertical="center" wrapText="1"/>
    </xf>
    <xf numFmtId="0" fontId="11" fillId="10" borderId="2" xfId="0" applyFont="1" applyFill="1" applyBorder="1" applyAlignment="1">
      <alignment horizontal="left" vertical="center" wrapText="1"/>
    </xf>
    <xf numFmtId="2" fontId="25" fillId="10" borderId="3" xfId="0" applyNumberFormat="1" applyFont="1" applyFill="1" applyBorder="1" applyAlignment="1">
      <alignment horizontal="center" vertical="center" wrapText="1"/>
    </xf>
    <xf numFmtId="0" fontId="11" fillId="10" borderId="7" xfId="0" applyFont="1" applyFill="1" applyBorder="1" applyAlignment="1">
      <alignment horizontal="center" vertical="center" wrapText="1"/>
    </xf>
    <xf numFmtId="0" fontId="25" fillId="15" borderId="61" xfId="0" applyFont="1" applyFill="1" applyBorder="1" applyAlignment="1">
      <alignment horizontal="center" vertical="center" wrapText="1"/>
    </xf>
    <xf numFmtId="170" fontId="5" fillId="0" borderId="57" xfId="5" applyNumberFormat="1" applyFont="1" applyBorder="1" applyAlignment="1">
      <alignment horizontal="center" wrapText="1"/>
    </xf>
    <xf numFmtId="170" fontId="25" fillId="15" borderId="61" xfId="5" applyNumberFormat="1" applyFont="1" applyFill="1" applyBorder="1" applyAlignment="1">
      <alignment horizontal="center" vertical="center" wrapText="1"/>
    </xf>
    <xf numFmtId="164" fontId="11" fillId="16" borderId="57" xfId="7" applyNumberFormat="1" applyFont="1" applyFill="1" applyBorder="1" applyAlignment="1">
      <alignment wrapText="1"/>
    </xf>
    <xf numFmtId="170" fontId="5" fillId="0" borderId="3" xfId="5" applyNumberFormat="1" applyFont="1" applyBorder="1" applyAlignment="1">
      <alignment horizontal="center" wrapText="1"/>
    </xf>
    <xf numFmtId="173" fontId="5" fillId="0" borderId="3" xfId="7" applyNumberFormat="1" applyFont="1" applyBorder="1" applyAlignment="1">
      <alignment wrapText="1"/>
    </xf>
    <xf numFmtId="170" fontId="5" fillId="0" borderId="2" xfId="5" applyNumberFormat="1" applyFont="1" applyBorder="1" applyAlignment="1">
      <alignment horizontal="center" wrapText="1"/>
    </xf>
    <xf numFmtId="164" fontId="5" fillId="16" borderId="57" xfId="7" applyNumberFormat="1" applyFont="1" applyFill="1" applyBorder="1" applyAlignment="1">
      <alignment wrapText="1"/>
    </xf>
    <xf numFmtId="166" fontId="5" fillId="0" borderId="57" xfId="0" applyNumberFormat="1" applyFont="1" applyBorder="1"/>
    <xf numFmtId="174" fontId="5" fillId="0" borderId="57" xfId="0" applyNumberFormat="1" applyFont="1" applyBorder="1"/>
    <xf numFmtId="164" fontId="11" fillId="17" borderId="57" xfId="0" applyNumberFormat="1" applyFont="1" applyFill="1" applyBorder="1"/>
    <xf numFmtId="164" fontId="11" fillId="0" borderId="57" xfId="7" applyNumberFormat="1" applyFont="1" applyBorder="1" applyAlignment="1">
      <alignment wrapText="1"/>
    </xf>
    <xf numFmtId="167" fontId="11" fillId="16" borderId="7" xfId="7" applyNumberFormat="1" applyFont="1" applyFill="1" applyBorder="1" applyAlignment="1">
      <alignment wrapText="1"/>
    </xf>
    <xf numFmtId="167" fontId="11" fillId="16" borderId="57" xfId="0" applyNumberFormat="1" applyFont="1" applyFill="1" applyBorder="1"/>
    <xf numFmtId="0" fontId="22" fillId="0" borderId="0" xfId="0" applyFont="1"/>
    <xf numFmtId="0" fontId="5" fillId="0" borderId="24" xfId="0" applyFont="1" applyBorder="1"/>
    <xf numFmtId="0" fontId="5" fillId="0" borderId="25" xfId="0" applyFont="1" applyBorder="1"/>
    <xf numFmtId="3" fontId="5" fillId="0" borderId="24" xfId="0" applyNumberFormat="1" applyFont="1" applyBorder="1"/>
    <xf numFmtId="164" fontId="5" fillId="0" borderId="0" xfId="0" applyNumberFormat="1" applyFont="1"/>
    <xf numFmtId="164" fontId="11" fillId="16" borderId="60" xfId="0" applyNumberFormat="1" applyFont="1" applyFill="1" applyBorder="1"/>
    <xf numFmtId="3" fontId="5" fillId="0" borderId="25" xfId="0" applyNumberFormat="1" applyFont="1" applyBorder="1"/>
    <xf numFmtId="3" fontId="5" fillId="0" borderId="21" xfId="0" applyNumberFormat="1" applyFont="1" applyBorder="1"/>
    <xf numFmtId="164" fontId="5" fillId="16" borderId="60" xfId="0" applyNumberFormat="1" applyFont="1" applyFill="1" applyBorder="1"/>
    <xf numFmtId="166" fontId="5" fillId="0" borderId="60" xfId="0" applyNumberFormat="1" applyFont="1" applyBorder="1"/>
    <xf numFmtId="174" fontId="5" fillId="0" borderId="60" xfId="0" applyNumberFormat="1" applyFont="1" applyBorder="1"/>
    <xf numFmtId="175" fontId="5" fillId="0" borderId="60" xfId="0" applyNumberFormat="1" applyFont="1" applyBorder="1"/>
    <xf numFmtId="175" fontId="5" fillId="0" borderId="60" xfId="0" quotePrefix="1" applyNumberFormat="1" applyFont="1" applyBorder="1"/>
    <xf numFmtId="3" fontId="5" fillId="0" borderId="0" xfId="0" applyNumberFormat="1" applyFont="1"/>
    <xf numFmtId="164" fontId="11" fillId="0" borderId="24" xfId="0" applyNumberFormat="1" applyFont="1" applyBorder="1"/>
    <xf numFmtId="164" fontId="11" fillId="16" borderId="24" xfId="0" applyNumberFormat="1" applyFont="1" applyFill="1" applyBorder="1"/>
    <xf numFmtId="167" fontId="11" fillId="16" borderId="60" xfId="1" applyNumberFormat="1" applyFont="1" applyFill="1" applyBorder="1"/>
    <xf numFmtId="166" fontId="5" fillId="0" borderId="25" xfId="0" applyNumberFormat="1" applyFont="1" applyBorder="1"/>
    <xf numFmtId="167" fontId="11" fillId="16" borderId="60" xfId="0" applyNumberFormat="1" applyFont="1" applyFill="1" applyBorder="1"/>
    <xf numFmtId="166" fontId="0" fillId="0" borderId="0" xfId="0" applyNumberFormat="1"/>
    <xf numFmtId="0" fontId="5" fillId="0" borderId="26" xfId="0" applyFont="1" applyBorder="1"/>
    <xf numFmtId="0" fontId="5" fillId="0" borderId="27" xfId="0" applyFont="1" applyBorder="1" applyAlignment="1">
      <alignment horizontal="center"/>
    </xf>
    <xf numFmtId="0" fontId="5" fillId="0" borderId="28" xfId="0" applyFont="1" applyBorder="1"/>
    <xf numFmtId="3" fontId="5" fillId="0" borderId="26" xfId="0" applyNumberFormat="1" applyFont="1" applyBorder="1"/>
    <xf numFmtId="164" fontId="11" fillId="16" borderId="58" xfId="0" applyNumberFormat="1" applyFont="1" applyFill="1" applyBorder="1"/>
    <xf numFmtId="3" fontId="5" fillId="0" borderId="28" xfId="0" applyNumberFormat="1" applyFont="1" applyBorder="1"/>
    <xf numFmtId="3" fontId="5" fillId="0" borderId="27" xfId="0" applyNumberFormat="1" applyFont="1" applyBorder="1"/>
    <xf numFmtId="164" fontId="5" fillId="16" borderId="58" xfId="0" applyNumberFormat="1" applyFont="1" applyFill="1" applyBorder="1"/>
    <xf numFmtId="166" fontId="5" fillId="0" borderId="58" xfId="0" applyNumberFormat="1" applyFont="1" applyBorder="1"/>
    <xf numFmtId="174" fontId="5" fillId="0" borderId="58" xfId="0" applyNumberFormat="1" applyFont="1" applyBorder="1"/>
    <xf numFmtId="164" fontId="11" fillId="0" borderId="26" xfId="0" applyNumberFormat="1" applyFont="1" applyBorder="1"/>
    <xf numFmtId="164" fontId="11" fillId="16" borderId="26" xfId="0" applyNumberFormat="1" applyFont="1" applyFill="1" applyBorder="1"/>
    <xf numFmtId="167" fontId="11" fillId="16" borderId="58" xfId="1" applyNumberFormat="1" applyFont="1" applyFill="1" applyBorder="1"/>
    <xf numFmtId="166" fontId="5" fillId="0" borderId="28" xfId="0" applyNumberFormat="1" applyFont="1" applyBorder="1"/>
    <xf numFmtId="167" fontId="11" fillId="16" borderId="58" xfId="0" applyNumberFormat="1" applyFont="1" applyFill="1" applyBorder="1"/>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164" fontId="0" fillId="0" borderId="0" xfId="0" applyNumberFormat="1" applyAlignment="1">
      <alignment horizontal="center" vertical="center"/>
    </xf>
    <xf numFmtId="0" fontId="11" fillId="18" borderId="32" xfId="0" applyFont="1" applyFill="1" applyBorder="1" applyAlignment="1">
      <alignment horizontal="center" vertical="center" wrapText="1"/>
    </xf>
    <xf numFmtId="166" fontId="17" fillId="19" borderId="62" xfId="3" applyNumberFormat="1" applyFont="1" applyFill="1" applyBorder="1" applyAlignment="1">
      <alignment horizontal="center" vertical="center"/>
    </xf>
    <xf numFmtId="0" fontId="22" fillId="20" borderId="57" xfId="0" applyFont="1" applyFill="1" applyBorder="1" applyAlignment="1">
      <alignment horizontal="center" vertical="center" wrapText="1"/>
    </xf>
    <xf numFmtId="0" fontId="5" fillId="10" borderId="32" xfId="0" applyFont="1" applyFill="1" applyBorder="1" applyAlignment="1">
      <alignment horizontal="center" vertical="center" wrapText="1"/>
    </xf>
    <xf numFmtId="166" fontId="14" fillId="21" borderId="57" xfId="3" applyNumberFormat="1" applyFont="1" applyFill="1" applyBorder="1" applyAlignment="1">
      <alignment horizontal="center" vertical="center"/>
    </xf>
    <xf numFmtId="2" fontId="5" fillId="10" borderId="57" xfId="0" applyNumberFormat="1" applyFont="1" applyFill="1" applyBorder="1" applyAlignment="1">
      <alignment horizontal="center" vertical="center" wrapText="1"/>
    </xf>
    <xf numFmtId="1" fontId="14" fillId="21" borderId="63" xfId="3" applyNumberFormat="1" applyFont="1" applyFill="1" applyBorder="1" applyAlignment="1">
      <alignment horizontal="center" vertical="center"/>
    </xf>
    <xf numFmtId="0" fontId="2" fillId="0" borderId="0" xfId="0" applyFont="1" applyAlignment="1">
      <alignment horizontal="center" vertical="center"/>
    </xf>
    <xf numFmtId="0" fontId="29" fillId="0" borderId="0" xfId="2" applyFont="1" applyAlignment="1">
      <alignment horizontal="center" vertical="center"/>
    </xf>
    <xf numFmtId="164" fontId="4" fillId="0" borderId="0" xfId="0" applyNumberFormat="1" applyFont="1" applyAlignment="1">
      <alignment horizontal="center" vertical="center"/>
    </xf>
    <xf numFmtId="0" fontId="30" fillId="20" borderId="64" xfId="2" applyFont="1" applyFill="1" applyBorder="1" applyAlignment="1">
      <alignment horizontal="center" vertical="center" wrapText="1"/>
    </xf>
    <xf numFmtId="166" fontId="14" fillId="21" borderId="65" xfId="3" applyNumberFormat="1" applyFont="1" applyFill="1" applyBorder="1" applyAlignment="1">
      <alignment horizontal="right" vertical="center" indent="4"/>
    </xf>
    <xf numFmtId="0" fontId="30" fillId="20" borderId="40" xfId="2" applyFont="1" applyFill="1" applyBorder="1" applyAlignment="1">
      <alignment horizontal="center" vertical="center" wrapText="1"/>
    </xf>
    <xf numFmtId="166" fontId="14" fillId="21" borderId="66" xfId="3" applyNumberFormat="1" applyFont="1" applyFill="1" applyBorder="1" applyAlignment="1">
      <alignment horizontal="right" vertical="center" indent="4"/>
    </xf>
    <xf numFmtId="167" fontId="0" fillId="0" borderId="0" xfId="0" applyNumberFormat="1"/>
    <xf numFmtId="0" fontId="9" fillId="20" borderId="40" xfId="2" applyFill="1" applyBorder="1" applyAlignment="1">
      <alignment horizontal="center" vertical="center" wrapText="1"/>
    </xf>
    <xf numFmtId="166" fontId="17" fillId="21" borderId="66" xfId="3" applyNumberFormat="1" applyFont="1" applyFill="1" applyBorder="1" applyAlignment="1">
      <alignment horizontal="right" vertical="center" indent="4"/>
    </xf>
    <xf numFmtId="166" fontId="31" fillId="21" borderId="66" xfId="3" applyNumberFormat="1" applyFont="1" applyFill="1" applyBorder="1" applyAlignment="1">
      <alignment horizontal="right" vertical="center" indent="4"/>
    </xf>
    <xf numFmtId="166" fontId="17" fillId="21" borderId="32" xfId="3" applyNumberFormat="1" applyFont="1" applyFill="1" applyBorder="1" applyAlignment="1">
      <alignment horizontal="right" vertical="center" indent="4"/>
    </xf>
    <xf numFmtId="166" fontId="2" fillId="0" borderId="0" xfId="0" applyNumberFormat="1" applyFont="1" applyAlignment="1">
      <alignment horizontal="center" vertical="center"/>
    </xf>
    <xf numFmtId="166" fontId="17" fillId="21" borderId="57" xfId="3" applyNumberFormat="1" applyFont="1" applyFill="1" applyBorder="1" applyAlignment="1">
      <alignment horizontal="right" vertical="center" indent="4"/>
    </xf>
    <xf numFmtId="0" fontId="0" fillId="22" borderId="0" xfId="0" applyFill="1"/>
    <xf numFmtId="164" fontId="0" fillId="22" borderId="0" xfId="0" applyNumberFormat="1" applyFill="1"/>
    <xf numFmtId="164" fontId="22" fillId="20" borderId="57" xfId="0" applyNumberFormat="1" applyFont="1" applyFill="1" applyBorder="1" applyAlignment="1">
      <alignment horizontal="center" vertical="center" wrapText="1"/>
    </xf>
    <xf numFmtId="1" fontId="14" fillId="21" borderId="57" xfId="3" applyNumberFormat="1" applyFont="1" applyFill="1" applyBorder="1" applyAlignment="1">
      <alignment horizontal="center" vertical="center"/>
    </xf>
    <xf numFmtId="164" fontId="17" fillId="21" borderId="57" xfId="3" applyNumberFormat="1" applyFont="1" applyFill="1" applyBorder="1" applyAlignment="1">
      <alignment horizontal="right" vertical="center" indent="9"/>
    </xf>
    <xf numFmtId="0" fontId="22" fillId="20" borderId="32" xfId="0" applyFont="1" applyFill="1" applyBorder="1" applyAlignment="1">
      <alignment horizontal="center" vertical="center" wrapText="1"/>
    </xf>
    <xf numFmtId="0" fontId="3" fillId="0" borderId="0" xfId="0" applyFont="1"/>
    <xf numFmtId="164" fontId="14" fillId="21" borderId="57" xfId="3" applyNumberFormat="1" applyFont="1" applyFill="1" applyBorder="1" applyAlignment="1">
      <alignment horizontal="right" vertical="center" indent="9"/>
    </xf>
    <xf numFmtId="164" fontId="14" fillId="21" borderId="32" xfId="3" applyNumberFormat="1" applyFont="1" applyFill="1" applyBorder="1" applyAlignment="1">
      <alignment horizontal="right" vertical="center" indent="9"/>
    </xf>
    <xf numFmtId="176" fontId="14" fillId="21" borderId="57" xfId="3" applyNumberFormat="1" applyFont="1" applyFill="1" applyBorder="1" applyAlignment="1">
      <alignment horizontal="center" vertical="center"/>
    </xf>
    <xf numFmtId="0" fontId="25" fillId="20" borderId="57" xfId="0" applyFont="1" applyFill="1" applyBorder="1" applyAlignment="1">
      <alignment horizontal="center" vertical="center" wrapText="1"/>
    </xf>
    <xf numFmtId="164" fontId="17" fillId="21" borderId="58" xfId="3" applyNumberFormat="1" applyFont="1" applyFill="1" applyBorder="1" applyAlignment="1">
      <alignment horizontal="right" vertical="center" indent="9"/>
    </xf>
    <xf numFmtId="9" fontId="14" fillId="21" borderId="57" xfId="3" applyNumberFormat="1" applyFont="1" applyFill="1" applyBorder="1" applyAlignment="1">
      <alignment horizontal="center" vertical="center"/>
    </xf>
    <xf numFmtId="166" fontId="14" fillId="21" borderId="57" xfId="3" applyNumberFormat="1" applyFont="1" applyFill="1" applyBorder="1" applyAlignment="1">
      <alignment horizontal="right" vertical="center" indent="8"/>
    </xf>
    <xf numFmtId="0" fontId="22" fillId="20" borderId="21" xfId="0" applyFont="1" applyFill="1" applyBorder="1" applyAlignment="1">
      <alignment horizontal="center" vertical="center" wrapText="1"/>
    </xf>
    <xf numFmtId="0" fontId="2" fillId="20" borderId="22" xfId="0" applyFont="1" applyFill="1" applyBorder="1" applyAlignment="1">
      <alignment horizontal="center"/>
    </xf>
    <xf numFmtId="0" fontId="22" fillId="20" borderId="22" xfId="0" applyFont="1" applyFill="1" applyBorder="1" applyAlignment="1">
      <alignment horizontal="center" vertical="center" wrapText="1"/>
    </xf>
    <xf numFmtId="0" fontId="2" fillId="20" borderId="22" xfId="0" quotePrefix="1" applyFont="1" applyFill="1" applyBorder="1" applyAlignment="1">
      <alignment horizontal="center" vertical="center"/>
    </xf>
    <xf numFmtId="0" fontId="2" fillId="20" borderId="0" xfId="0" quotePrefix="1" applyFont="1" applyFill="1" applyAlignment="1">
      <alignment horizontal="center" vertical="center"/>
    </xf>
    <xf numFmtId="0" fontId="22" fillId="20" borderId="26" xfId="0" applyFont="1" applyFill="1" applyBorder="1" applyAlignment="1">
      <alignment horizontal="centerContinuous"/>
    </xf>
    <xf numFmtId="0" fontId="2" fillId="20" borderId="27" xfId="0" applyFont="1" applyFill="1" applyBorder="1" applyAlignment="1">
      <alignment horizontal="centerContinuous"/>
    </xf>
    <xf numFmtId="0" fontId="4" fillId="20" borderId="27" xfId="0" applyFont="1" applyFill="1" applyBorder="1" applyAlignment="1">
      <alignment horizontal="centerContinuous" vertical="center"/>
    </xf>
    <xf numFmtId="0" fontId="2" fillId="20" borderId="27" xfId="0" applyFont="1" applyFill="1" applyBorder="1" applyAlignment="1">
      <alignment horizontal="center" vertical="center"/>
    </xf>
    <xf numFmtId="168" fontId="0" fillId="0" borderId="0" xfId="5" applyFont="1" applyAlignment="1">
      <alignment horizontal="center" vertical="center"/>
    </xf>
    <xf numFmtId="0" fontId="35" fillId="0" borderId="0" xfId="0" applyFont="1" applyAlignment="1">
      <alignment horizontal="center" vertical="center"/>
    </xf>
    <xf numFmtId="0" fontId="35" fillId="0" borderId="0" xfId="0" applyFont="1"/>
    <xf numFmtId="0" fontId="36" fillId="20" borderId="21" xfId="0" applyFont="1" applyFill="1" applyBorder="1" applyAlignment="1">
      <alignment horizontal="center" vertical="center" wrapText="1"/>
    </xf>
    <xf numFmtId="0" fontId="37" fillId="20" borderId="22" xfId="0" applyFont="1" applyFill="1" applyBorder="1" applyAlignment="1">
      <alignment horizontal="center"/>
    </xf>
    <xf numFmtId="0" fontId="36" fillId="20" borderId="22" xfId="0" applyFont="1" applyFill="1" applyBorder="1" applyAlignment="1">
      <alignment horizontal="center" vertical="center" wrapText="1"/>
    </xf>
    <xf numFmtId="0" fontId="37" fillId="20" borderId="22" xfId="0" quotePrefix="1" applyFont="1" applyFill="1" applyBorder="1" applyAlignment="1">
      <alignment horizontal="center" vertical="center"/>
    </xf>
    <xf numFmtId="0" fontId="37" fillId="20" borderId="0" xfId="0" quotePrefix="1" applyFont="1" applyFill="1" applyAlignment="1">
      <alignment horizontal="center" vertical="center"/>
    </xf>
    <xf numFmtId="0" fontId="36" fillId="20" borderId="26" xfId="0" applyFont="1" applyFill="1" applyBorder="1" applyAlignment="1">
      <alignment horizontal="centerContinuous"/>
    </xf>
    <xf numFmtId="0" fontId="37" fillId="20" borderId="27" xfId="0" applyFont="1" applyFill="1" applyBorder="1" applyAlignment="1">
      <alignment horizontal="centerContinuous"/>
    </xf>
    <xf numFmtId="0" fontId="40" fillId="20" borderId="27" xfId="0" applyFont="1" applyFill="1" applyBorder="1" applyAlignment="1">
      <alignment horizontal="centerContinuous" vertical="center"/>
    </xf>
    <xf numFmtId="0" fontId="37" fillId="20" borderId="27" xfId="0" applyFont="1" applyFill="1" applyBorder="1" applyAlignment="1">
      <alignment horizontal="center" vertical="center"/>
    </xf>
    <xf numFmtId="0" fontId="41" fillId="0" borderId="0" xfId="0" applyFont="1" applyAlignment="1">
      <alignment horizontal="center" vertical="center"/>
    </xf>
    <xf numFmtId="164" fontId="35" fillId="0" borderId="0" xfId="0" applyNumberFormat="1" applyFont="1" applyAlignment="1">
      <alignment horizontal="center" vertical="center"/>
    </xf>
    <xf numFmtId="176" fontId="31" fillId="21" borderId="57" xfId="3" applyNumberFormat="1" applyFont="1" applyFill="1" applyBorder="1" applyAlignment="1">
      <alignment horizontal="center" vertical="center"/>
    </xf>
    <xf numFmtId="168" fontId="35" fillId="0" borderId="0" xfId="5" applyFont="1" applyAlignment="1">
      <alignment horizontal="center" vertical="center"/>
    </xf>
    <xf numFmtId="0" fontId="33" fillId="0" borderId="0" xfId="0" applyFont="1" applyAlignment="1">
      <alignment horizontal="center"/>
    </xf>
    <xf numFmtId="0" fontId="3" fillId="0" borderId="0" xfId="0" applyFont="1" applyAlignment="1">
      <alignment horizontal="center"/>
    </xf>
    <xf numFmtId="166" fontId="17" fillId="21" borderId="57" xfId="3" applyNumberFormat="1" applyFont="1" applyFill="1" applyBorder="1" applyAlignment="1">
      <alignment horizontal="center" vertical="center"/>
    </xf>
    <xf numFmtId="0" fontId="23" fillId="0" borderId="0" xfId="0" quotePrefix="1" applyFont="1" applyAlignment="1">
      <alignment horizontal="center" vertical="center" wrapText="1"/>
    </xf>
    <xf numFmtId="0" fontId="3" fillId="0" borderId="25" xfId="0" quotePrefix="1" applyFont="1" applyBorder="1" applyAlignment="1">
      <alignment horizontal="center" vertical="center"/>
    </xf>
    <xf numFmtId="164" fontId="33" fillId="0" borderId="0" xfId="0" applyNumberFormat="1" applyFont="1" applyAlignment="1">
      <alignment horizontal="center"/>
    </xf>
    <xf numFmtId="175" fontId="17" fillId="21" borderId="57" xfId="3" applyNumberFormat="1" applyFont="1" applyFill="1" applyBorder="1" applyAlignment="1">
      <alignment horizontal="center" vertical="center"/>
    </xf>
    <xf numFmtId="0" fontId="22" fillId="20" borderId="57" xfId="0" quotePrefix="1" applyFont="1" applyFill="1" applyBorder="1" applyAlignment="1">
      <alignment horizontal="center" vertical="center" wrapText="1"/>
    </xf>
    <xf numFmtId="3" fontId="14" fillId="21" borderId="57" xfId="3" applyNumberFormat="1" applyFont="1" applyFill="1" applyBorder="1" applyAlignment="1">
      <alignment horizontal="center" vertical="center"/>
    </xf>
    <xf numFmtId="0" fontId="45" fillId="0" borderId="0" xfId="0" quotePrefix="1" applyFont="1" applyAlignment="1">
      <alignment horizontal="center" vertical="center" textRotation="180"/>
    </xf>
    <xf numFmtId="6" fontId="17" fillId="21" borderId="57" xfId="3" applyNumberFormat="1" applyFont="1" applyFill="1" applyBorder="1" applyAlignment="1">
      <alignment horizontal="center" vertical="center"/>
    </xf>
    <xf numFmtId="0" fontId="25" fillId="20" borderId="57" xfId="0" quotePrefix="1" applyFont="1" applyFill="1" applyBorder="1" applyAlignment="1">
      <alignment horizontal="center" vertical="center" wrapText="1"/>
    </xf>
    <xf numFmtId="170" fontId="0" fillId="0" borderId="0" xfId="5" applyNumberFormat="1" applyFont="1" applyAlignment="1">
      <alignment horizontal="center" vertical="center"/>
    </xf>
    <xf numFmtId="0" fontId="3" fillId="0" borderId="0" xfId="0" applyFont="1" applyAlignment="1">
      <alignment horizontal="right"/>
    </xf>
    <xf numFmtId="174" fontId="17" fillId="21" borderId="57" xfId="3" applyNumberFormat="1" applyFont="1" applyFill="1" applyBorder="1" applyAlignment="1">
      <alignment horizontal="center" vertical="center"/>
    </xf>
    <xf numFmtId="0" fontId="0" fillId="0" borderId="0" xfId="0" applyAlignment="1">
      <alignment horizontal="center" vertical="center" textRotation="180"/>
    </xf>
    <xf numFmtId="0" fontId="46" fillId="0" borderId="0" xfId="0" applyFont="1" applyAlignment="1">
      <alignment vertical="center"/>
    </xf>
    <xf numFmtId="0" fontId="17" fillId="4" borderId="2" xfId="0" applyFont="1" applyFill="1" applyBorder="1" applyAlignment="1">
      <alignment vertical="center"/>
    </xf>
    <xf numFmtId="0" fontId="17" fillId="4" borderId="3" xfId="0" applyFont="1" applyFill="1" applyBorder="1" applyAlignment="1">
      <alignment vertical="center"/>
    </xf>
    <xf numFmtId="0" fontId="17" fillId="4" borderId="7" xfId="0" applyFont="1" applyFill="1" applyBorder="1" applyAlignment="1">
      <alignment vertical="center"/>
    </xf>
    <xf numFmtId="2" fontId="11" fillId="10" borderId="3" xfId="0" applyNumberFormat="1" applyFont="1" applyFill="1" applyBorder="1" applyAlignment="1">
      <alignment horizontal="center" vertical="center" wrapText="1"/>
    </xf>
    <xf numFmtId="164" fontId="47" fillId="16" borderId="57" xfId="7" applyNumberFormat="1" applyFont="1" applyFill="1" applyBorder="1" applyAlignment="1">
      <alignment wrapText="1"/>
    </xf>
    <xf numFmtId="164" fontId="48" fillId="0" borderId="2" xfId="5" applyNumberFormat="1" applyFont="1" applyBorder="1" applyAlignment="1">
      <alignment horizontal="right" wrapText="1"/>
    </xf>
    <xf numFmtId="164" fontId="47" fillId="16" borderId="60" xfId="0" applyNumberFormat="1" applyFont="1" applyFill="1" applyBorder="1"/>
    <xf numFmtId="164" fontId="48" fillId="0" borderId="32" xfId="0" applyNumberFormat="1" applyFont="1" applyBorder="1"/>
    <xf numFmtId="3" fontId="0" fillId="0" borderId="0" xfId="0" applyNumberFormat="1"/>
    <xf numFmtId="164" fontId="48" fillId="0" borderId="60" xfId="0" applyNumberFormat="1" applyFont="1" applyBorder="1"/>
    <xf numFmtId="0" fontId="5" fillId="0" borderId="27" xfId="0" applyFont="1" applyBorder="1"/>
    <xf numFmtId="164" fontId="47" fillId="16" borderId="58" xfId="0" applyNumberFormat="1" applyFont="1" applyFill="1" applyBorder="1"/>
    <xf numFmtId="164" fontId="48" fillId="0" borderId="58" xfId="0" applyNumberFormat="1" applyFont="1" applyBorder="1"/>
    <xf numFmtId="164" fontId="27" fillId="0" borderId="0" xfId="0" applyNumberFormat="1" applyFont="1"/>
    <xf numFmtId="164" fontId="26" fillId="0" borderId="0" xfId="0" applyNumberFormat="1" applyFont="1"/>
    <xf numFmtId="0" fontId="11" fillId="0" borderId="0" xfId="0" applyFont="1"/>
    <xf numFmtId="0" fontId="22" fillId="14" borderId="2" xfId="0" applyFont="1" applyFill="1" applyBorder="1" applyAlignment="1">
      <alignment horizontal="center" vertical="center" wrapText="1"/>
    </xf>
    <xf numFmtId="0" fontId="22" fillId="14" borderId="7" xfId="0" applyFont="1" applyFill="1" applyBorder="1" applyAlignment="1">
      <alignment horizontal="center" vertical="center" wrapText="1"/>
    </xf>
    <xf numFmtId="0" fontId="25" fillId="14" borderId="57" xfId="0" applyFont="1" applyFill="1" applyBorder="1" applyAlignment="1">
      <alignment horizontal="center" vertical="center" wrapText="1"/>
    </xf>
    <xf numFmtId="0" fontId="22" fillId="14" borderId="3" xfId="0" quotePrefix="1" applyFont="1" applyFill="1" applyBorder="1" applyAlignment="1">
      <alignment horizontal="center" vertical="center" wrapText="1"/>
    </xf>
    <xf numFmtId="0" fontId="25" fillId="14" borderId="23" xfId="0" applyFont="1" applyFill="1" applyBorder="1" applyAlignment="1">
      <alignment horizontal="center" vertical="center" wrapText="1"/>
    </xf>
    <xf numFmtId="0" fontId="25" fillId="15" borderId="32" xfId="0" applyFont="1" applyFill="1" applyBorder="1" applyAlignment="1">
      <alignment horizontal="center" vertical="center" wrapText="1"/>
    </xf>
    <xf numFmtId="170" fontId="48" fillId="0" borderId="2" xfId="5" applyNumberFormat="1" applyFont="1" applyBorder="1" applyAlignment="1">
      <alignment horizontal="center" wrapText="1"/>
    </xf>
    <xf numFmtId="170" fontId="47" fillId="15" borderId="35" xfId="5" applyNumberFormat="1" applyFont="1" applyFill="1" applyBorder="1" applyAlignment="1">
      <alignment horizontal="center" vertical="center" wrapText="1"/>
    </xf>
    <xf numFmtId="170" fontId="48" fillId="0" borderId="3" xfId="5" applyNumberFormat="1" applyFont="1" applyBorder="1" applyAlignment="1">
      <alignment horizontal="center" wrapText="1"/>
    </xf>
    <xf numFmtId="3" fontId="48" fillId="0" borderId="24" xfId="0" applyNumberFormat="1" applyFont="1" applyBorder="1"/>
    <xf numFmtId="164" fontId="48" fillId="0" borderId="0" xfId="0" applyNumberFormat="1" applyFont="1"/>
    <xf numFmtId="3" fontId="48" fillId="0" borderId="0" xfId="0" applyNumberFormat="1" applyFont="1"/>
    <xf numFmtId="3" fontId="48" fillId="0" borderId="25" xfId="0" applyNumberFormat="1" applyFont="1" applyBorder="1"/>
    <xf numFmtId="165" fontId="47" fillId="16" borderId="60" xfId="0" applyNumberFormat="1" applyFont="1" applyFill="1" applyBorder="1"/>
    <xf numFmtId="3" fontId="48" fillId="0" borderId="26" xfId="0" applyNumberFormat="1" applyFont="1" applyBorder="1"/>
    <xf numFmtId="164" fontId="48" fillId="0" borderId="28" xfId="0" applyNumberFormat="1" applyFont="1" applyBorder="1"/>
    <xf numFmtId="3" fontId="48" fillId="0" borderId="27" xfId="0" applyNumberFormat="1" applyFont="1" applyBorder="1"/>
    <xf numFmtId="3" fontId="48" fillId="0" borderId="28" xfId="0" applyNumberFormat="1" applyFont="1" applyBorder="1"/>
    <xf numFmtId="0" fontId="17" fillId="0" borderId="0" xfId="0" applyFont="1" applyAlignment="1">
      <alignment horizontal="center" vertical="center"/>
    </xf>
    <xf numFmtId="0" fontId="17" fillId="4" borderId="57" xfId="0" applyFont="1" applyFill="1" applyBorder="1" applyAlignment="1">
      <alignment vertical="center"/>
    </xf>
    <xf numFmtId="0" fontId="17" fillId="4" borderId="57" xfId="0" applyFont="1" applyFill="1" applyBorder="1" applyAlignment="1">
      <alignment horizontal="distributed" vertical="center"/>
    </xf>
    <xf numFmtId="0" fontId="17" fillId="4" borderId="7" xfId="0" applyFont="1" applyFill="1" applyBorder="1" applyAlignment="1">
      <alignment horizontal="distributed" vertical="center"/>
    </xf>
    <xf numFmtId="0" fontId="5" fillId="0" borderId="0" xfId="0" applyFont="1" applyAlignment="1">
      <alignment vertical="center" wrapText="1"/>
    </xf>
    <xf numFmtId="0" fontId="5" fillId="0" borderId="0" xfId="0" applyFont="1" applyAlignment="1">
      <alignment wrapText="1"/>
    </xf>
    <xf numFmtId="170" fontId="5" fillId="0" borderId="26" xfId="5" applyNumberFormat="1" applyFont="1" applyBorder="1" applyAlignment="1">
      <alignment horizontal="center" wrapText="1"/>
    </xf>
    <xf numFmtId="170" fontId="5" fillId="0" borderId="27" xfId="5" applyNumberFormat="1" applyFont="1" applyBorder="1" applyAlignment="1">
      <alignment horizontal="center" wrapText="1"/>
    </xf>
    <xf numFmtId="170" fontId="5" fillId="0" borderId="28" xfId="5" applyNumberFormat="1" applyFont="1" applyBorder="1" applyAlignment="1">
      <alignment horizontal="center" wrapText="1"/>
    </xf>
    <xf numFmtId="3" fontId="11" fillId="16" borderId="57" xfId="7" applyNumberFormat="1" applyFont="1" applyFill="1" applyBorder="1" applyAlignment="1">
      <alignment wrapText="1"/>
    </xf>
    <xf numFmtId="170" fontId="20" fillId="0" borderId="26" xfId="5" applyNumberFormat="1" applyFont="1" applyBorder="1" applyAlignment="1">
      <alignment horizontal="center" wrapText="1"/>
    </xf>
    <xf numFmtId="170" fontId="20" fillId="0" borderId="3" xfId="5" applyNumberFormat="1" applyFont="1" applyBorder="1" applyAlignment="1">
      <alignment horizontal="center" wrapText="1"/>
    </xf>
    <xf numFmtId="170" fontId="20" fillId="0" borderId="7" xfId="5" applyNumberFormat="1" applyFont="1" applyBorder="1" applyAlignment="1">
      <alignment horizontal="center" wrapText="1"/>
    </xf>
    <xf numFmtId="3" fontId="11" fillId="16" borderId="60" xfId="0" applyNumberFormat="1" applyFont="1" applyFill="1" applyBorder="1"/>
    <xf numFmtId="3" fontId="11" fillId="16" borderId="58" xfId="0" applyNumberFormat="1" applyFont="1" applyFill="1" applyBorder="1"/>
    <xf numFmtId="3" fontId="5" fillId="0" borderId="58" xfId="0" applyNumberFormat="1" applyFont="1" applyBorder="1"/>
    <xf numFmtId="177" fontId="17" fillId="21" borderId="57" xfId="3" applyNumberFormat="1" applyFont="1" applyFill="1" applyBorder="1" applyAlignment="1">
      <alignment horizontal="center" vertical="center"/>
    </xf>
    <xf numFmtId="0" fontId="5" fillId="23" borderId="0" xfId="0" applyFont="1" applyFill="1"/>
    <xf numFmtId="0" fontId="6" fillId="23" borderId="0" xfId="0" applyFont="1" applyFill="1" applyAlignment="1">
      <alignment horizontal="left" vertical="center"/>
    </xf>
    <xf numFmtId="0" fontId="5" fillId="23" borderId="0" xfId="0" applyFont="1" applyFill="1" applyAlignment="1">
      <alignment vertical="top"/>
    </xf>
    <xf numFmtId="0" fontId="7" fillId="23" borderId="0" xfId="0" applyFont="1" applyFill="1" applyAlignment="1">
      <alignment vertical="top"/>
    </xf>
    <xf numFmtId="0" fontId="5" fillId="23" borderId="0" xfId="0" applyFont="1" applyFill="1" applyAlignment="1">
      <alignment vertical="top" wrapText="1"/>
    </xf>
    <xf numFmtId="0" fontId="8" fillId="23" borderId="0" xfId="0" applyFont="1" applyFill="1" applyAlignment="1">
      <alignment horizontal="right" vertical="top"/>
    </xf>
    <xf numFmtId="0" fontId="10" fillId="23" borderId="0" xfId="2" applyFont="1" applyFill="1"/>
    <xf numFmtId="0" fontId="5" fillId="23" borderId="0" xfId="0" applyFont="1" applyFill="1" applyAlignment="1">
      <alignment horizontal="left" vertical="top"/>
    </xf>
    <xf numFmtId="0" fontId="5" fillId="23" borderId="0" xfId="0" quotePrefix="1" applyFont="1" applyFill="1" applyAlignment="1">
      <alignment vertical="top"/>
    </xf>
    <xf numFmtId="0" fontId="7" fillId="23" borderId="0" xfId="0" applyFont="1" applyFill="1"/>
    <xf numFmtId="0" fontId="11" fillId="23" borderId="0" xfId="0" applyFont="1" applyFill="1" applyAlignment="1">
      <alignment vertical="top"/>
    </xf>
    <xf numFmtId="0" fontId="11" fillId="23" borderId="0" xfId="0" applyFont="1" applyFill="1" applyAlignment="1">
      <alignment vertical="top" wrapText="1"/>
    </xf>
    <xf numFmtId="0" fontId="12" fillId="23" borderId="0" xfId="0" applyFont="1" applyFill="1" applyAlignment="1">
      <alignment vertical="top"/>
    </xf>
    <xf numFmtId="0" fontId="0" fillId="23" borderId="0" xfId="0" applyFill="1"/>
    <xf numFmtId="0" fontId="17" fillId="8" borderId="2" xfId="3" applyFont="1" applyFill="1" applyBorder="1" applyAlignment="1">
      <alignment horizontal="center" vertical="center" wrapText="1"/>
    </xf>
    <xf numFmtId="0" fontId="5" fillId="23" borderId="0" xfId="0" applyFont="1" applyFill="1" applyAlignment="1">
      <alignment horizontal="left"/>
    </xf>
    <xf numFmtId="0" fontId="22" fillId="11" borderId="57" xfId="0" applyFont="1" applyFill="1" applyBorder="1" applyAlignment="1">
      <alignment horizontal="center" vertical="center" wrapText="1"/>
    </xf>
    <xf numFmtId="0" fontId="11" fillId="23" borderId="0" xfId="0" applyFont="1" applyFill="1"/>
    <xf numFmtId="170" fontId="0" fillId="0" borderId="0" xfId="0" applyNumberFormat="1"/>
    <xf numFmtId="0" fontId="49" fillId="0" borderId="0" xfId="0" applyFont="1"/>
    <xf numFmtId="0" fontId="20" fillId="0" borderId="0" xfId="0" applyFont="1" applyAlignment="1">
      <alignment horizontal="center"/>
    </xf>
    <xf numFmtId="0" fontId="21"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wrapText="1"/>
    </xf>
    <xf numFmtId="0" fontId="21" fillId="4" borderId="2" xfId="0" applyFont="1" applyFill="1" applyBorder="1" applyAlignment="1">
      <alignment horizontal="center" vertical="center" wrapText="1"/>
    </xf>
    <xf numFmtId="0" fontId="24" fillId="0" borderId="0" xfId="0" applyFont="1" applyAlignment="1">
      <alignment horizontal="left" vertical="center"/>
    </xf>
    <xf numFmtId="0" fontId="20" fillId="23" borderId="0" xfId="0" quotePrefix="1" applyFont="1" applyFill="1" applyAlignment="1">
      <alignment vertical="top"/>
    </xf>
    <xf numFmtId="0" fontId="20" fillId="23" borderId="0" xfId="0" applyFont="1" applyFill="1" applyAlignment="1">
      <alignment vertical="top"/>
    </xf>
    <xf numFmtId="0" fontId="14" fillId="0" borderId="0" xfId="3" quotePrefix="1" applyFont="1" applyAlignment="1">
      <alignment vertical="center"/>
    </xf>
    <xf numFmtId="0" fontId="17" fillId="0" borderId="0" xfId="3" applyFont="1" applyAlignment="1">
      <alignment horizontal="center" vertical="center"/>
    </xf>
    <xf numFmtId="0" fontId="14" fillId="2" borderId="1" xfId="3" applyFont="1" applyFill="1" applyBorder="1" applyAlignment="1">
      <alignment horizontal="center" vertical="center"/>
    </xf>
    <xf numFmtId="0" fontId="14" fillId="3" borderId="1" xfId="3" applyFont="1" applyFill="1" applyBorder="1" applyAlignment="1">
      <alignment horizontal="center" vertical="center"/>
    </xf>
    <xf numFmtId="0" fontId="14" fillId="4" borderId="1" xfId="3" applyFont="1" applyFill="1" applyBorder="1" applyAlignment="1">
      <alignment horizontal="center" vertical="center"/>
    </xf>
    <xf numFmtId="0" fontId="17" fillId="8" borderId="2" xfId="3" applyFont="1" applyFill="1" applyBorder="1" applyAlignment="1">
      <alignment horizontal="centerContinuous" vertical="center" wrapText="1"/>
    </xf>
    <xf numFmtId="164" fontId="5" fillId="0" borderId="28" xfId="0" applyNumberFormat="1" applyFont="1" applyBorder="1"/>
    <xf numFmtId="0" fontId="20" fillId="4" borderId="57" xfId="4" applyFont="1" applyFill="1" applyBorder="1" applyAlignment="1" applyProtection="1">
      <alignment horizontal="center" vertical="center" wrapText="1"/>
      <protection hidden="1"/>
    </xf>
    <xf numFmtId="164" fontId="14" fillId="5" borderId="5" xfId="3" applyNumberFormat="1" applyFont="1" applyFill="1" applyBorder="1" applyAlignment="1">
      <alignment horizontal="center" vertical="center"/>
    </xf>
    <xf numFmtId="164" fontId="14" fillId="6" borderId="8" xfId="3" applyNumberFormat="1" applyFont="1" applyFill="1" applyBorder="1" applyAlignment="1">
      <alignment horizontal="center" vertical="center"/>
    </xf>
    <xf numFmtId="164" fontId="17" fillId="7" borderId="5" xfId="3" applyNumberFormat="1" applyFont="1" applyFill="1" applyBorder="1" applyAlignment="1">
      <alignment horizontal="center" vertical="center"/>
    </xf>
    <xf numFmtId="166" fontId="14" fillId="6" borderId="9" xfId="3" applyNumberFormat="1" applyFont="1" applyFill="1" applyBorder="1" applyAlignment="1">
      <alignment horizontal="center" vertical="center"/>
    </xf>
    <xf numFmtId="164" fontId="14" fillId="6" borderId="16" xfId="3" applyNumberFormat="1" applyFont="1" applyFill="1" applyBorder="1" applyAlignment="1">
      <alignment horizontal="center" vertical="center"/>
    </xf>
    <xf numFmtId="164" fontId="17" fillId="6" borderId="19" xfId="3" applyNumberFormat="1" applyFont="1" applyFill="1" applyBorder="1" applyAlignment="1">
      <alignment horizontal="center" vertical="center"/>
    </xf>
    <xf numFmtId="178" fontId="11" fillId="0" borderId="60" xfId="0" applyNumberFormat="1" applyFont="1" applyBorder="1"/>
    <xf numFmtId="178" fontId="11" fillId="0" borderId="58" xfId="0" applyNumberFormat="1" applyFont="1" applyBorder="1"/>
    <xf numFmtId="178" fontId="14" fillId="21" borderId="13" xfId="3" applyNumberFormat="1" applyFont="1" applyFill="1" applyBorder="1" applyAlignment="1">
      <alignment horizontal="center" vertical="center"/>
    </xf>
    <xf numFmtId="178" fontId="14" fillId="21" borderId="57" xfId="3" applyNumberFormat="1" applyFont="1" applyFill="1" applyBorder="1" applyAlignment="1">
      <alignment horizontal="center" vertical="center"/>
    </xf>
    <xf numFmtId="179" fontId="14" fillId="21" borderId="57" xfId="3" applyNumberFormat="1" applyFont="1" applyFill="1" applyBorder="1" applyAlignment="1">
      <alignment horizontal="center" vertical="center"/>
    </xf>
    <xf numFmtId="179" fontId="31" fillId="21" borderId="57" xfId="3" applyNumberFormat="1" applyFont="1" applyFill="1" applyBorder="1" applyAlignment="1">
      <alignment horizontal="center" vertical="center"/>
    </xf>
    <xf numFmtId="0" fontId="5" fillId="23" borderId="0" xfId="0" applyFont="1" applyFill="1" applyAlignment="1">
      <alignment vertical="top" wrapText="1"/>
    </xf>
    <xf numFmtId="0" fontId="20" fillId="23" borderId="0" xfId="0" quotePrefix="1" applyFont="1" applyFill="1" applyAlignment="1">
      <alignment vertical="top" wrapText="1"/>
    </xf>
    <xf numFmtId="0" fontId="5" fillId="23" borderId="0" xfId="0" quotePrefix="1" applyFont="1" applyFill="1" applyAlignment="1">
      <alignment horizontal="left" vertical="top" wrapText="1"/>
    </xf>
    <xf numFmtId="0" fontId="20" fillId="23" borderId="0" xfId="0" quotePrefix="1" applyFont="1" applyFill="1" applyAlignment="1">
      <alignment horizontal="left" vertical="top" wrapText="1"/>
    </xf>
    <xf numFmtId="0" fontId="20" fillId="23" borderId="0" xfId="0" applyFont="1" applyFill="1" applyAlignment="1">
      <alignment horizontal="left" vertical="top" wrapText="1"/>
    </xf>
    <xf numFmtId="0" fontId="20" fillId="0" borderId="2"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0" fontId="20" fillId="4" borderId="6" xfId="3"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7" fillId="0" borderId="2"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4" xfId="3" applyFont="1" applyBorder="1" applyAlignment="1">
      <alignment horizontal="center" vertical="center" wrapText="1"/>
    </xf>
    <xf numFmtId="0" fontId="17" fillId="4" borderId="67" xfId="3" applyFont="1" applyFill="1" applyBorder="1" applyAlignment="1">
      <alignment horizontal="center" vertical="center"/>
    </xf>
    <xf numFmtId="0" fontId="17" fillId="4" borderId="68" xfId="3" applyFont="1" applyFill="1" applyBorder="1" applyAlignment="1">
      <alignment horizontal="center" vertical="center"/>
    </xf>
    <xf numFmtId="0" fontId="17" fillId="4" borderId="69" xfId="3" applyFont="1" applyFill="1" applyBorder="1" applyAlignment="1">
      <alignment horizontal="center" vertical="center"/>
    </xf>
    <xf numFmtId="0" fontId="20" fillId="0" borderId="2" xfId="3" applyFont="1" applyBorder="1" applyAlignment="1">
      <alignment horizontal="center" vertical="top" wrapText="1"/>
    </xf>
    <xf numFmtId="0" fontId="20" fillId="0" borderId="3" xfId="3" applyFont="1" applyBorder="1" applyAlignment="1">
      <alignment horizontal="center" vertical="top" wrapText="1"/>
    </xf>
    <xf numFmtId="0" fontId="20" fillId="0" borderId="4" xfId="3" applyFont="1" applyBorder="1" applyAlignment="1">
      <alignment horizontal="center" vertical="top" wrapText="1"/>
    </xf>
    <xf numFmtId="0" fontId="21" fillId="4" borderId="75" xfId="3" applyFont="1" applyFill="1" applyBorder="1" applyAlignment="1">
      <alignment horizontal="center" vertical="center" wrapText="1"/>
    </xf>
    <xf numFmtId="0" fontId="21" fillId="4" borderId="76" xfId="3" applyFont="1" applyFill="1" applyBorder="1" applyAlignment="1">
      <alignment horizontal="center" vertical="center" wrapText="1"/>
    </xf>
    <xf numFmtId="0" fontId="21" fillId="4" borderId="77" xfId="3" applyFont="1" applyFill="1" applyBorder="1" applyAlignment="1">
      <alignment horizontal="center" vertical="center" wrapText="1"/>
    </xf>
    <xf numFmtId="0" fontId="20" fillId="4" borderId="72" xfId="3" applyFont="1" applyFill="1" applyBorder="1" applyAlignment="1">
      <alignment horizontal="center" vertical="center" wrapText="1"/>
    </xf>
    <xf numFmtId="0" fontId="20" fillId="4" borderId="73" xfId="3" applyFont="1" applyFill="1" applyBorder="1" applyAlignment="1">
      <alignment horizontal="center" vertical="center" wrapText="1"/>
    </xf>
    <xf numFmtId="0" fontId="20" fillId="4" borderId="74" xfId="3" applyFont="1" applyFill="1" applyBorder="1" applyAlignment="1">
      <alignment horizontal="center" vertical="center" wrapText="1"/>
    </xf>
    <xf numFmtId="0" fontId="20" fillId="4" borderId="70" xfId="3" applyFont="1" applyFill="1" applyBorder="1" applyAlignment="1">
      <alignment horizontal="center" vertical="center" wrapText="1"/>
    </xf>
    <xf numFmtId="0" fontId="20" fillId="4" borderId="11" xfId="3" applyFont="1" applyFill="1" applyBorder="1" applyAlignment="1">
      <alignment horizontal="center" vertical="center" wrapText="1"/>
    </xf>
    <xf numFmtId="0" fontId="20" fillId="4" borderId="71" xfId="3" applyFont="1" applyFill="1" applyBorder="1" applyAlignment="1">
      <alignment horizontal="center" vertical="center" wrapText="1"/>
    </xf>
    <xf numFmtId="0" fontId="21" fillId="4" borderId="6" xfId="3" applyFont="1" applyFill="1" applyBorder="1" applyAlignment="1">
      <alignment horizontal="center" vertical="center" wrapText="1"/>
    </xf>
    <xf numFmtId="0" fontId="21" fillId="4" borderId="3" xfId="3" applyFont="1" applyFill="1" applyBorder="1" applyAlignment="1">
      <alignment horizontal="center" vertical="center" wrapText="1"/>
    </xf>
    <xf numFmtId="0" fontId="21" fillId="4" borderId="7" xfId="3" applyFont="1" applyFill="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4" xfId="3" applyFont="1" applyBorder="1" applyAlignment="1">
      <alignment horizontal="center" vertical="center" wrapText="1"/>
    </xf>
    <xf numFmtId="0" fontId="14" fillId="8" borderId="2" xfId="3" applyFont="1" applyFill="1" applyBorder="1" applyAlignment="1">
      <alignment horizontal="center" vertical="center" wrapText="1"/>
    </xf>
    <xf numFmtId="0" fontId="14" fillId="8" borderId="3" xfId="3" applyFont="1" applyFill="1" applyBorder="1" applyAlignment="1">
      <alignment horizontal="center" vertical="center" wrapText="1"/>
    </xf>
    <xf numFmtId="0" fontId="14" fillId="8" borderId="7" xfId="3" applyFont="1" applyFill="1" applyBorder="1" applyAlignment="1">
      <alignment horizontal="center" vertical="center" wrapText="1"/>
    </xf>
    <xf numFmtId="0" fontId="20" fillId="10" borderId="24" xfId="4" quotePrefix="1" applyFont="1" applyFill="1" applyBorder="1" applyAlignment="1" applyProtection="1">
      <alignment horizontal="left" wrapText="1"/>
      <protection hidden="1"/>
    </xf>
    <xf numFmtId="0" fontId="20" fillId="10" borderId="0" xfId="4" applyFont="1" applyFill="1" applyAlignment="1" applyProtection="1">
      <alignment horizontal="left"/>
      <protection hidden="1"/>
    </xf>
    <xf numFmtId="0" fontId="20" fillId="10" borderId="25" xfId="4" applyFont="1" applyFill="1" applyBorder="1" applyAlignment="1" applyProtection="1">
      <alignment horizontal="left"/>
      <protection hidden="1"/>
    </xf>
    <xf numFmtId="0" fontId="20" fillId="10" borderId="24" xfId="4" quotePrefix="1" applyFont="1" applyFill="1" applyBorder="1" applyAlignment="1" applyProtection="1">
      <alignment horizontal="left"/>
      <protection hidden="1"/>
    </xf>
    <xf numFmtId="0" fontId="25" fillId="11" borderId="2" xfId="4" applyFont="1" applyFill="1" applyBorder="1" applyAlignment="1" applyProtection="1">
      <alignment horizontal="center" vertical="center" wrapText="1"/>
      <protection hidden="1"/>
    </xf>
    <xf numFmtId="0" fontId="25" fillId="11" borderId="3" xfId="4" applyFont="1" applyFill="1" applyBorder="1" applyAlignment="1" applyProtection="1">
      <alignment horizontal="center" vertical="center" wrapText="1"/>
      <protection hidden="1"/>
    </xf>
    <xf numFmtId="0" fontId="25" fillId="11" borderId="7" xfId="4" applyFont="1" applyFill="1" applyBorder="1" applyAlignment="1" applyProtection="1">
      <alignment horizontal="center" vertical="center" wrapText="1"/>
      <protection hidden="1"/>
    </xf>
    <xf numFmtId="0" fontId="11" fillId="10" borderId="29" xfId="4" applyFont="1" applyFill="1" applyBorder="1" applyAlignment="1" applyProtection="1">
      <alignment horizontal="center" vertical="center" wrapText="1"/>
      <protection hidden="1"/>
    </xf>
    <xf numFmtId="0" fontId="11" fillId="10" borderId="36" xfId="4" applyFont="1" applyFill="1" applyBorder="1" applyAlignment="1" applyProtection="1">
      <alignment horizontal="center" vertical="center" wrapText="1"/>
      <protection hidden="1"/>
    </xf>
    <xf numFmtId="0" fontId="11" fillId="10" borderId="44" xfId="4" applyFont="1" applyFill="1" applyBorder="1" applyAlignment="1" applyProtection="1">
      <alignment horizontal="center" vertical="center" wrapText="1"/>
      <protection hidden="1"/>
    </xf>
    <xf numFmtId="0" fontId="11" fillId="10" borderId="30" xfId="4" applyFont="1" applyFill="1" applyBorder="1" applyAlignment="1" applyProtection="1">
      <alignment horizontal="center" vertical="center" wrapText="1"/>
      <protection hidden="1"/>
    </xf>
    <xf numFmtId="0" fontId="11" fillId="10" borderId="37" xfId="4" applyFont="1" applyFill="1" applyBorder="1" applyAlignment="1" applyProtection="1">
      <alignment horizontal="center" vertical="center" wrapText="1"/>
      <protection hidden="1"/>
    </xf>
    <xf numFmtId="0" fontId="11" fillId="10" borderId="45" xfId="4" applyFont="1" applyFill="1" applyBorder="1" applyAlignment="1" applyProtection="1">
      <alignment horizontal="center" vertical="center" wrapText="1"/>
      <protection hidden="1"/>
    </xf>
    <xf numFmtId="0" fontId="11" fillId="10" borderId="31" xfId="4" applyFont="1" applyFill="1" applyBorder="1" applyAlignment="1" applyProtection="1">
      <alignment horizontal="center" vertical="center" wrapText="1"/>
      <protection hidden="1"/>
    </xf>
    <xf numFmtId="0" fontId="11" fillId="10" borderId="38" xfId="4" applyFont="1" applyFill="1" applyBorder="1" applyAlignment="1" applyProtection="1">
      <alignment horizontal="center" vertical="center" wrapText="1"/>
      <protection hidden="1"/>
    </xf>
    <xf numFmtId="0" fontId="11" fillId="10" borderId="46" xfId="4" applyFont="1" applyFill="1" applyBorder="1" applyAlignment="1" applyProtection="1">
      <alignment horizontal="center" vertical="center" wrapText="1"/>
      <protection hidden="1"/>
    </xf>
    <xf numFmtId="0" fontId="22" fillId="11" borderId="32" xfId="4" applyFont="1" applyFill="1" applyBorder="1" applyAlignment="1" applyProtection="1">
      <alignment horizontal="center" vertical="center" wrapText="1"/>
      <protection hidden="1"/>
    </xf>
    <xf numFmtId="0" fontId="22" fillId="11" borderId="39" xfId="4" applyFont="1" applyFill="1" applyBorder="1" applyAlignment="1" applyProtection="1">
      <alignment horizontal="center" vertical="center" wrapText="1"/>
      <protection hidden="1"/>
    </xf>
    <xf numFmtId="0" fontId="22" fillId="11" borderId="33" xfId="4" applyFont="1" applyFill="1" applyBorder="1" applyAlignment="1" applyProtection="1">
      <alignment horizontal="center" vertical="center"/>
      <protection hidden="1"/>
    </xf>
    <xf numFmtId="0" fontId="22" fillId="11" borderId="34" xfId="4" applyFont="1" applyFill="1" applyBorder="1" applyAlignment="1" applyProtection="1">
      <alignment horizontal="center" vertical="center"/>
      <protection hidden="1"/>
    </xf>
    <xf numFmtId="0" fontId="22" fillId="11" borderId="35" xfId="4" applyFont="1" applyFill="1" applyBorder="1" applyAlignment="1" applyProtection="1">
      <alignment horizontal="center" vertical="center"/>
      <protection hidden="1"/>
    </xf>
    <xf numFmtId="0" fontId="22" fillId="11" borderId="33" xfId="4" applyFont="1" applyFill="1" applyBorder="1" applyAlignment="1" applyProtection="1">
      <alignment horizontal="center" vertical="center" wrapText="1"/>
      <protection hidden="1"/>
    </xf>
    <xf numFmtId="0" fontId="22" fillId="11" borderId="34" xfId="4" applyFont="1" applyFill="1" applyBorder="1" applyAlignment="1" applyProtection="1">
      <alignment horizontal="center" vertical="center" wrapText="1"/>
      <protection hidden="1"/>
    </xf>
    <xf numFmtId="0" fontId="11" fillId="10" borderId="21" xfId="0" applyFont="1" applyFill="1" applyBorder="1" applyAlignment="1">
      <alignment horizontal="center" vertical="center" wrapText="1"/>
    </xf>
    <xf numFmtId="0" fontId="11" fillId="10" borderId="26" xfId="0" applyFont="1" applyFill="1" applyBorder="1" applyAlignment="1">
      <alignment horizontal="center" vertical="center" wrapText="1"/>
    </xf>
    <xf numFmtId="2" fontId="11" fillId="10" borderId="22" xfId="0" applyNumberFormat="1" applyFont="1" applyFill="1" applyBorder="1" applyAlignment="1">
      <alignment horizontal="center" vertical="center" wrapText="1"/>
    </xf>
    <xf numFmtId="2" fontId="11" fillId="10" borderId="27" xfId="0" applyNumberFormat="1" applyFont="1" applyFill="1" applyBorder="1" applyAlignment="1">
      <alignment horizontal="center" vertical="center" wrapText="1"/>
    </xf>
    <xf numFmtId="0" fontId="11" fillId="10" borderId="23"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25" fillId="11" borderId="32" xfId="0" applyFont="1" applyFill="1" applyBorder="1" applyAlignment="1">
      <alignment horizontal="center" vertical="center" wrapText="1"/>
    </xf>
    <xf numFmtId="0" fontId="25" fillId="11" borderId="58" xfId="0" applyFont="1" applyFill="1" applyBorder="1" applyAlignment="1">
      <alignment horizontal="center" vertical="center" wrapText="1"/>
    </xf>
    <xf numFmtId="0" fontId="25" fillId="11" borderId="2" xfId="0" quotePrefix="1" applyFont="1" applyFill="1" applyBorder="1" applyAlignment="1" applyProtection="1">
      <alignment horizontal="center" vertical="center" wrapText="1"/>
      <protection hidden="1"/>
    </xf>
    <xf numFmtId="0" fontId="25" fillId="11" borderId="3" xfId="0" quotePrefix="1" applyFont="1" applyFill="1" applyBorder="1" applyAlignment="1" applyProtection="1">
      <alignment horizontal="center" vertical="center" wrapText="1"/>
      <protection hidden="1"/>
    </xf>
    <xf numFmtId="0" fontId="25" fillId="11" borderId="7" xfId="0" quotePrefix="1" applyFont="1" applyFill="1" applyBorder="1" applyAlignment="1" applyProtection="1">
      <alignment horizontal="center" vertical="center" wrapText="1"/>
      <protection hidden="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7" xfId="0" applyFont="1" applyFill="1" applyBorder="1" applyAlignment="1">
      <alignment horizontal="center" vertical="center"/>
    </xf>
    <xf numFmtId="0" fontId="25" fillId="11" borderId="2" xfId="0" applyFont="1" applyFill="1" applyBorder="1" applyAlignment="1">
      <alignment horizontal="center" vertical="center" wrapText="1"/>
    </xf>
    <xf numFmtId="0" fontId="25" fillId="11" borderId="3" xfId="0" applyFont="1" applyFill="1" applyBorder="1" applyAlignment="1">
      <alignment horizontal="center" vertical="center" wrapText="1"/>
    </xf>
    <xf numFmtId="0" fontId="25" fillId="11" borderId="7" xfId="0" applyFont="1" applyFill="1" applyBorder="1" applyAlignment="1">
      <alignment horizontal="center" vertical="center" wrapText="1"/>
    </xf>
    <xf numFmtId="0" fontId="25" fillId="14" borderId="32" xfId="6" applyFont="1" applyFill="1" applyBorder="1" applyAlignment="1" applyProtection="1">
      <alignment horizontal="center" vertical="center" wrapText="1"/>
      <protection hidden="1"/>
    </xf>
    <xf numFmtId="0" fontId="25" fillId="14" borderId="58" xfId="6" applyFont="1" applyFill="1" applyBorder="1" applyAlignment="1" applyProtection="1">
      <alignment horizontal="center" vertical="center" wrapText="1"/>
      <protection hidden="1"/>
    </xf>
    <xf numFmtId="0" fontId="22" fillId="20" borderId="32" xfId="0" applyFont="1" applyFill="1" applyBorder="1" applyAlignment="1">
      <alignment horizontal="center" vertical="center" wrapText="1"/>
    </xf>
    <xf numFmtId="0" fontId="22" fillId="20" borderId="60" xfId="0" applyFont="1" applyFill="1" applyBorder="1" applyAlignment="1">
      <alignment horizontal="center" vertical="center" wrapText="1"/>
    </xf>
    <xf numFmtId="0" fontId="22" fillId="20" borderId="58"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20" borderId="22" xfId="0" quotePrefix="1" applyFont="1" applyFill="1" applyBorder="1" applyAlignment="1">
      <alignment horizontal="center" vertical="center"/>
    </xf>
    <xf numFmtId="0" fontId="2" fillId="20" borderId="0" xfId="0" quotePrefix="1" applyFont="1" applyFill="1" applyAlignment="1">
      <alignment horizontal="center" vertical="center"/>
    </xf>
    <xf numFmtId="0" fontId="2" fillId="20" borderId="27" xfId="0" quotePrefix="1" applyFont="1" applyFill="1" applyBorder="1" applyAlignment="1">
      <alignment horizontal="center" vertical="center"/>
    </xf>
    <xf numFmtId="0" fontId="33" fillId="0" borderId="0" xfId="0" applyFont="1" applyAlignment="1">
      <alignment horizontal="center"/>
    </xf>
    <xf numFmtId="0" fontId="22" fillId="20" borderId="22" xfId="0" applyFont="1" applyFill="1" applyBorder="1" applyAlignment="1">
      <alignment horizontal="center" vertical="center" wrapText="1"/>
    </xf>
    <xf numFmtId="0" fontId="22" fillId="20" borderId="0" xfId="0" applyFont="1" applyFill="1" applyAlignment="1">
      <alignment horizontal="center" vertical="center" wrapText="1"/>
    </xf>
    <xf numFmtId="0" fontId="22" fillId="20" borderId="27" xfId="0" applyFont="1" applyFill="1" applyBorder="1" applyAlignment="1">
      <alignment horizontal="center" vertical="center" wrapText="1"/>
    </xf>
    <xf numFmtId="0" fontId="25" fillId="20" borderId="22" xfId="0" applyFont="1" applyFill="1" applyBorder="1" applyAlignment="1">
      <alignment horizontal="center" vertical="center" wrapText="1"/>
    </xf>
    <xf numFmtId="0" fontId="25" fillId="20" borderId="0" xfId="0" applyFont="1" applyFill="1" applyAlignment="1">
      <alignment horizontal="center" vertical="center" wrapText="1"/>
    </xf>
    <xf numFmtId="0" fontId="25" fillId="20" borderId="27" xfId="0" applyFont="1" applyFill="1" applyBorder="1" applyAlignment="1">
      <alignment horizontal="center" vertical="center" wrapText="1"/>
    </xf>
    <xf numFmtId="164" fontId="22" fillId="20" borderId="23" xfId="0" applyNumberFormat="1" applyFont="1" applyFill="1" applyBorder="1" applyAlignment="1">
      <alignment horizontal="center" vertical="center" wrapText="1"/>
    </xf>
    <xf numFmtId="164" fontId="22" fillId="20" borderId="25" xfId="0" applyNumberFormat="1" applyFont="1" applyFill="1" applyBorder="1" applyAlignment="1">
      <alignment horizontal="center" vertical="center" wrapText="1"/>
    </xf>
    <xf numFmtId="164" fontId="22" fillId="20" borderId="28" xfId="0" applyNumberFormat="1" applyFont="1" applyFill="1" applyBorder="1" applyAlignment="1">
      <alignment horizontal="center" vertical="center" wrapText="1"/>
    </xf>
    <xf numFmtId="0" fontId="32" fillId="20" borderId="24" xfId="0" applyFont="1" applyFill="1" applyBorder="1" applyAlignment="1">
      <alignment vertical="center" wrapText="1"/>
    </xf>
    <xf numFmtId="0" fontId="32" fillId="20" borderId="0" xfId="0" applyFont="1" applyFill="1" applyAlignment="1">
      <alignment vertical="center" wrapText="1"/>
    </xf>
    <xf numFmtId="166" fontId="14" fillId="21" borderId="32" xfId="3" applyNumberFormat="1" applyFont="1" applyFill="1" applyBorder="1" applyAlignment="1">
      <alignment horizontal="right" vertical="center" indent="8"/>
    </xf>
    <xf numFmtId="166" fontId="14" fillId="21" borderId="60" xfId="3" applyNumberFormat="1" applyFont="1" applyFill="1" applyBorder="1" applyAlignment="1">
      <alignment horizontal="right" vertical="center" indent="8"/>
    </xf>
    <xf numFmtId="166" fontId="14" fillId="21" borderId="58" xfId="3" applyNumberFormat="1" applyFont="1" applyFill="1" applyBorder="1" applyAlignment="1">
      <alignment horizontal="right" vertical="center" indent="8"/>
    </xf>
    <xf numFmtId="164" fontId="17" fillId="21" borderId="32" xfId="3" applyNumberFormat="1" applyFont="1" applyFill="1" applyBorder="1" applyAlignment="1">
      <alignment horizontal="right" vertical="center" indent="9"/>
    </xf>
    <xf numFmtId="0" fontId="0" fillId="0" borderId="60" xfId="0" applyBorder="1" applyAlignment="1">
      <alignment horizontal="right" vertical="center" indent="9"/>
    </xf>
    <xf numFmtId="0" fontId="0" fillId="0" borderId="58" xfId="0" applyBorder="1" applyAlignment="1">
      <alignment horizontal="right" vertical="center" indent="9"/>
    </xf>
    <xf numFmtId="0" fontId="34" fillId="0" borderId="27" xfId="0" applyFont="1" applyBorder="1" applyAlignment="1">
      <alignment horizontal="center" vertical="center"/>
    </xf>
    <xf numFmtId="176" fontId="14" fillId="21" borderId="2" xfId="3" applyNumberFormat="1" applyFont="1" applyFill="1" applyBorder="1" applyAlignment="1">
      <alignment horizontal="center" vertical="center"/>
    </xf>
    <xf numFmtId="176" fontId="14" fillId="21" borderId="3" xfId="3" applyNumberFormat="1" applyFont="1" applyFill="1" applyBorder="1" applyAlignment="1">
      <alignment horizontal="center" vertical="center"/>
    </xf>
    <xf numFmtId="176" fontId="14" fillId="21" borderId="7" xfId="3" applyNumberFormat="1" applyFont="1" applyFill="1" applyBorder="1" applyAlignment="1">
      <alignment horizontal="center" vertical="center"/>
    </xf>
    <xf numFmtId="0" fontId="36" fillId="20" borderId="22" xfId="0" applyFont="1" applyFill="1" applyBorder="1" applyAlignment="1">
      <alignment horizontal="center" vertical="center" wrapText="1"/>
    </xf>
    <xf numFmtId="0" fontId="36" fillId="20" borderId="0" xfId="0" applyFont="1" applyFill="1" applyAlignment="1">
      <alignment horizontal="center" vertical="center" wrapText="1"/>
    </xf>
    <xf numFmtId="0" fontId="36" fillId="20" borderId="27" xfId="0" applyFont="1" applyFill="1" applyBorder="1" applyAlignment="1">
      <alignment horizontal="center" vertical="center" wrapText="1"/>
    </xf>
    <xf numFmtId="0" fontId="37" fillId="20" borderId="22" xfId="0" quotePrefix="1" applyFont="1" applyFill="1" applyBorder="1" applyAlignment="1">
      <alignment horizontal="center" vertical="center"/>
    </xf>
    <xf numFmtId="0" fontId="37" fillId="20" borderId="0" xfId="0" quotePrefix="1" applyFont="1" applyFill="1" applyAlignment="1">
      <alignment horizontal="center" vertical="center"/>
    </xf>
    <xf numFmtId="0" fontId="37" fillId="20" borderId="27" xfId="0" quotePrefix="1" applyFont="1" applyFill="1" applyBorder="1" applyAlignment="1">
      <alignment horizontal="center" vertical="center"/>
    </xf>
    <xf numFmtId="0" fontId="38" fillId="20" borderId="22" xfId="0" applyFont="1" applyFill="1" applyBorder="1" applyAlignment="1">
      <alignment horizontal="center" vertical="center" wrapText="1"/>
    </xf>
    <xf numFmtId="0" fontId="38" fillId="20" borderId="0" xfId="0" applyFont="1" applyFill="1" applyAlignment="1">
      <alignment horizontal="center" vertical="center" wrapText="1"/>
    </xf>
    <xf numFmtId="0" fontId="38" fillId="20" borderId="27" xfId="0" applyFont="1" applyFill="1" applyBorder="1" applyAlignment="1">
      <alignment horizontal="center" vertical="center" wrapText="1"/>
    </xf>
    <xf numFmtId="164" fontId="36" fillId="20" borderId="23" xfId="0" applyNumberFormat="1" applyFont="1" applyFill="1" applyBorder="1" applyAlignment="1">
      <alignment horizontal="center" vertical="center" wrapText="1"/>
    </xf>
    <xf numFmtId="164" fontId="36" fillId="20" borderId="25" xfId="0" applyNumberFormat="1" applyFont="1" applyFill="1" applyBorder="1" applyAlignment="1">
      <alignment horizontal="center" vertical="center" wrapText="1"/>
    </xf>
    <xf numFmtId="164" fontId="36" fillId="20" borderId="28" xfId="0" applyNumberFormat="1" applyFont="1" applyFill="1" applyBorder="1" applyAlignment="1">
      <alignment horizontal="center" vertical="center" wrapText="1"/>
    </xf>
    <xf numFmtId="0" fontId="39" fillId="20" borderId="24" xfId="0" applyFont="1" applyFill="1" applyBorder="1" applyAlignment="1">
      <alignment vertical="center" wrapText="1"/>
    </xf>
    <xf numFmtId="0" fontId="39" fillId="20" borderId="0" xfId="0" applyFont="1" applyFill="1" applyAlignment="1">
      <alignment vertical="center" wrapText="1"/>
    </xf>
    <xf numFmtId="0" fontId="42" fillId="0" borderId="0" xfId="0" applyFont="1" applyAlignment="1">
      <alignment horizontal="center"/>
    </xf>
    <xf numFmtId="0" fontId="41" fillId="0" borderId="25" xfId="0" applyFont="1" applyBorder="1" applyAlignment="1">
      <alignment horizontal="center" vertical="center"/>
    </xf>
    <xf numFmtId="166" fontId="31" fillId="21" borderId="32" xfId="3" applyNumberFormat="1" applyFont="1" applyFill="1" applyBorder="1" applyAlignment="1">
      <alignment horizontal="right" vertical="center" indent="8"/>
    </xf>
    <xf numFmtId="166" fontId="31" fillId="21" borderId="60" xfId="3" applyNumberFormat="1" applyFont="1" applyFill="1" applyBorder="1" applyAlignment="1">
      <alignment horizontal="right" vertical="center" indent="8"/>
    </xf>
    <xf numFmtId="166" fontId="31" fillId="21" borderId="58" xfId="3" applyNumberFormat="1" applyFont="1" applyFill="1" applyBorder="1" applyAlignment="1">
      <alignment horizontal="right" vertical="center" indent="8"/>
    </xf>
    <xf numFmtId="164" fontId="43" fillId="21" borderId="32" xfId="3" applyNumberFormat="1" applyFont="1" applyFill="1" applyBorder="1" applyAlignment="1">
      <alignment horizontal="right" vertical="center" indent="9"/>
    </xf>
    <xf numFmtId="0" fontId="35" fillId="0" borderId="60" xfId="0" applyFont="1" applyBorder="1" applyAlignment="1">
      <alignment horizontal="right" vertical="center" indent="9"/>
    </xf>
    <xf numFmtId="0" fontId="35" fillId="0" borderId="58" xfId="0" applyFont="1" applyBorder="1" applyAlignment="1">
      <alignment horizontal="right" vertical="center" indent="9"/>
    </xf>
    <xf numFmtId="0" fontId="44" fillId="0" borderId="27" xfId="0" applyFont="1" applyBorder="1" applyAlignment="1">
      <alignment horizontal="center" vertical="center"/>
    </xf>
    <xf numFmtId="176" fontId="31" fillId="21" borderId="2" xfId="3" applyNumberFormat="1" applyFont="1" applyFill="1" applyBorder="1" applyAlignment="1">
      <alignment horizontal="center" vertical="center"/>
    </xf>
    <xf numFmtId="176" fontId="31" fillId="21" borderId="3" xfId="3" applyNumberFormat="1" applyFont="1" applyFill="1" applyBorder="1" applyAlignment="1">
      <alignment horizontal="center" vertical="center"/>
    </xf>
    <xf numFmtId="176" fontId="31" fillId="21" borderId="7" xfId="3" applyNumberFormat="1" applyFont="1" applyFill="1" applyBorder="1" applyAlignment="1">
      <alignment horizontal="center" vertical="center"/>
    </xf>
    <xf numFmtId="0" fontId="3" fillId="0" borderId="24" xfId="0" quotePrefix="1" applyFont="1" applyBorder="1" applyAlignment="1">
      <alignment horizontal="center" vertical="center"/>
    </xf>
    <xf numFmtId="0" fontId="3" fillId="0" borderId="25" xfId="0" quotePrefix="1" applyFont="1" applyBorder="1" applyAlignment="1">
      <alignment horizontal="center" vertical="center"/>
    </xf>
    <xf numFmtId="0" fontId="25" fillId="20" borderId="32" xfId="0" applyFont="1" applyFill="1" applyBorder="1" applyAlignment="1">
      <alignment horizontal="center" vertical="center" wrapText="1"/>
    </xf>
    <xf numFmtId="0" fontId="25" fillId="20" borderId="60" xfId="0" applyFont="1" applyFill="1" applyBorder="1" applyAlignment="1">
      <alignment horizontal="center" vertical="center" wrapText="1"/>
    </xf>
    <xf numFmtId="0" fontId="25" fillId="20" borderId="58" xfId="0" applyFont="1" applyFill="1" applyBorder="1" applyAlignment="1">
      <alignment horizontal="center" vertical="center" wrapText="1"/>
    </xf>
    <xf numFmtId="0" fontId="25" fillId="14" borderId="32" xfId="0" applyFont="1" applyFill="1" applyBorder="1" applyAlignment="1">
      <alignment horizontal="center" vertical="center" wrapText="1"/>
    </xf>
    <xf numFmtId="0" fontId="25" fillId="14" borderId="58"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5" fillId="14" borderId="3" xfId="0"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5" fillId="14" borderId="60" xfId="0" applyFont="1" applyFill="1" applyBorder="1" applyAlignment="1">
      <alignment horizontal="center" vertical="center" wrapText="1"/>
    </xf>
    <xf numFmtId="0" fontId="25" fillId="14" borderId="26" xfId="0" applyFont="1" applyFill="1" applyBorder="1" applyAlignment="1">
      <alignment horizontal="center" vertical="center" wrapText="1"/>
    </xf>
    <xf numFmtId="0" fontId="25" fillId="14" borderId="27"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5" fillId="14" borderId="24" xfId="0" applyFont="1" applyFill="1" applyBorder="1" applyAlignment="1">
      <alignment horizontal="center" vertical="center" wrapText="1"/>
    </xf>
    <xf numFmtId="0" fontId="21" fillId="4" borderId="2" xfId="0" applyFont="1" applyFill="1" applyBorder="1" applyAlignment="1">
      <alignment vertical="center" wrapText="1"/>
    </xf>
    <xf numFmtId="0" fontId="21" fillId="4" borderId="3" xfId="0" applyFont="1" applyFill="1" applyBorder="1" applyAlignment="1">
      <alignment vertical="center" wrapText="1"/>
    </xf>
    <xf numFmtId="0" fontId="21" fillId="4" borderId="7" xfId="0" applyFont="1" applyFill="1" applyBorder="1" applyAlignment="1">
      <alignment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5" fillId="14" borderId="32" xfId="0" quotePrefix="1" applyFont="1" applyFill="1" applyBorder="1" applyAlignment="1">
      <alignment horizontal="center" vertical="center" wrapText="1"/>
    </xf>
  </cellXfs>
  <cellStyles count="8">
    <cellStyle name="Comma 13" xfId="5" xr:uid="{00000000-0005-0000-0000-000000000000}"/>
    <cellStyle name="Currency 5 2" xfId="7" xr:uid="{00000000-0005-0000-0000-000001000000}"/>
    <cellStyle name="Hyperlink 8" xfId="2" xr:uid="{00000000-0005-0000-0000-000002000000}"/>
    <cellStyle name="Normal" xfId="0" builtinId="0"/>
    <cellStyle name="Normal 11 2 10" xfId="4" xr:uid="{00000000-0005-0000-0000-000004000000}"/>
    <cellStyle name="Normal 2 10" xfId="6" xr:uid="{00000000-0005-0000-0000-000005000000}"/>
    <cellStyle name="Normal 58 2" xfId="3" xr:uid="{00000000-0005-0000-0000-000006000000}"/>
    <cellStyle name="Percent" xfId="1"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'Individual LA'!$N$10</c:f>
          <c:strCache>
            <c:ptCount val="1"/>
            <c:pt idx="0">
              <c:v>Average LA formula split</c:v>
            </c:pt>
          </c:strCache>
        </c:strRef>
      </c:tx>
      <c:layout>
        <c:manualLayout>
          <c:xMode val="edge"/>
          <c:yMode val="edge"/>
          <c:x val="0.66292637373647278"/>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EAF-410C-84C7-B6CA78708EA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EAF-410C-84C7-B6CA78708EAA}"/>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EAF-410C-84C7-B6CA78708EAA}"/>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EAF-410C-84C7-B6CA78708EAA}"/>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EAF-410C-84C7-B6CA78708EAA}"/>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CEAF-410C-84C7-B6CA78708EAA}"/>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CEAF-410C-84C7-B6CA78708EAA}"/>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CEAF-410C-84C7-B6CA78708EAA}"/>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CEAF-410C-84C7-B6CA78708EAA}"/>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CEAF-410C-84C7-B6CA78708EAA}"/>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CEAF-410C-84C7-B6CA78708EAA}"/>
              </c:ext>
            </c:extLst>
          </c:dPt>
          <c:dLbls>
            <c:delete val="1"/>
          </c:dLbls>
          <c:cat>
            <c:strRef>
              <c:f>'Individual LA'!$O$11:$O$21</c:f>
              <c:strCache>
                <c:ptCount val="11"/>
                <c:pt idx="0">
                  <c:v>(A) Basic entitlement factor (8%)</c:v>
                </c:pt>
                <c:pt idx="1">
                  <c:v>(B) Historic spend factor (43%)</c:v>
                </c:pt>
                <c:pt idx="2">
                  <c:v>(C) Population factor (22%)</c:v>
                </c:pt>
                <c:pt idx="3">
                  <c:v>(D) FSM factor (4%)</c:v>
                </c:pt>
                <c:pt idx="4">
                  <c:v>(E) IDACI factor (4%)</c:v>
                </c:pt>
                <c:pt idx="5">
                  <c:v>(F) Bad health factor (3%)</c:v>
                </c:pt>
                <c:pt idx="6">
                  <c:v>(G) Disability factor (3%)</c:v>
                </c:pt>
                <c:pt idx="7">
                  <c:v>(H) KS2 low attainment factor (3%)</c:v>
                </c:pt>
                <c:pt idx="8">
                  <c:v>(I) KS4 low attainment factor (3%)</c:v>
                </c:pt>
                <c:pt idx="9">
                  <c:v>(J) Funding floor factor (4%)</c:v>
                </c:pt>
                <c:pt idx="10">
                  <c:v>(K) Hospital education Funding (1%)</c:v>
                </c:pt>
              </c:strCache>
            </c:strRef>
          </c:cat>
          <c:val>
            <c:numRef>
              <c:f>'Individual LA'!$P$11:$P$21</c:f>
              <c:numCache>
                <c:formatCode>0.0%</c:formatCode>
                <c:ptCount val="11"/>
                <c:pt idx="0">
                  <c:v>8.4902104863944658E-2</c:v>
                </c:pt>
                <c:pt idx="1">
                  <c:v>0.42579576123399071</c:v>
                </c:pt>
                <c:pt idx="2">
                  <c:v>0.21959944610182031</c:v>
                </c:pt>
                <c:pt idx="3">
                  <c:v>4.3919889220364064E-2</c:v>
                </c:pt>
                <c:pt idx="4">
                  <c:v>4.3919889220364085E-2</c:v>
                </c:pt>
                <c:pt idx="5">
                  <c:v>3.2939916915273044E-2</c:v>
                </c:pt>
                <c:pt idx="6">
                  <c:v>3.2939916915273044E-2</c:v>
                </c:pt>
                <c:pt idx="7">
                  <c:v>3.2939916915273044E-2</c:v>
                </c:pt>
                <c:pt idx="8">
                  <c:v>3.2939916915273044E-2</c:v>
                </c:pt>
                <c:pt idx="9">
                  <c:v>3.8010707870501932E-2</c:v>
                </c:pt>
                <c:pt idx="10">
                  <c:v>1.2092533827921404E-2</c:v>
                </c:pt>
              </c:numCache>
            </c:numRef>
          </c:val>
          <c:extLst>
            <c:ext xmlns:c16="http://schemas.microsoft.com/office/drawing/2014/chart" uri="{C3380CC4-5D6E-409C-BE32-E72D297353CC}">
              <c16:uniqueId val="{00000016-CEAF-410C-84C7-B6CA78708EA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529348457988896"/>
          <c:y val="0.13434363516226722"/>
          <c:w val="0.37814825969545274"/>
          <c:h val="0.83249405827278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rgbClr val="D4CEDE"/>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'Individual LA'!$K$9</c:f>
          <c:strCache>
            <c:ptCount val="1"/>
            <c:pt idx="0">
              <c:v>Formula split for York</c:v>
            </c:pt>
          </c:strCache>
        </c:strRef>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47F-43C2-8199-8A3B0033404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47F-43C2-8199-8A3B0033404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47F-43C2-8199-8A3B0033404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47F-43C2-8199-8A3B0033404D}"/>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47F-43C2-8199-8A3B0033404D}"/>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247F-43C2-8199-8A3B0033404D}"/>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247F-43C2-8199-8A3B0033404D}"/>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247F-43C2-8199-8A3B0033404D}"/>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247F-43C2-8199-8A3B0033404D}"/>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247F-43C2-8199-8A3B0033404D}"/>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247F-43C2-8199-8A3B0033404D}"/>
              </c:ext>
            </c:extLst>
          </c:dPt>
          <c:dLbls>
            <c:delete val="1"/>
          </c:dLbls>
          <c:cat>
            <c:strRef>
              <c:f>'Individual LA'!$C$9:$C$19</c:f>
              <c:strCache>
                <c:ptCount val="11"/>
                <c:pt idx="0">
                  <c:v>(A) Basic entitlement factor (6%)</c:v>
                </c:pt>
                <c:pt idx="1">
                  <c:v>(B) Historic spend factor (46%)</c:v>
                </c:pt>
                <c:pt idx="2">
                  <c:v>(C) Population factor (24%)</c:v>
                </c:pt>
                <c:pt idx="3">
                  <c:v>(D) FSM factor (3%)</c:v>
                </c:pt>
                <c:pt idx="4">
                  <c:v>(E) IDACI factor (2%)</c:v>
                </c:pt>
                <c:pt idx="5">
                  <c:v>(F) Bad health factor (2%)</c:v>
                </c:pt>
                <c:pt idx="6">
                  <c:v>(G) Disability factor (2%)</c:v>
                </c:pt>
                <c:pt idx="7">
                  <c:v>(H) KS2 low attainment factor (3%)</c:v>
                </c:pt>
                <c:pt idx="8">
                  <c:v>(I) KS4 low attainment factor (2%)</c:v>
                </c:pt>
                <c:pt idx="9">
                  <c:v>(J) Funding floor factor (9%)</c:v>
                </c:pt>
                <c:pt idx="10">
                  <c:v>(K) Hospital education funding (1%)</c:v>
                </c:pt>
              </c:strCache>
            </c:strRef>
          </c:cat>
          <c:val>
            <c:numRef>
              <c:f>'Individual LA'!$F$9:$F$19</c:f>
              <c:numCache>
                <c:formatCode>"£"#,##0_);[Red]\("£"#,##0\)</c:formatCode>
                <c:ptCount val="11"/>
                <c:pt idx="0">
                  <c:v>1032000</c:v>
                </c:pt>
                <c:pt idx="1">
                  <c:v>7994160.7378354371</c:v>
                </c:pt>
                <c:pt idx="2">
                  <c:v>4181739.1026393375</c:v>
                </c:pt>
                <c:pt idx="3">
                  <c:v>465890.35490740545</c:v>
                </c:pt>
                <c:pt idx="4">
                  <c:v>378598.62477642682</c:v>
                </c:pt>
                <c:pt idx="5">
                  <c:v>429009.21494666126</c:v>
                </c:pt>
                <c:pt idx="6">
                  <c:v>407771.07065816375</c:v>
                </c:pt>
                <c:pt idx="7">
                  <c:v>558350.89511061297</c:v>
                </c:pt>
                <c:pt idx="8">
                  <c:v>381918.0432921506</c:v>
                </c:pt>
                <c:pt idx="9">
                  <c:v>1498351.6060211698</c:v>
                </c:pt>
                <c:pt idx="10">
                  <c:v>218387.25</c:v>
                </c:pt>
              </c:numCache>
            </c:numRef>
          </c:val>
          <c:extLst>
            <c:ext xmlns:c16="http://schemas.microsoft.com/office/drawing/2014/chart" uri="{C3380CC4-5D6E-409C-BE32-E72D297353CC}">
              <c16:uniqueId val="{00000016-247F-43C2-8199-8A3B0033404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529348457988896"/>
          <c:y val="0.13434363516226722"/>
          <c:w val="0.37814825969545274"/>
          <c:h val="0.83249405827278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rgbClr val="D4CEDE"/>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63515</xdr:colOff>
      <xdr:row>0</xdr:row>
      <xdr:rowOff>95269</xdr:rowOff>
    </xdr:from>
    <xdr:to>
      <xdr:col>2</xdr:col>
      <xdr:colOff>942150</xdr:colOff>
      <xdr:row>7</xdr:row>
      <xdr:rowOff>162948</xdr:rowOff>
    </xdr:to>
    <xdr:pic>
      <xdr:nvPicPr>
        <xdr:cNvPr id="2" name="Picture 1">
          <a:extLst>
            <a:ext uri="{FF2B5EF4-FFF2-40B4-BE49-F238E27FC236}">
              <a16:creationId xmlns:a16="http://schemas.microsoft.com/office/drawing/2014/main" id="{B2DAC174-D210-4C5D-80E2-EFE51D81AB17}"/>
            </a:ext>
          </a:extLst>
        </xdr:cNvPr>
        <xdr:cNvPicPr>
          <a:picLocks noChangeAspect="1"/>
        </xdr:cNvPicPr>
      </xdr:nvPicPr>
      <xdr:blipFill>
        <a:blip xmlns:r="http://schemas.openxmlformats.org/officeDocument/2006/relationships" r:embed="rId1"/>
        <a:stretch>
          <a:fillRect/>
        </a:stretch>
      </xdr:blipFill>
      <xdr:spPr>
        <a:xfrm>
          <a:off x="63515" y="95269"/>
          <a:ext cx="2404448" cy="1405716"/>
        </a:xfrm>
        <a:prstGeom prst="rect">
          <a:avLst/>
        </a:prstGeom>
      </xdr:spPr>
    </xdr:pic>
    <xdr:clientData/>
  </xdr:twoCellAnchor>
  <xdr:twoCellAnchor editAs="oneCell">
    <xdr:from>
      <xdr:col>0</xdr:col>
      <xdr:colOff>63515</xdr:colOff>
      <xdr:row>0</xdr:row>
      <xdr:rowOff>95269</xdr:rowOff>
    </xdr:from>
    <xdr:to>
      <xdr:col>2</xdr:col>
      <xdr:colOff>942150</xdr:colOff>
      <xdr:row>7</xdr:row>
      <xdr:rowOff>162948</xdr:rowOff>
    </xdr:to>
    <xdr:pic>
      <xdr:nvPicPr>
        <xdr:cNvPr id="3" name="Picture 2">
          <a:extLst>
            <a:ext uri="{FF2B5EF4-FFF2-40B4-BE49-F238E27FC236}">
              <a16:creationId xmlns:a16="http://schemas.microsoft.com/office/drawing/2014/main" id="{B1C666E8-447F-447A-BAB7-385B8C3C3863}"/>
            </a:ext>
          </a:extLst>
        </xdr:cNvPr>
        <xdr:cNvPicPr>
          <a:picLocks noChangeAspect="1"/>
        </xdr:cNvPicPr>
      </xdr:nvPicPr>
      <xdr:blipFill>
        <a:blip xmlns:r="http://schemas.openxmlformats.org/officeDocument/2006/relationships" r:embed="rId1"/>
        <a:stretch>
          <a:fillRect/>
        </a:stretch>
      </xdr:blipFill>
      <xdr:spPr>
        <a:xfrm>
          <a:off x="63515" y="95269"/>
          <a:ext cx="2404448" cy="14057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1183422</xdr:colOff>
      <xdr:row>7</xdr:row>
      <xdr:rowOff>147878</xdr:rowOff>
    </xdr:from>
    <xdr:to>
      <xdr:col>19</xdr:col>
      <xdr:colOff>301337</xdr:colOff>
      <xdr:row>22</xdr:row>
      <xdr:rowOff>496062</xdr:rowOff>
    </xdr:to>
    <xdr:graphicFrame macro="">
      <xdr:nvGraphicFramePr>
        <xdr:cNvPr id="2" name="Chart 1">
          <a:extLst>
            <a:ext uri="{FF2B5EF4-FFF2-40B4-BE49-F238E27FC236}">
              <a16:creationId xmlns:a16="http://schemas.microsoft.com/office/drawing/2014/main" id="{348948ED-ECAA-46D1-A979-53AA7BB57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89247</xdr:colOff>
      <xdr:row>7</xdr:row>
      <xdr:rowOff>144074</xdr:rowOff>
    </xdr:from>
    <xdr:to>
      <xdr:col>12</xdr:col>
      <xdr:colOff>868934</xdr:colOff>
      <xdr:row>22</xdr:row>
      <xdr:rowOff>492258</xdr:rowOff>
    </xdr:to>
    <xdr:graphicFrame macro="">
      <xdr:nvGraphicFramePr>
        <xdr:cNvPr id="3" name="Chart 2">
          <a:extLst>
            <a:ext uri="{FF2B5EF4-FFF2-40B4-BE49-F238E27FC236}">
              <a16:creationId xmlns:a16="http://schemas.microsoft.com/office/drawing/2014/main" id="{B4ED8E60-BCB9-41EC-B2D8-0901AF760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pre16_forecasts_hn_analysis/Shared%20Documents/HN%20NFF/HNNFF_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Version Control"/>
      <sheetName val="FormulaDiagram"/>
      <sheetName val="Sheets Overview"/>
      <sheetName val="HF|Baselines Data"/>
      <sheetName val="Inputs"/>
      <sheetName val="Formula Parameters"/>
      <sheetName val="Data"/>
      <sheetName val="1819_Import|Export"/>
      <sheetName val="Input_HospEdFund"/>
      <sheetName val="2018-19 HN Block allocations"/>
      <sheetName val="Protections baseline for 19-20"/>
      <sheetName val="Budget"/>
      <sheetName val="Revised 1920 quantum calc"/>
      <sheetName val="Budget1819_CORRECTED"/>
      <sheetName val="LA_1819_CORRECTED"/>
      <sheetName val="National_Outputs1819_CORRECTED"/>
      <sheetName val="HistoricFactor_Original"/>
      <sheetName val="HistoricFactor_Corrected"/>
      <sheetName val="LA Details_Yr1 (Sept)"/>
      <sheetName val="LA Details_Yr1 (Dec)"/>
      <sheetName val="LA Details_Yr1 (May)"/>
      <sheetName val="LA Details_Yr2 (July)"/>
      <sheetName val="Yr1_by_Region"/>
      <sheetName val="LA Details_Yr3"/>
      <sheetName val="LA Details_Yr4"/>
      <sheetName val="LA Details_Yr5"/>
      <sheetName val="Analysis and Trends"/>
      <sheetName val="Per head spread"/>
      <sheetName val="LA Level Output Template"/>
      <sheetName val="Outputs - Compare Funding"/>
      <sheetName val="National Outputs"/>
      <sheetName val="LA Allocations"/>
      <sheetName val="Information"/>
      <sheetName val="National Details"/>
      <sheetName val="2019-20 Allocations"/>
      <sheetName val="2019-20 StepbyStep Allocations"/>
      <sheetName val="Individual LA"/>
      <sheetName val="Baselines+Historic Spend Factor"/>
      <sheetName val="Import|Export Adjustments Data"/>
      <sheetName val="Hospital Education Funding"/>
      <sheetName val="HN NFF Summary Table"/>
      <sheetName val="HN Detail Summary"/>
      <sheetName val="HighNeedsForNFFSummary"/>
      <sheetName val="Output - AdHoc1"/>
      <sheetName val="Output_AdHoc_KandC"/>
      <sheetName val="Output_Comparison1819_1920"/>
      <sheetName val="APFree&amp;AcadsImpact"/>
      <sheetName val="Lookups"/>
      <sheetName val="TimQueriesandNotes"/>
    </sheetNames>
    <sheetDataSet>
      <sheetData sheetId="0"/>
      <sheetData sheetId="1"/>
      <sheetData sheetId="2"/>
      <sheetData sheetId="3"/>
      <sheetData sheetId="4"/>
      <sheetData sheetId="5"/>
      <sheetData sheetId="6">
        <row r="2">
          <cell r="E2">
            <v>1</v>
          </cell>
        </row>
        <row r="4">
          <cell r="E4">
            <v>2</v>
          </cell>
        </row>
        <row r="6">
          <cell r="E6">
            <v>1</v>
          </cell>
        </row>
        <row r="8">
          <cell r="E8">
            <v>0</v>
          </cell>
        </row>
        <row r="12">
          <cell r="L12">
            <v>1.0156366904612895</v>
          </cell>
          <cell r="M12">
            <v>1.0324921298932299</v>
          </cell>
          <cell r="N12">
            <v>1.0519379990871145</v>
          </cell>
          <cell r="O12">
            <v>1.0721108826283567</v>
          </cell>
        </row>
        <row r="15">
          <cell r="E15">
            <v>1.0099999999999998</v>
          </cell>
          <cell r="F15">
            <v>1.01</v>
          </cell>
          <cell r="G15">
            <v>1.01</v>
          </cell>
          <cell r="H15">
            <v>1.01</v>
          </cell>
        </row>
        <row r="18">
          <cell r="D18">
            <v>0.03</v>
          </cell>
          <cell r="E18">
            <v>0.03</v>
          </cell>
          <cell r="F18">
            <v>1</v>
          </cell>
          <cell r="G18">
            <v>1</v>
          </cell>
          <cell r="H18">
            <v>1</v>
          </cell>
        </row>
        <row r="19">
          <cell r="D19">
            <v>4000</v>
          </cell>
          <cell r="E19">
            <v>4000</v>
          </cell>
          <cell r="F19">
            <v>4000</v>
          </cell>
          <cell r="G19">
            <v>4000</v>
          </cell>
          <cell r="H19">
            <v>4000</v>
          </cell>
        </row>
        <row r="20">
          <cell r="D20">
            <v>6000</v>
          </cell>
          <cell r="E20">
            <v>6000</v>
          </cell>
          <cell r="F20">
            <v>6000</v>
          </cell>
          <cell r="G20">
            <v>6000</v>
          </cell>
          <cell r="H20">
            <v>6000</v>
          </cell>
        </row>
        <row r="22">
          <cell r="D22">
            <v>0.5</v>
          </cell>
          <cell r="F22">
            <v>0.5</v>
          </cell>
          <cell r="G22">
            <v>0.5</v>
          </cell>
          <cell r="H22">
            <v>0.5</v>
          </cell>
        </row>
      </sheetData>
      <sheetData sheetId="7"/>
      <sheetData sheetId="8"/>
      <sheetData sheetId="9"/>
      <sheetData sheetId="10"/>
      <sheetData sheetId="11"/>
      <sheetData sheetId="12">
        <row r="12">
          <cell r="D12">
            <v>71745000</v>
          </cell>
        </row>
        <row r="36">
          <cell r="D36">
            <v>1351682262.1142054</v>
          </cell>
          <cell r="E36">
            <v>1375169162.4661326</v>
          </cell>
        </row>
        <row r="37">
          <cell r="D37">
            <v>270336452.42284107</v>
          </cell>
          <cell r="E37">
            <v>275033832.49322653</v>
          </cell>
        </row>
        <row r="38">
          <cell r="E38">
            <v>275033832.49322653</v>
          </cell>
        </row>
        <row r="39">
          <cell r="D39">
            <v>37847103.339197747</v>
          </cell>
          <cell r="E39">
            <v>38504736.549051717</v>
          </cell>
        </row>
        <row r="40">
          <cell r="D40">
            <v>43253832.387654573</v>
          </cell>
          <cell r="E40">
            <v>44005413.198916249</v>
          </cell>
        </row>
        <row r="41">
          <cell r="D41">
            <v>50012243.698225595</v>
          </cell>
          <cell r="E41">
            <v>50881259.011246905</v>
          </cell>
        </row>
        <row r="42">
          <cell r="D42">
            <v>45957196.911882989</v>
          </cell>
          <cell r="E42">
            <v>46755751.523848511</v>
          </cell>
        </row>
        <row r="43">
          <cell r="D43">
            <v>62177384.057253443</v>
          </cell>
          <cell r="E43">
            <v>63257781.4734421</v>
          </cell>
        </row>
        <row r="44">
          <cell r="D44">
            <v>31088692.028626721</v>
          </cell>
          <cell r="E44">
            <v>31628890.73672105</v>
          </cell>
        </row>
        <row r="45">
          <cell r="D45">
            <v>202752339.3171308</v>
          </cell>
          <cell r="E45">
            <v>206275374.3699199</v>
          </cell>
        </row>
        <row r="46">
          <cell r="D46">
            <v>202752339.3171308</v>
          </cell>
          <cell r="E46">
            <v>206275374.3699199</v>
          </cell>
        </row>
        <row r="47">
          <cell r="D47">
            <v>202752339.3171308</v>
          </cell>
          <cell r="E47">
            <v>206275374.3699199</v>
          </cell>
        </row>
        <row r="48">
          <cell r="D48">
            <v>202752339.3171308</v>
          </cell>
          <cell r="E48">
            <v>206275374.3699199</v>
          </cell>
        </row>
      </sheetData>
      <sheetData sheetId="13"/>
      <sheetData sheetId="14"/>
      <sheetData sheetId="15">
        <row r="8">
          <cell r="F8">
            <v>71745000</v>
          </cell>
          <cell r="M8">
            <v>28698000</v>
          </cell>
          <cell r="Q8">
            <v>43047000</v>
          </cell>
          <cell r="R8">
            <v>0</v>
          </cell>
          <cell r="T8">
            <v>0</v>
          </cell>
          <cell r="W8">
            <v>0</v>
          </cell>
          <cell r="Z8">
            <v>0</v>
          </cell>
          <cell r="AA8">
            <v>0</v>
          </cell>
          <cell r="AD8">
            <v>0</v>
          </cell>
          <cell r="AG8">
            <v>0</v>
          </cell>
          <cell r="AJ8">
            <v>0</v>
          </cell>
          <cell r="AM8">
            <v>0</v>
          </cell>
          <cell r="AP8">
            <v>0</v>
          </cell>
          <cell r="AS8">
            <v>0</v>
          </cell>
          <cell r="AV8">
            <v>0</v>
          </cell>
          <cell r="AY8">
            <v>0</v>
          </cell>
          <cell r="BB8">
            <v>0</v>
          </cell>
          <cell r="BE8">
            <v>0</v>
          </cell>
          <cell r="BR8">
            <v>0</v>
          </cell>
        </row>
        <row r="9">
          <cell r="F9">
            <v>32574835.144289389</v>
          </cell>
          <cell r="M9">
            <v>1601080.4620203578</v>
          </cell>
          <cell r="Q9">
            <v>996000</v>
          </cell>
          <cell r="R9">
            <v>2497249.1249999991</v>
          </cell>
          <cell r="T9">
            <v>14265131.572961926</v>
          </cell>
          <cell r="W9">
            <v>6380239.2412122963</v>
          </cell>
          <cell r="Z9">
            <v>1644134.9826532616</v>
          </cell>
          <cell r="AA9">
            <v>2087864.1533773113</v>
          </cell>
          <cell r="AD9">
            <v>164628.65782798285</v>
          </cell>
          <cell r="AG9">
            <v>228699.23586511373</v>
          </cell>
          <cell r="AJ9">
            <v>260801.03582034603</v>
          </cell>
          <cell r="AM9">
            <v>384861.54043221363</v>
          </cell>
          <cell r="AP9">
            <v>700177.56716504868</v>
          </cell>
          <cell r="AS9">
            <v>348696.11626660638</v>
          </cell>
          <cell r="AV9">
            <v>1266065.7739246318</v>
          </cell>
          <cell r="AY9">
            <v>710146.19277214259</v>
          </cell>
          <cell r="BB9">
            <v>569292.11640233744</v>
          </cell>
          <cell r="BE9">
            <v>557631.52396512963</v>
          </cell>
          <cell r="BR9">
            <v>1794190.9461399913</v>
          </cell>
          <cell r="BS9">
            <v>0</v>
          </cell>
        </row>
        <row r="10">
          <cell r="F10">
            <v>42745113.500291675</v>
          </cell>
          <cell r="M10">
            <v>2471547.3999561248</v>
          </cell>
          <cell r="Q10">
            <v>198000</v>
          </cell>
          <cell r="R10">
            <v>465748.15499999997</v>
          </cell>
          <cell r="T10">
            <v>20822254.815020937</v>
          </cell>
          <cell r="W10">
            <v>8784527.8039470632</v>
          </cell>
          <cell r="Z10">
            <v>2122543.1107536545</v>
          </cell>
          <cell r="AA10">
            <v>2844645.196372408</v>
          </cell>
          <cell r="AD10">
            <v>384731.34469876951</v>
          </cell>
          <cell r="AG10">
            <v>551428.12271309644</v>
          </cell>
          <cell r="AJ10">
            <v>719813.75987678941</v>
          </cell>
          <cell r="AM10">
            <v>729252.1453072927</v>
          </cell>
          <cell r="AP10">
            <v>459419.8237764599</v>
          </cell>
          <cell r="AS10">
            <v>0</v>
          </cell>
          <cell r="AV10">
            <v>1738096.0769196537</v>
          </cell>
          <cell r="AY10">
            <v>1337122.1107151152</v>
          </cell>
          <cell r="BB10">
            <v>1031242.9583315068</v>
          </cell>
          <cell r="BE10">
            <v>929385.8732752162</v>
          </cell>
          <cell r="BR10">
            <v>2816101.350777775</v>
          </cell>
          <cell r="BS10">
            <v>0</v>
          </cell>
        </row>
        <row r="11">
          <cell r="F11">
            <v>40623175.625404418</v>
          </cell>
          <cell r="M11">
            <v>2826003.466096174</v>
          </cell>
          <cell r="Q11">
            <v>-822000</v>
          </cell>
          <cell r="R11">
            <v>0</v>
          </cell>
          <cell r="T11">
            <v>19442307.490913831</v>
          </cell>
          <cell r="W11">
            <v>8088236.5721863471</v>
          </cell>
          <cell r="Z11">
            <v>2887881.8007493843</v>
          </cell>
          <cell r="AA11">
            <v>3279045.3754716543</v>
          </cell>
          <cell r="AD11">
            <v>260821.68394188219</v>
          </cell>
          <cell r="AG11">
            <v>365281.28822497604</v>
          </cell>
          <cell r="AJ11">
            <v>362481.52865130414</v>
          </cell>
          <cell r="AM11">
            <v>891911.19281470298</v>
          </cell>
          <cell r="AP11">
            <v>1177103.954703616</v>
          </cell>
          <cell r="AS11">
            <v>221445.72713517328</v>
          </cell>
          <cell r="AV11">
            <v>1877143.7630732257</v>
          </cell>
          <cell r="AY11">
            <v>1215565.5551955595</v>
          </cell>
          <cell r="BB11">
            <v>1013991.6820768907</v>
          </cell>
          <cell r="BE11">
            <v>814999.91964134329</v>
          </cell>
          <cell r="BR11">
            <v>1060545.3900487646</v>
          </cell>
          <cell r="BS11">
            <v>0</v>
          </cell>
        </row>
        <row r="12">
          <cell r="F12">
            <v>21131085.835475419</v>
          </cell>
          <cell r="M12">
            <v>2215953.2298143208</v>
          </cell>
          <cell r="Q12">
            <v>1650000</v>
          </cell>
          <cell r="R12">
            <v>301499.99999999994</v>
          </cell>
          <cell r="T12">
            <v>7957023.3850928396</v>
          </cell>
          <cell r="W12">
            <v>4475757.5824388368</v>
          </cell>
          <cell r="Z12">
            <v>1093136.8518422954</v>
          </cell>
          <cell r="AA12">
            <v>1392423.8170295672</v>
          </cell>
          <cell r="AD12">
            <v>100391.28106717547</v>
          </cell>
          <cell r="AG12">
            <v>119847.96193070768</v>
          </cell>
          <cell r="AJ12">
            <v>195093.09965426332</v>
          </cell>
          <cell r="AM12">
            <v>288723.68585204746</v>
          </cell>
          <cell r="AP12">
            <v>418032.9473097311</v>
          </cell>
          <cell r="AS12">
            <v>270334.84121564217</v>
          </cell>
          <cell r="AV12">
            <v>812331.2191077118</v>
          </cell>
          <cell r="AY12">
            <v>454237.65483623534</v>
          </cell>
          <cell r="BB12">
            <v>400612.97080164484</v>
          </cell>
          <cell r="BE12">
            <v>378109.12451196829</v>
          </cell>
          <cell r="BR12">
            <v>0</v>
          </cell>
          <cell r="BS12">
            <v>-465133.75752657838</v>
          </cell>
        </row>
        <row r="13">
          <cell r="F13">
            <v>27454036.949329849</v>
          </cell>
          <cell r="M13">
            <v>1921778.8075756405</v>
          </cell>
          <cell r="Q13">
            <v>-312000</v>
          </cell>
          <cell r="R13">
            <v>0</v>
          </cell>
          <cell r="T13">
            <v>12796427.302864652</v>
          </cell>
          <cell r="W13">
            <v>5386343.0890564164</v>
          </cell>
          <cell r="Z13">
            <v>1886768.4956504141</v>
          </cell>
          <cell r="AA13">
            <v>2501478.4504127894</v>
          </cell>
          <cell r="AD13">
            <v>81886.351467298227</v>
          </cell>
          <cell r="AG13">
            <v>214940.09484558654</v>
          </cell>
          <cell r="AJ13">
            <v>426013.70534168876</v>
          </cell>
          <cell r="AM13">
            <v>444870.16901693027</v>
          </cell>
          <cell r="AP13">
            <v>857821.62434324587</v>
          </cell>
          <cell r="AS13">
            <v>475946.50539803947</v>
          </cell>
          <cell r="AV13">
            <v>1251429.1753821506</v>
          </cell>
          <cell r="AY13">
            <v>857293.60208528931</v>
          </cell>
          <cell r="BB13">
            <v>705385.51796653261</v>
          </cell>
          <cell r="BE13">
            <v>459132.50833596144</v>
          </cell>
          <cell r="BR13">
            <v>297203.20863465965</v>
          </cell>
          <cell r="BS13">
            <v>0</v>
          </cell>
        </row>
        <row r="14">
          <cell r="F14">
            <v>15228435.95576304</v>
          </cell>
          <cell r="M14">
            <v>651041.7541347841</v>
          </cell>
          <cell r="Q14">
            <v>60000</v>
          </cell>
          <cell r="R14">
            <v>1472324.9999999998</v>
          </cell>
          <cell r="T14">
            <v>6809805.0384025201</v>
          </cell>
          <cell r="W14">
            <v>3700495.2404584698</v>
          </cell>
          <cell r="Z14">
            <v>612156.63703168533</v>
          </cell>
          <cell r="AA14">
            <v>700857.34386605374</v>
          </cell>
          <cell r="AD14">
            <v>57185.938829576604</v>
          </cell>
          <cell r="AG14">
            <v>60614.594221160209</v>
          </cell>
          <cell r="AJ14">
            <v>126121.52427463344</v>
          </cell>
          <cell r="AM14">
            <v>91796.145018481227</v>
          </cell>
          <cell r="AP14">
            <v>262853.40638930642</v>
          </cell>
          <cell r="AS14">
            <v>102285.73513289582</v>
          </cell>
          <cell r="AV14">
            <v>581804.79206363147</v>
          </cell>
          <cell r="AY14">
            <v>275101.67828110029</v>
          </cell>
          <cell r="BB14">
            <v>191680.84727351429</v>
          </cell>
          <cell r="BE14">
            <v>173167.62425127957</v>
          </cell>
          <cell r="BR14">
            <v>687726.20042743161</v>
          </cell>
          <cell r="BS14">
            <v>0</v>
          </cell>
        </row>
        <row r="15">
          <cell r="F15">
            <v>40004993.145253636</v>
          </cell>
          <cell r="M15">
            <v>2271412.3422035798</v>
          </cell>
          <cell r="Q15">
            <v>-372000</v>
          </cell>
          <cell r="R15">
            <v>0</v>
          </cell>
          <cell r="T15">
            <v>19484986.659505043</v>
          </cell>
          <cell r="W15">
            <v>8196979.0606522607</v>
          </cell>
          <cell r="Z15">
            <v>2488065.2110167383</v>
          </cell>
          <cell r="AA15">
            <v>3197584.3566291388</v>
          </cell>
          <cell r="AD15">
            <v>180891.80080232432</v>
          </cell>
          <cell r="AG15">
            <v>479976.21278543607</v>
          </cell>
          <cell r="AJ15">
            <v>740991.1521069177</v>
          </cell>
          <cell r="AM15">
            <v>829111.46522604604</v>
          </cell>
          <cell r="AP15">
            <v>887905.71935191529</v>
          </cell>
          <cell r="AS15">
            <v>78708.006356499478</v>
          </cell>
          <cell r="AV15">
            <v>1792983.3214539583</v>
          </cell>
          <cell r="AY15">
            <v>1119599.8534695944</v>
          </cell>
          <cell r="BB15">
            <v>992906.78887680394</v>
          </cell>
          <cell r="BE15">
            <v>832475.55144651828</v>
          </cell>
          <cell r="BR15">
            <v>1432985.0854201019</v>
          </cell>
          <cell r="BS15">
            <v>0</v>
          </cell>
        </row>
        <row r="16">
          <cell r="F16">
            <v>46045685.952305384</v>
          </cell>
          <cell r="M16">
            <v>3250386.2391618108</v>
          </cell>
          <cell r="Q16">
            <v>-1245000</v>
          </cell>
          <cell r="R16">
            <v>175233.64046441938</v>
          </cell>
          <cell r="T16">
            <v>23746609.852961957</v>
          </cell>
          <cell r="W16">
            <v>9042444.0399470776</v>
          </cell>
          <cell r="Z16">
            <v>2203420.9484193721</v>
          </cell>
          <cell r="AA16">
            <v>3405224.0040266751</v>
          </cell>
          <cell r="AD16">
            <v>395981.0375832764</v>
          </cell>
          <cell r="AG16">
            <v>664157.45569933834</v>
          </cell>
          <cell r="AJ16">
            <v>574473.02690015605</v>
          </cell>
          <cell r="AM16">
            <v>768482.59241823154</v>
          </cell>
          <cell r="AP16">
            <v>889095.4858211847</v>
          </cell>
          <cell r="AS16">
            <v>113034.40560448826</v>
          </cell>
          <cell r="AV16">
            <v>1617344.1389441828</v>
          </cell>
          <cell r="AY16">
            <v>1541848.9410638411</v>
          </cell>
          <cell r="BB16">
            <v>1196088.4869867291</v>
          </cell>
          <cell r="BE16">
            <v>1112085.6603293184</v>
          </cell>
          <cell r="BR16">
            <v>4609879.5720822066</v>
          </cell>
          <cell r="BS16">
            <v>0</v>
          </cell>
        </row>
        <row r="17">
          <cell r="F17">
            <v>41782021.037511118</v>
          </cell>
          <cell r="M17">
            <v>2601755.7507830816</v>
          </cell>
          <cell r="Q17">
            <v>-990000</v>
          </cell>
          <cell r="R17">
            <v>2116437.54</v>
          </cell>
          <cell r="T17">
            <v>19286805.687912494</v>
          </cell>
          <cell r="W17">
            <v>8205157.8170206826</v>
          </cell>
          <cell r="Z17">
            <v>2504355.0935147805</v>
          </cell>
          <cell r="AA17">
            <v>3319616.9278331315</v>
          </cell>
          <cell r="AD17">
            <v>120404.3216696859</v>
          </cell>
          <cell r="AG17">
            <v>365281.28822497604</v>
          </cell>
          <cell r="AJ17">
            <v>821929.40460288699</v>
          </cell>
          <cell r="AM17">
            <v>1169858.1352904253</v>
          </cell>
          <cell r="AP17">
            <v>774877.9047713211</v>
          </cell>
          <cell r="AS17">
            <v>67265.87327383658</v>
          </cell>
          <cell r="AV17">
            <v>1595389.241130461</v>
          </cell>
          <cell r="AY17">
            <v>1241156.4089891501</v>
          </cell>
          <cell r="BB17">
            <v>1056161.4684770638</v>
          </cell>
          <cell r="BE17">
            <v>845185.10185028194</v>
          </cell>
          <cell r="BR17">
            <v>1149815.7128167301</v>
          </cell>
          <cell r="BS17">
            <v>0</v>
          </cell>
        </row>
        <row r="18">
          <cell r="F18">
            <v>48094759.682641156</v>
          </cell>
          <cell r="M18">
            <v>2575231.8274664795</v>
          </cell>
          <cell r="Q18">
            <v>696000</v>
          </cell>
          <cell r="R18">
            <v>462299.99999999994</v>
          </cell>
          <cell r="T18">
            <v>21058113.082785994</v>
          </cell>
          <cell r="W18">
            <v>9004997.4629012067</v>
          </cell>
          <cell r="Z18">
            <v>4202218.1096703568</v>
          </cell>
          <cell r="AA18">
            <v>4646102.1010440392</v>
          </cell>
          <cell r="AD18">
            <v>47729.675245498373</v>
          </cell>
          <cell r="AG18">
            <v>91851.563022248913</v>
          </cell>
          <cell r="AJ18">
            <v>665492.29830019339</v>
          </cell>
          <cell r="AM18">
            <v>985335.47891881608</v>
          </cell>
          <cell r="AP18">
            <v>2098663.0684720082</v>
          </cell>
          <cell r="AS18">
            <v>757030.0170852741</v>
          </cell>
          <cell r="AV18">
            <v>2385765.5624244511</v>
          </cell>
          <cell r="AY18">
            <v>1343519.824163513</v>
          </cell>
          <cell r="BB18">
            <v>1048494.2345861233</v>
          </cell>
          <cell r="BE18">
            <v>672017.47759900242</v>
          </cell>
          <cell r="BR18">
            <v>0</v>
          </cell>
          <cell r="BS18">
            <v>0</v>
          </cell>
        </row>
        <row r="19">
          <cell r="F19">
            <v>39256919.899114184</v>
          </cell>
          <cell r="M19">
            <v>4253472.7936805896</v>
          </cell>
          <cell r="Q19">
            <v>1542000</v>
          </cell>
          <cell r="R19">
            <v>830106.88499999989</v>
          </cell>
          <cell r="T19">
            <v>17844426.015926622</v>
          </cell>
          <cell r="W19">
            <v>7867293.5324541181</v>
          </cell>
          <cell r="Z19">
            <v>1464946.2751747991</v>
          </cell>
          <cell r="AA19">
            <v>1811860.2280352756</v>
          </cell>
          <cell r="AD19">
            <v>304923.74082969542</v>
          </cell>
          <cell r="AG19">
            <v>344934.75922698795</v>
          </cell>
          <cell r="AJ19">
            <v>237520.40943037634</v>
          </cell>
          <cell r="AM19">
            <v>209642.54740707204</v>
          </cell>
          <cell r="AP19">
            <v>650462.32541343407</v>
          </cell>
          <cell r="AS19">
            <v>64376.445727709572</v>
          </cell>
          <cell r="AV19">
            <v>1284361.5221027336</v>
          </cell>
          <cell r="AY19">
            <v>1036429.5786404244</v>
          </cell>
          <cell r="BB19">
            <v>688134.2417119164</v>
          </cell>
          <cell r="BE19">
            <v>633888.82638771145</v>
          </cell>
          <cell r="BR19">
            <v>3753332.7212189138</v>
          </cell>
          <cell r="BS19">
            <v>0</v>
          </cell>
        </row>
        <row r="20">
          <cell r="F20">
            <v>24556589.617340721</v>
          </cell>
          <cell r="M20">
            <v>1065779.4641762022</v>
          </cell>
          <cell r="Q20">
            <v>-54000</v>
          </cell>
          <cell r="R20">
            <v>449234.99999999994</v>
          </cell>
          <cell r="T20">
            <v>11439465.205362109</v>
          </cell>
          <cell r="W20">
            <v>5914577.7990109148</v>
          </cell>
          <cell r="Z20">
            <v>1275755.0082677144</v>
          </cell>
          <cell r="AA20">
            <v>1975584.8128269762</v>
          </cell>
          <cell r="AD20">
            <v>92076.290674279095</v>
          </cell>
          <cell r="AG20">
            <v>145772.52107174727</v>
          </cell>
          <cell r="AJ20">
            <v>281833.37741876108</v>
          </cell>
          <cell r="AM20">
            <v>259494.6768385614</v>
          </cell>
          <cell r="AP20">
            <v>750742.64210899873</v>
          </cell>
          <cell r="AS20">
            <v>445665.30471462855</v>
          </cell>
          <cell r="AV20">
            <v>1152632.1352204017</v>
          </cell>
          <cell r="AY20">
            <v>550203.35656220058</v>
          </cell>
          <cell r="BB20">
            <v>469618.07582010998</v>
          </cell>
          <cell r="BE20">
            <v>317738.76009409095</v>
          </cell>
          <cell r="BR20">
            <v>415610.58692667261</v>
          </cell>
          <cell r="BS20">
            <v>0</v>
          </cell>
        </row>
        <row r="21">
          <cell r="F21">
            <v>31659005.382639829</v>
          </cell>
          <cell r="M21">
            <v>1403198.4844600949</v>
          </cell>
          <cell r="Q21">
            <v>162000</v>
          </cell>
          <cell r="R21">
            <v>0</v>
          </cell>
          <cell r="T21">
            <v>12482620.907457069</v>
          </cell>
          <cell r="W21">
            <v>7819042.9892663099</v>
          </cell>
          <cell r="Z21">
            <v>1982121.7005405354</v>
          </cell>
          <cell r="AA21">
            <v>3223353.197535391</v>
          </cell>
          <cell r="AD21">
            <v>134258.47752678383</v>
          </cell>
          <cell r="AG21">
            <v>760383.67992437433</v>
          </cell>
          <cell r="AJ21">
            <v>875279.79815067607</v>
          </cell>
          <cell r="AM21">
            <v>896352.39034825226</v>
          </cell>
          <cell r="AP21">
            <v>557078.85158530448</v>
          </cell>
          <cell r="AS21">
            <v>0</v>
          </cell>
          <cell r="AV21">
            <v>1426414.9772477434</v>
          </cell>
          <cell r="AY21">
            <v>1091855.8687402795</v>
          </cell>
          <cell r="BB21">
            <v>1220924.6522392347</v>
          </cell>
          <cell r="BE21">
            <v>847472.60515316902</v>
          </cell>
          <cell r="BR21">
            <v>0</v>
          </cell>
          <cell r="BS21">
            <v>-3723572.0942208767</v>
          </cell>
        </row>
        <row r="22">
          <cell r="F22">
            <v>44977204.066361316</v>
          </cell>
          <cell r="M22">
            <v>2667872.5483284802</v>
          </cell>
          <cell r="Q22">
            <v>408000</v>
          </cell>
          <cell r="R22">
            <v>543851.73</v>
          </cell>
          <cell r="T22">
            <v>21625987.189735401</v>
          </cell>
          <cell r="W22">
            <v>11375375.733490588</v>
          </cell>
          <cell r="Z22">
            <v>1783109.5508954658</v>
          </cell>
          <cell r="AA22">
            <v>1679835.7197643302</v>
          </cell>
          <cell r="AD22">
            <v>280017.32436208235</v>
          </cell>
          <cell r="AG22">
            <v>341595.58938810212</v>
          </cell>
          <cell r="AJ22">
            <v>479387.78409777273</v>
          </cell>
          <cell r="AM22">
            <v>329114.34313163551</v>
          </cell>
          <cell r="AP22">
            <v>249720.67878473731</v>
          </cell>
          <cell r="AS22">
            <v>0</v>
          </cell>
          <cell r="AV22">
            <v>1724010.1706322816</v>
          </cell>
          <cell r="AY22">
            <v>1144366.8480649893</v>
          </cell>
          <cell r="BB22">
            <v>1055095.5838262059</v>
          </cell>
          <cell r="BE22">
            <v>969698.99162357266</v>
          </cell>
          <cell r="BR22">
            <v>2853136.3255433366</v>
          </cell>
          <cell r="BS22">
            <v>0</v>
          </cell>
        </row>
        <row r="23">
          <cell r="F23">
            <v>29581742.956328079</v>
          </cell>
          <cell r="M23">
            <v>2591604.9570877906</v>
          </cell>
          <cell r="Q23">
            <v>-1062000</v>
          </cell>
          <cell r="R23">
            <v>296474.99999999994</v>
          </cell>
          <cell r="T23">
            <v>14696026.132432904</v>
          </cell>
          <cell r="W23">
            <v>7039534.3562942278</v>
          </cell>
          <cell r="Z23">
            <v>1103153.1054829352</v>
          </cell>
          <cell r="AA23">
            <v>1243679.2468731923</v>
          </cell>
          <cell r="AD23">
            <v>226354.56446213968</v>
          </cell>
          <cell r="AG23">
            <v>320597.29285447521</v>
          </cell>
          <cell r="AJ23">
            <v>336255.32394150132</v>
          </cell>
          <cell r="AM23">
            <v>292350.76698011532</v>
          </cell>
          <cell r="AP23">
            <v>68121.298634960724</v>
          </cell>
          <cell r="AS23">
            <v>0</v>
          </cell>
          <cell r="AV23">
            <v>1016198.0431349288</v>
          </cell>
          <cell r="AY23">
            <v>1061426.8645297519</v>
          </cell>
          <cell r="BB23">
            <v>769106.00005990919</v>
          </cell>
          <cell r="BE23">
            <v>826539.25043243892</v>
          </cell>
          <cell r="BR23">
            <v>2237151.0523646958</v>
          </cell>
          <cell r="BS23">
            <v>0</v>
          </cell>
        </row>
        <row r="24">
          <cell r="F24">
            <v>47589265.747331306</v>
          </cell>
          <cell r="M24">
            <v>3529386.1034787344</v>
          </cell>
          <cell r="Q24">
            <v>-1734000</v>
          </cell>
          <cell r="R24">
            <v>0</v>
          </cell>
          <cell r="T24">
            <v>25953945.224596709</v>
          </cell>
          <cell r="W24">
            <v>9610700.981952535</v>
          </cell>
          <cell r="Z24">
            <v>1831191.1381723578</v>
          </cell>
          <cell r="AA24">
            <v>2795829.1094420706</v>
          </cell>
          <cell r="AD24">
            <v>430245.77795794775</v>
          </cell>
          <cell r="AG24">
            <v>325713.29912071722</v>
          </cell>
          <cell r="AJ24">
            <v>495670.17412223702</v>
          </cell>
          <cell r="AM24">
            <v>775164.54438136541</v>
          </cell>
          <cell r="AP24">
            <v>637421.1640845401</v>
          </cell>
          <cell r="AS24">
            <v>131614.14977526339</v>
          </cell>
          <cell r="AV24">
            <v>1945706.1240057028</v>
          </cell>
          <cell r="AY24">
            <v>1140064.0942319247</v>
          </cell>
          <cell r="BB24">
            <v>1399169.6213737703</v>
          </cell>
          <cell r="BE24">
            <v>1117273.3500774978</v>
          </cell>
          <cell r="BR24">
            <v>7066083.2805909663</v>
          </cell>
          <cell r="BS24">
            <v>0</v>
          </cell>
        </row>
        <row r="25">
          <cell r="F25">
            <v>39989904.979738563</v>
          </cell>
          <cell r="M25">
            <v>3293860.3271711431</v>
          </cell>
          <cell r="Q25">
            <v>183000</v>
          </cell>
          <cell r="R25">
            <v>703499.99999999988</v>
          </cell>
          <cell r="T25">
            <v>20673297.326787718</v>
          </cell>
          <cell r="W25">
            <v>8963619.2517315987</v>
          </cell>
          <cell r="Z25">
            <v>1074807.6624548754</v>
          </cell>
          <cell r="AA25">
            <v>1255412.9729693993</v>
          </cell>
          <cell r="AD25">
            <v>83757.43666329213</v>
          </cell>
          <cell r="AG25">
            <v>228005.84401423903</v>
          </cell>
          <cell r="AJ25">
            <v>218023.19136930484</v>
          </cell>
          <cell r="AM25">
            <v>203359.24943690948</v>
          </cell>
          <cell r="AP25">
            <v>454320.78695914755</v>
          </cell>
          <cell r="AS25">
            <v>67946.464526506243</v>
          </cell>
          <cell r="AV25">
            <v>946911.81292118388</v>
          </cell>
          <cell r="AY25">
            <v>1257560.089497206</v>
          </cell>
          <cell r="BB25">
            <v>907372.24726169056</v>
          </cell>
          <cell r="BE25">
            <v>730563.2889437502</v>
          </cell>
          <cell r="BR25">
            <v>6350887.8991457522</v>
          </cell>
          <cell r="BS25">
            <v>0</v>
          </cell>
        </row>
        <row r="26">
          <cell r="F26">
            <v>53860933.145558156</v>
          </cell>
          <cell r="M26">
            <v>4350504.6301448559</v>
          </cell>
          <cell r="Q26">
            <v>-1878000</v>
          </cell>
          <cell r="R26">
            <v>386924.99999999994</v>
          </cell>
          <cell r="T26">
            <v>27359993.428959522</v>
          </cell>
          <cell r="W26">
            <v>11509913.386746768</v>
          </cell>
          <cell r="Z26">
            <v>2758784.6641673213</v>
          </cell>
          <cell r="AA26">
            <v>2938860.9307370977</v>
          </cell>
          <cell r="AD26">
            <v>473804.68339761399</v>
          </cell>
          <cell r="AG26">
            <v>800175.97148274432</v>
          </cell>
          <cell r="AJ26">
            <v>647007.03521532752</v>
          </cell>
          <cell r="AM26">
            <v>715846.92823442875</v>
          </cell>
          <cell r="AP26">
            <v>259611.87826237001</v>
          </cell>
          <cell r="AS26">
            <v>42414.434144613559</v>
          </cell>
          <cell r="AV26">
            <v>1943313.790280757</v>
          </cell>
          <cell r="AY26">
            <v>1597908.9210583761</v>
          </cell>
          <cell r="BB26">
            <v>1584876.8585504193</v>
          </cell>
          <cell r="BE26">
            <v>1307851.5349130272</v>
          </cell>
          <cell r="BR26">
            <v>4720135.5217159986</v>
          </cell>
          <cell r="BS26">
            <v>0</v>
          </cell>
        </row>
        <row r="27">
          <cell r="F27">
            <v>47432023.292238228</v>
          </cell>
          <cell r="M27">
            <v>3821203.8346908437</v>
          </cell>
          <cell r="Q27">
            <v>-972000</v>
          </cell>
          <cell r="R27">
            <v>0</v>
          </cell>
          <cell r="T27">
            <v>24602555.986506972</v>
          </cell>
          <cell r="W27">
            <v>10323860.274465617</v>
          </cell>
          <cell r="Z27">
            <v>2068940.969169453</v>
          </cell>
          <cell r="AA27">
            <v>2483388.232298953</v>
          </cell>
          <cell r="AD27">
            <v>509482.15847922728</v>
          </cell>
          <cell r="AG27">
            <v>528967.71254466486</v>
          </cell>
          <cell r="AJ27">
            <v>512671.68873936898</v>
          </cell>
          <cell r="AM27">
            <v>437969.44520517864</v>
          </cell>
          <cell r="AP27">
            <v>402002.11644208577</v>
          </cell>
          <cell r="AS27">
            <v>92295.110888427385</v>
          </cell>
          <cell r="AV27">
            <v>1694647.2692952896</v>
          </cell>
          <cell r="AY27">
            <v>1091291.2987567622</v>
          </cell>
          <cell r="BB27">
            <v>1346198.4477186275</v>
          </cell>
          <cell r="BE27">
            <v>971936.97933570947</v>
          </cell>
          <cell r="BR27">
            <v>5357822.065875195</v>
          </cell>
          <cell r="BS27">
            <v>0</v>
          </cell>
        </row>
        <row r="28">
          <cell r="F28">
            <v>45457311.184969753</v>
          </cell>
          <cell r="M28">
            <v>3096011.2910176287</v>
          </cell>
          <cell r="Q28">
            <v>-1452000</v>
          </cell>
          <cell r="R28">
            <v>390794.24999999994</v>
          </cell>
          <cell r="T28">
            <v>21057171.906844079</v>
          </cell>
          <cell r="W28">
            <v>10230153.457774051</v>
          </cell>
          <cell r="Z28">
            <v>2396220.6792538688</v>
          </cell>
          <cell r="AA28">
            <v>3885472.3262524521</v>
          </cell>
          <cell r="AD28">
            <v>230250.25919066489</v>
          </cell>
          <cell r="AG28">
            <v>356522.58340293722</v>
          </cell>
          <cell r="AJ28">
            <v>482737.61208404566</v>
          </cell>
          <cell r="AM28">
            <v>1062165.8425384678</v>
          </cell>
          <cell r="AP28">
            <v>1637286.6005997816</v>
          </cell>
          <cell r="AS28">
            <v>116509.42843655519</v>
          </cell>
          <cell r="AV28">
            <v>1897122.9701382602</v>
          </cell>
          <cell r="AY28">
            <v>1119113.1071672386</v>
          </cell>
          <cell r="BB28">
            <v>1603888.4675406644</v>
          </cell>
          <cell r="BE28">
            <v>1233362.7289815077</v>
          </cell>
          <cell r="BR28">
            <v>0</v>
          </cell>
          <cell r="BS28">
            <v>-7.4505805969238281E-9</v>
          </cell>
        </row>
        <row r="29">
          <cell r="F29">
            <v>35737187.557796292</v>
          </cell>
          <cell r="M29">
            <v>1785480.1228546721</v>
          </cell>
          <cell r="Q29">
            <v>444000</v>
          </cell>
          <cell r="R29">
            <v>321599.99999999994</v>
          </cell>
          <cell r="T29">
            <v>16458947.773077577</v>
          </cell>
          <cell r="W29">
            <v>7307909.6531651458</v>
          </cell>
          <cell r="Z29">
            <v>1887506.5057453373</v>
          </cell>
          <cell r="AA29">
            <v>2712748.7111168769</v>
          </cell>
          <cell r="AD29">
            <v>127530.34883985268</v>
          </cell>
          <cell r="AG29">
            <v>221506.08762978093</v>
          </cell>
          <cell r="AJ29">
            <v>517957.86216195638</v>
          </cell>
          <cell r="AM29">
            <v>831134.2040052563</v>
          </cell>
          <cell r="AP29">
            <v>814893.2639066868</v>
          </cell>
          <cell r="AS29">
            <v>199726.94457334437</v>
          </cell>
          <cell r="AV29">
            <v>1692588.1069733989</v>
          </cell>
          <cell r="AY29">
            <v>948661.65644647228</v>
          </cell>
          <cell r="BB29">
            <v>1167296.9222726503</v>
          </cell>
          <cell r="BE29">
            <v>1010448.1061441632</v>
          </cell>
          <cell r="BR29">
            <v>22403.217804219574</v>
          </cell>
          <cell r="BS29">
            <v>0</v>
          </cell>
        </row>
        <row r="30">
          <cell r="F30">
            <v>29212957.70271612</v>
          </cell>
          <cell r="M30">
            <v>2334388.4797874205</v>
          </cell>
          <cell r="Q30">
            <v>-72000</v>
          </cell>
          <cell r="R30">
            <v>92459.999999999985</v>
          </cell>
          <cell r="T30">
            <v>14670609.103239248</v>
          </cell>
          <cell r="W30">
            <v>7215718.8896297757</v>
          </cell>
          <cell r="Z30">
            <v>911976.08329380909</v>
          </cell>
          <cell r="AA30">
            <v>786121.05807781231</v>
          </cell>
          <cell r="AD30">
            <v>207335.33465381939</v>
          </cell>
          <cell r="AG30">
            <v>337040.32844558801</v>
          </cell>
          <cell r="AJ30">
            <v>72754.06738713583</v>
          </cell>
          <cell r="AM30">
            <v>86639.136376095194</v>
          </cell>
          <cell r="AP30">
            <v>82352.191215173792</v>
          </cell>
          <cell r="AS30">
            <v>0</v>
          </cell>
          <cell r="AV30">
            <v>1113352.9477664442</v>
          </cell>
          <cell r="AY30">
            <v>760944.9659813589</v>
          </cell>
          <cell r="BB30">
            <v>850085.38663384411</v>
          </cell>
          <cell r="BE30">
            <v>549300.78830640449</v>
          </cell>
          <cell r="BR30">
            <v>3046055.8871494718</v>
          </cell>
          <cell r="BS30">
            <v>0</v>
          </cell>
        </row>
        <row r="31">
          <cell r="F31">
            <v>24364748.946851499</v>
          </cell>
          <cell r="M31">
            <v>1361027.4355175812</v>
          </cell>
          <cell r="Q31">
            <v>-270000</v>
          </cell>
          <cell r="R31">
            <v>78540.749999999985</v>
          </cell>
          <cell r="T31">
            <v>10603814.177797958</v>
          </cell>
          <cell r="W31">
            <v>6813912.0597659182</v>
          </cell>
          <cell r="Z31">
            <v>1167832.2527560527</v>
          </cell>
          <cell r="AA31">
            <v>1329841.8557455156</v>
          </cell>
          <cell r="AD31">
            <v>282290.86046983191</v>
          </cell>
          <cell r="AG31">
            <v>274373.41901545407</v>
          </cell>
          <cell r="AJ31">
            <v>288125.42926609394</v>
          </cell>
          <cell r="AM31">
            <v>274174.9660679131</v>
          </cell>
          <cell r="AP31">
            <v>210877.18092622262</v>
          </cell>
          <cell r="AS31">
            <v>0</v>
          </cell>
          <cell r="AV31">
            <v>904020.33707457955</v>
          </cell>
          <cell r="AY31">
            <v>882599.51235354366</v>
          </cell>
          <cell r="BB31">
            <v>731082.78207941924</v>
          </cell>
          <cell r="BE31">
            <v>762077.78376093158</v>
          </cell>
          <cell r="BR31">
            <v>0</v>
          </cell>
          <cell r="BS31">
            <v>-975483.7730320245</v>
          </cell>
        </row>
        <row r="32">
          <cell r="F32">
            <v>35994193.989861615</v>
          </cell>
          <cell r="M32">
            <v>3041374.7050944674</v>
          </cell>
          <cell r="Q32">
            <v>-444000</v>
          </cell>
          <cell r="R32">
            <v>75374.999999999985</v>
          </cell>
          <cell r="T32">
            <v>15937975.040976947</v>
          </cell>
          <cell r="W32">
            <v>9012189.6379827522</v>
          </cell>
          <cell r="Z32">
            <v>1676655.2493494677</v>
          </cell>
          <cell r="AA32">
            <v>1928912.9724860676</v>
          </cell>
          <cell r="AD32">
            <v>474875.70938656194</v>
          </cell>
          <cell r="AG32">
            <v>553684.62036752317</v>
          </cell>
          <cell r="AJ32">
            <v>551673.76465429284</v>
          </cell>
          <cell r="AM32">
            <v>283721.7263009256</v>
          </cell>
          <cell r="AP32">
            <v>64957.151776764105</v>
          </cell>
          <cell r="AS32">
            <v>0</v>
          </cell>
          <cell r="AV32">
            <v>1356266.3181882137</v>
          </cell>
          <cell r="AY32">
            <v>1356723.5827574616</v>
          </cell>
          <cell r="BB32">
            <v>1072768.8766876163</v>
          </cell>
          <cell r="BE32">
            <v>979952.60633862566</v>
          </cell>
          <cell r="BR32">
            <v>0</v>
          </cell>
          <cell r="BS32">
            <v>0</v>
          </cell>
        </row>
        <row r="33">
          <cell r="F33">
            <v>38641486.336643517</v>
          </cell>
          <cell r="M33">
            <v>2685658.3653173367</v>
          </cell>
          <cell r="Q33">
            <v>-1296000</v>
          </cell>
          <cell r="R33">
            <v>1165799.9999999998</v>
          </cell>
          <cell r="T33">
            <v>21161149.328968402</v>
          </cell>
          <cell r="W33">
            <v>7780665.7541398639</v>
          </cell>
          <cell r="Z33">
            <v>1566775.438100257</v>
          </cell>
          <cell r="AA33">
            <v>1677168.0734039408</v>
          </cell>
          <cell r="AD33">
            <v>462887.3150137926</v>
          </cell>
          <cell r="AG33">
            <v>345514.09342467343</v>
          </cell>
          <cell r="AJ33">
            <v>451904.40018590435</v>
          </cell>
          <cell r="AM33">
            <v>166201.31359275687</v>
          </cell>
          <cell r="AP33">
            <v>250660.95118681347</v>
          </cell>
          <cell r="AS33">
            <v>0</v>
          </cell>
          <cell r="AV33">
            <v>1265173.8042800501</v>
          </cell>
          <cell r="AY33">
            <v>973301.70067383104</v>
          </cell>
          <cell r="BB33">
            <v>996773.71738355118</v>
          </cell>
          <cell r="BE33">
            <v>665020.15437628701</v>
          </cell>
          <cell r="BR33">
            <v>7147275.8739751056</v>
          </cell>
          <cell r="BS33">
            <v>0</v>
          </cell>
        </row>
        <row r="34">
          <cell r="F34">
            <v>18334699.258270372</v>
          </cell>
          <cell r="M34">
            <v>1916421.7805492918</v>
          </cell>
          <cell r="Q34">
            <v>-54000</v>
          </cell>
          <cell r="R34">
            <v>0</v>
          </cell>
          <cell r="T34">
            <v>8976122.3101294581</v>
          </cell>
          <cell r="W34">
            <v>4883693.9471842414</v>
          </cell>
          <cell r="Z34">
            <v>476936.35098578292</v>
          </cell>
          <cell r="AA34">
            <v>244912.89755512719</v>
          </cell>
          <cell r="AD34">
            <v>107745.22466059458</v>
          </cell>
          <cell r="AG34">
            <v>60932.737768683553</v>
          </cell>
          <cell r="AJ34">
            <v>46139.98758926813</v>
          </cell>
          <cell r="AM34">
            <v>30094.947536580923</v>
          </cell>
          <cell r="AP34">
            <v>0</v>
          </cell>
          <cell r="AS34">
            <v>0</v>
          </cell>
          <cell r="AV34">
            <v>499321.92808919313</v>
          </cell>
          <cell r="AY34">
            <v>566284.62584659271</v>
          </cell>
          <cell r="BB34">
            <v>438297.66296297999</v>
          </cell>
          <cell r="BE34">
            <v>386707.75496770872</v>
          </cell>
          <cell r="BR34">
            <v>1972909.9462579265</v>
          </cell>
          <cell r="BS34">
            <v>0</v>
          </cell>
        </row>
        <row r="35">
          <cell r="F35">
            <v>27000703.378343556</v>
          </cell>
          <cell r="M35">
            <v>2054213.0055403572</v>
          </cell>
          <cell r="Q35">
            <v>-846000</v>
          </cell>
          <cell r="R35">
            <v>50249.999999999993</v>
          </cell>
          <cell r="T35">
            <v>15277871.307622733</v>
          </cell>
          <cell r="W35">
            <v>5904238.234404983</v>
          </cell>
          <cell r="Z35">
            <v>1042232.0770055938</v>
          </cell>
          <cell r="AA35">
            <v>936092.01681187737</v>
          </cell>
          <cell r="AD35">
            <v>179252.89024789465</v>
          </cell>
          <cell r="AG35">
            <v>247043.96949162264</v>
          </cell>
          <cell r="AJ35">
            <v>224889.95351279413</v>
          </cell>
          <cell r="AM35">
            <v>172143.86088530134</v>
          </cell>
          <cell r="AP35">
            <v>64300.9025896487</v>
          </cell>
          <cell r="AS35">
            <v>48460.440084615817</v>
          </cell>
          <cell r="AV35">
            <v>774098.13535710762</v>
          </cell>
          <cell r="AY35">
            <v>652336.13948029908</v>
          </cell>
          <cell r="BB35">
            <v>549804.25069648144</v>
          </cell>
          <cell r="BE35">
            <v>605568.21142411802</v>
          </cell>
          <cell r="BR35">
            <v>5503442.0870502107</v>
          </cell>
          <cell r="BS35">
            <v>0</v>
          </cell>
        </row>
        <row r="36">
          <cell r="F36">
            <v>46509976.614454813</v>
          </cell>
          <cell r="M36">
            <v>640883.92319090874</v>
          </cell>
          <cell r="Q36">
            <v>-330000</v>
          </cell>
          <cell r="R36">
            <v>0</v>
          </cell>
          <cell r="T36">
            <v>22742097.659970224</v>
          </cell>
          <cell r="W36">
            <v>10293324.487542396</v>
          </cell>
          <cell r="Z36">
            <v>2951461.0342592299</v>
          </cell>
          <cell r="AA36">
            <v>3913777.8222785303</v>
          </cell>
          <cell r="AD36">
            <v>782591.60116688139</v>
          </cell>
          <cell r="AG36">
            <v>1000864.679556438</v>
          </cell>
          <cell r="AJ36">
            <v>976463.52259495482</v>
          </cell>
          <cell r="AM36">
            <v>606051.92674833036</v>
          </cell>
          <cell r="AP36">
            <v>547806.09221192566</v>
          </cell>
          <cell r="AS36">
            <v>0</v>
          </cell>
          <cell r="AV36">
            <v>2416033.0236636419</v>
          </cell>
          <cell r="AY36">
            <v>1258915.7830830542</v>
          </cell>
          <cell r="BB36">
            <v>1564142.1240253737</v>
          </cell>
          <cell r="BE36">
            <v>1059340.7564414614</v>
          </cell>
          <cell r="BR36">
            <v>0</v>
          </cell>
          <cell r="BS36">
            <v>-7.4505805969238281E-9</v>
          </cell>
        </row>
        <row r="37">
          <cell r="F37">
            <v>37979238.815826319</v>
          </cell>
          <cell r="M37">
            <v>2465503.3736053309</v>
          </cell>
          <cell r="Q37">
            <v>-1032000</v>
          </cell>
          <cell r="R37">
            <v>0</v>
          </cell>
          <cell r="T37">
            <v>19881199.289481558</v>
          </cell>
          <cell r="W37">
            <v>9364784.7648761533</v>
          </cell>
          <cell r="Z37">
            <v>1826992.6460812916</v>
          </cell>
          <cell r="AA37">
            <v>1460556.9488428931</v>
          </cell>
          <cell r="AD37">
            <v>405299.25911486865</v>
          </cell>
          <cell r="AG37">
            <v>564266.56354784372</v>
          </cell>
          <cell r="AJ37">
            <v>179244.62133871161</v>
          </cell>
          <cell r="AM37">
            <v>281095.75179986696</v>
          </cell>
          <cell r="AP37">
            <v>30650.753041602129</v>
          </cell>
          <cell r="AS37">
            <v>0</v>
          </cell>
          <cell r="AV37">
            <v>1243852.79955152</v>
          </cell>
          <cell r="AY37">
            <v>830681.89397980564</v>
          </cell>
          <cell r="BB37">
            <v>1076748.4000838727</v>
          </cell>
          <cell r="BE37">
            <v>860918.69932390947</v>
          </cell>
          <cell r="BR37">
            <v>4111981.1900336742</v>
          </cell>
          <cell r="BS37">
            <v>0</v>
          </cell>
        </row>
        <row r="38">
          <cell r="F38">
            <v>21100230.660173059</v>
          </cell>
          <cell r="M38">
            <v>1591830.6205026598</v>
          </cell>
          <cell r="Q38">
            <v>456000</v>
          </cell>
          <cell r="R38">
            <v>0</v>
          </cell>
          <cell r="T38">
            <v>11202855.505861316</v>
          </cell>
          <cell r="W38">
            <v>5638467.5701103462</v>
          </cell>
          <cell r="Z38">
            <v>430823.7203656105</v>
          </cell>
          <cell r="AA38">
            <v>185640.47127899638</v>
          </cell>
          <cell r="AD38">
            <v>58401.143746970338</v>
          </cell>
          <cell r="AG38">
            <v>80231.370148797141</v>
          </cell>
          <cell r="AJ38">
            <v>25276.688853251231</v>
          </cell>
          <cell r="AM38">
            <v>21731.268529977671</v>
          </cell>
          <cell r="AP38">
            <v>0</v>
          </cell>
          <cell r="AS38">
            <v>0</v>
          </cell>
          <cell r="AV38">
            <v>465583.9599750585</v>
          </cell>
          <cell r="AY38">
            <v>483701.45124396449</v>
          </cell>
          <cell r="BB38">
            <v>312817.28364696557</v>
          </cell>
          <cell r="BE38">
            <v>332510.07718814351</v>
          </cell>
          <cell r="BR38">
            <v>3835026.898752328</v>
          </cell>
          <cell r="BS38">
            <v>0</v>
          </cell>
        </row>
        <row r="39">
          <cell r="F39">
            <v>28556967.256639913</v>
          </cell>
          <cell r="M39">
            <v>2056485.0893365368</v>
          </cell>
          <cell r="Q39">
            <v>-474000</v>
          </cell>
          <cell r="R39">
            <v>267330</v>
          </cell>
          <cell r="T39">
            <v>16830504.635167155</v>
          </cell>
          <cell r="W39">
            <v>5872939.2191363173</v>
          </cell>
          <cell r="Z39">
            <v>972581.25496603572</v>
          </cell>
          <cell r="AA39">
            <v>632984.9848002576</v>
          </cell>
          <cell r="AD39">
            <v>87639.296794037873</v>
          </cell>
          <cell r="AG39">
            <v>260629.49973244788</v>
          </cell>
          <cell r="AJ39">
            <v>70279.894139595359</v>
          </cell>
          <cell r="AM39">
            <v>80134.052704292655</v>
          </cell>
          <cell r="AP39">
            <v>134302.24142988381</v>
          </cell>
          <cell r="AS39">
            <v>0</v>
          </cell>
          <cell r="AV39">
            <v>614031.019677251</v>
          </cell>
          <cell r="AY39">
            <v>808135.35146857495</v>
          </cell>
          <cell r="BB39">
            <v>455970.9558243904</v>
          </cell>
          <cell r="BE39">
            <v>520004.74626339629</v>
          </cell>
          <cell r="BR39">
            <v>7747294.1540860906</v>
          </cell>
          <cell r="BS39">
            <v>0</v>
          </cell>
        </row>
        <row r="40">
          <cell r="F40">
            <v>36210174.825666517</v>
          </cell>
          <cell r="M40">
            <v>3246028.6920571066</v>
          </cell>
          <cell r="Q40">
            <v>390000</v>
          </cell>
          <cell r="R40">
            <v>364814.99999999994</v>
          </cell>
          <cell r="T40">
            <v>15661426.342139134</v>
          </cell>
          <cell r="W40">
            <v>7844379.8452937007</v>
          </cell>
          <cell r="Z40">
            <v>1660012.2180614499</v>
          </cell>
          <cell r="AA40">
            <v>2494714.1513065402</v>
          </cell>
          <cell r="AD40">
            <v>530843.53451715293</v>
          </cell>
          <cell r="AG40">
            <v>494763.10143341916</v>
          </cell>
          <cell r="AJ40">
            <v>731561.32029046584</v>
          </cell>
          <cell r="AM40">
            <v>304025.22371987608</v>
          </cell>
          <cell r="AP40">
            <v>316698.90580235398</v>
          </cell>
          <cell r="AS40">
            <v>116822.06554327224</v>
          </cell>
          <cell r="AV40">
            <v>1709060.3452723806</v>
          </cell>
          <cell r="AY40">
            <v>899905.38514478959</v>
          </cell>
          <cell r="BB40">
            <v>1265136.1618963</v>
          </cell>
          <cell r="BE40">
            <v>674696.68449511041</v>
          </cell>
          <cell r="BR40">
            <v>0</v>
          </cell>
          <cell r="BS40">
            <v>-3.7252902984619141E-9</v>
          </cell>
        </row>
        <row r="41">
          <cell r="F41">
            <v>163498834.71493012</v>
          </cell>
          <cell r="M41">
            <v>17468281.708609819</v>
          </cell>
          <cell r="Q41">
            <v>-2451000</v>
          </cell>
          <cell r="R41">
            <v>4911434.9999999991</v>
          </cell>
          <cell r="T41">
            <v>64002086.959733739</v>
          </cell>
          <cell r="W41">
            <v>31814109.220521323</v>
          </cell>
          <cell r="Z41">
            <v>12008390.844358567</v>
          </cell>
          <cell r="AA41">
            <v>12250147.950064452</v>
          </cell>
          <cell r="AD41">
            <v>816289.40158445516</v>
          </cell>
          <cell r="AG41">
            <v>1254209.6528375428</v>
          </cell>
          <cell r="AJ41">
            <v>2655505.3498289697</v>
          </cell>
          <cell r="AM41">
            <v>2430932.8013722929</v>
          </cell>
          <cell r="AP41">
            <v>3763371.468678413</v>
          </cell>
          <cell r="AS41">
            <v>1329839.2757627773</v>
          </cell>
          <cell r="AV41">
            <v>7482781.2626325712</v>
          </cell>
          <cell r="AY41">
            <v>5904154.8226205343</v>
          </cell>
          <cell r="BB41">
            <v>5960365.391913265</v>
          </cell>
          <cell r="BE41">
            <v>4148081.5544758388</v>
          </cell>
          <cell r="BR41">
            <v>0</v>
          </cell>
          <cell r="BS41">
            <v>-10820053.985784158</v>
          </cell>
        </row>
        <row r="42">
          <cell r="F42">
            <v>39029101.399337307</v>
          </cell>
          <cell r="M42">
            <v>3592154.1327141249</v>
          </cell>
          <cell r="Q42">
            <v>756000</v>
          </cell>
          <cell r="R42">
            <v>495464.99999999994</v>
          </cell>
          <cell r="T42">
            <v>15160240.382533431</v>
          </cell>
          <cell r="W42">
            <v>8681196.0991247594</v>
          </cell>
          <cell r="Z42">
            <v>2058458.7602971653</v>
          </cell>
          <cell r="AA42">
            <v>2422979.4828188801</v>
          </cell>
          <cell r="AD42">
            <v>267112.8079696708</v>
          </cell>
          <cell r="AG42">
            <v>231222.76120991568</v>
          </cell>
          <cell r="AJ42">
            <v>485743.2658756845</v>
          </cell>
          <cell r="AM42">
            <v>484169.99322219158</v>
          </cell>
          <cell r="AP42">
            <v>421041.35237868608</v>
          </cell>
          <cell r="AS42">
            <v>533689.30216273165</v>
          </cell>
          <cell r="AV42">
            <v>1516079.2040474471</v>
          </cell>
          <cell r="AY42">
            <v>1546707.2254380803</v>
          </cell>
          <cell r="BB42">
            <v>1663469.2688959006</v>
          </cell>
          <cell r="BE42">
            <v>1136351.8434675192</v>
          </cell>
          <cell r="BR42">
            <v>0</v>
          </cell>
          <cell r="BS42">
            <v>-2402793.5184261203</v>
          </cell>
        </row>
        <row r="43">
          <cell r="F43">
            <v>33504999.70716773</v>
          </cell>
          <cell r="M43">
            <v>3360985.8477325221</v>
          </cell>
          <cell r="Q43">
            <v>432000</v>
          </cell>
          <cell r="R43">
            <v>1237154.9999999998</v>
          </cell>
          <cell r="T43">
            <v>12381841.811473716</v>
          </cell>
          <cell r="W43">
            <v>7590632.2683288921</v>
          </cell>
          <cell r="Z43">
            <v>1668685.78207423</v>
          </cell>
          <cell r="AA43">
            <v>1944313.9555403714</v>
          </cell>
          <cell r="AD43">
            <v>256307.3286496918</v>
          </cell>
          <cell r="AG43">
            <v>510718.42219359271</v>
          </cell>
          <cell r="AJ43">
            <v>313731.86540066311</v>
          </cell>
          <cell r="AM43">
            <v>363563.77144237451</v>
          </cell>
          <cell r="AP43">
            <v>370881.95855669217</v>
          </cell>
          <cell r="AS43">
            <v>129110.60929735702</v>
          </cell>
          <cell r="AV43">
            <v>1195780.7806571412</v>
          </cell>
          <cell r="AY43">
            <v>1285367.0390709564</v>
          </cell>
          <cell r="BB43">
            <v>1403002.899222479</v>
          </cell>
          <cell r="BE43">
            <v>1005234.3230674207</v>
          </cell>
          <cell r="BR43">
            <v>0</v>
          </cell>
          <cell r="BS43">
            <v>-2860510.1565873139</v>
          </cell>
        </row>
        <row r="44">
          <cell r="F44">
            <v>41153397.470044851</v>
          </cell>
          <cell r="M44">
            <v>2263439.0338198682</v>
          </cell>
          <cell r="Q44">
            <v>-636000</v>
          </cell>
          <cell r="R44">
            <v>988919.99999999988</v>
          </cell>
          <cell r="T44">
            <v>17549646.432445642</v>
          </cell>
          <cell r="W44">
            <v>8859697.5185101926</v>
          </cell>
          <cell r="Z44">
            <v>2945930.853133617</v>
          </cell>
          <cell r="AA44">
            <v>3370238.5236196001</v>
          </cell>
          <cell r="AD44">
            <v>281282.25726662448</v>
          </cell>
          <cell r="AG44">
            <v>513331.35897033755</v>
          </cell>
          <cell r="AJ44">
            <v>798689.13893674302</v>
          </cell>
          <cell r="AM44">
            <v>651118.47706852993</v>
          </cell>
          <cell r="AP44">
            <v>916542.48287448462</v>
          </cell>
          <cell r="AS44">
            <v>209274.80850288019</v>
          </cell>
          <cell r="AV44">
            <v>1656400.4181041527</v>
          </cell>
          <cell r="AY44">
            <v>1221365.3607769669</v>
          </cell>
          <cell r="BB44">
            <v>1548416.6393469046</v>
          </cell>
          <cell r="BE44">
            <v>1385342.6902879081</v>
          </cell>
          <cell r="BR44">
            <v>0</v>
          </cell>
          <cell r="BS44">
            <v>-1971777.0304806903</v>
          </cell>
        </row>
        <row r="45">
          <cell r="F45">
            <v>24608100.487792164</v>
          </cell>
          <cell r="M45">
            <v>2866486.733771876</v>
          </cell>
          <cell r="Q45">
            <v>156000</v>
          </cell>
          <cell r="R45">
            <v>0</v>
          </cell>
          <cell r="T45">
            <v>11670480.318496289</v>
          </cell>
          <cell r="W45">
            <v>5219420.5172982644</v>
          </cell>
          <cell r="Z45">
            <v>985868.32755898964</v>
          </cell>
          <cell r="AA45">
            <v>731255.18328025425</v>
          </cell>
          <cell r="AD45">
            <v>51750.770453861936</v>
          </cell>
          <cell r="AG45">
            <v>80425.30824692719</v>
          </cell>
          <cell r="AJ45">
            <v>53266.096245516324</v>
          </cell>
          <cell r="AM45">
            <v>103155.16075058305</v>
          </cell>
          <cell r="AP45">
            <v>322989.65598089009</v>
          </cell>
          <cell r="AS45">
            <v>119668.19160247568</v>
          </cell>
          <cell r="AV45">
            <v>668050.9973569233</v>
          </cell>
          <cell r="AY45">
            <v>1050694.2186596615</v>
          </cell>
          <cell r="BB45">
            <v>597634.49237950705</v>
          </cell>
          <cell r="BE45">
            <v>662209.69899039576</v>
          </cell>
          <cell r="BR45">
            <v>2033431.3098766208</v>
          </cell>
          <cell r="BS45">
            <v>0</v>
          </cell>
        </row>
        <row r="46">
          <cell r="F46">
            <v>33611695.151044108</v>
          </cell>
          <cell r="M46">
            <v>2528780.0217987518</v>
          </cell>
          <cell r="Q46">
            <v>-120000</v>
          </cell>
          <cell r="R46">
            <v>0</v>
          </cell>
          <cell r="T46">
            <v>13562164.911601396</v>
          </cell>
          <cell r="W46">
            <v>7293380.4144128375</v>
          </cell>
          <cell r="Z46">
            <v>2450375.9663954102</v>
          </cell>
          <cell r="AA46">
            <v>2576360.2229054137</v>
          </cell>
          <cell r="AD46">
            <v>184746.51277586826</v>
          </cell>
          <cell r="AG46">
            <v>232949.95670640803</v>
          </cell>
          <cell r="AJ46">
            <v>519117.70983428269</v>
          </cell>
          <cell r="AM46">
            <v>511833.1566314958</v>
          </cell>
          <cell r="AP46">
            <v>777187.21783513157</v>
          </cell>
          <cell r="AS46">
            <v>350525.66912222753</v>
          </cell>
          <cell r="AV46">
            <v>1339152.4558889926</v>
          </cell>
          <cell r="AY46">
            <v>1189364.5216299722</v>
          </cell>
          <cell r="BB46">
            <v>1316713.4270607319</v>
          </cell>
          <cell r="BE46">
            <v>1475403.209350602</v>
          </cell>
          <cell r="BR46">
            <v>0</v>
          </cell>
          <cell r="BS46">
            <v>-3090267.0124941617</v>
          </cell>
        </row>
        <row r="47">
          <cell r="F47">
            <v>34165010.600306213</v>
          </cell>
          <cell r="M47">
            <v>3172030.9017475597</v>
          </cell>
          <cell r="Q47">
            <v>84000</v>
          </cell>
          <cell r="R47">
            <v>439184.99999999994</v>
          </cell>
          <cell r="T47">
            <v>14420808.509229552</v>
          </cell>
          <cell r="W47">
            <v>6487559.8968288852</v>
          </cell>
          <cell r="Z47">
            <v>2122785.5965564516</v>
          </cell>
          <cell r="AA47">
            <v>2638702.8437019265</v>
          </cell>
          <cell r="AD47">
            <v>187736.70831095678</v>
          </cell>
          <cell r="AG47">
            <v>139814.26108785745</v>
          </cell>
          <cell r="AJ47">
            <v>498137.76046175818</v>
          </cell>
          <cell r="AM47">
            <v>597278.72211537464</v>
          </cell>
          <cell r="AP47">
            <v>785334.57700113335</v>
          </cell>
          <cell r="AS47">
            <v>430400.81472484616</v>
          </cell>
          <cell r="AV47">
            <v>1195780.7806571412</v>
          </cell>
          <cell r="AY47">
            <v>1008026.4331303351</v>
          </cell>
          <cell r="BB47">
            <v>1224032.1421462628</v>
          </cell>
          <cell r="BE47">
            <v>1372098.4963080999</v>
          </cell>
          <cell r="BR47">
            <v>0</v>
          </cell>
          <cell r="BS47">
            <v>-542211.67767239362</v>
          </cell>
        </row>
        <row r="48">
          <cell r="F48">
            <v>20050673.931222241</v>
          </cell>
          <cell r="M48">
            <v>1923234.65905132</v>
          </cell>
          <cell r="Q48">
            <v>-432000</v>
          </cell>
          <cell r="R48">
            <v>114095.63999999998</v>
          </cell>
          <cell r="T48">
            <v>8859253.341232596</v>
          </cell>
          <cell r="W48">
            <v>3529959.940577474</v>
          </cell>
          <cell r="Z48">
            <v>1442465.1973755306</v>
          </cell>
          <cell r="AA48">
            <v>1487118.7035186621</v>
          </cell>
          <cell r="AD48">
            <v>63089.982163525936</v>
          </cell>
          <cell r="AG48">
            <v>131617.96213120234</v>
          </cell>
          <cell r="AJ48">
            <v>76224.769503937554</v>
          </cell>
          <cell r="AM48">
            <v>149765.45959893963</v>
          </cell>
          <cell r="AP48">
            <v>421031.37873703428</v>
          </cell>
          <cell r="AS48">
            <v>645389.15138402244</v>
          </cell>
          <cell r="AV48">
            <v>775240.25459677703</v>
          </cell>
          <cell r="AY48">
            <v>659116.88111655659</v>
          </cell>
          <cell r="BB48">
            <v>539876.45061336027</v>
          </cell>
          <cell r="BE48">
            <v>1152312.8631399663</v>
          </cell>
          <cell r="BR48">
            <v>0</v>
          </cell>
          <cell r="BS48">
            <v>-195912.27890909091</v>
          </cell>
        </row>
        <row r="49">
          <cell r="F49">
            <v>52220016.410363995</v>
          </cell>
          <cell r="M49">
            <v>5200747.0571846114</v>
          </cell>
          <cell r="Q49">
            <v>-156000</v>
          </cell>
          <cell r="R49">
            <v>615426.82499999995</v>
          </cell>
          <cell r="T49">
            <v>19616464.380863205</v>
          </cell>
          <cell r="W49">
            <v>10030431.366529396</v>
          </cell>
          <cell r="Z49">
            <v>3974555.5454928409</v>
          </cell>
          <cell r="AA49">
            <v>4254949.5626982348</v>
          </cell>
          <cell r="AD49">
            <v>165225.99193550352</v>
          </cell>
          <cell r="AG49">
            <v>307682.36553206289</v>
          </cell>
          <cell r="AJ49">
            <v>439090.82638355176</v>
          </cell>
          <cell r="AM49">
            <v>444014.32817870576</v>
          </cell>
          <cell r="AP49">
            <v>1634276.7553659896</v>
          </cell>
          <cell r="AS49">
            <v>1264659.2953024216</v>
          </cell>
          <cell r="AV49">
            <v>2353082.1845408054</v>
          </cell>
          <cell r="AY49">
            <v>2205915.3682529922</v>
          </cell>
          <cell r="BB49">
            <v>1879215.963786918</v>
          </cell>
          <cell r="BE49">
            <v>2245228.1560149863</v>
          </cell>
          <cell r="BR49">
            <v>0</v>
          </cell>
          <cell r="BS49">
            <v>-5918987.6079786643</v>
          </cell>
        </row>
        <row r="50">
          <cell r="F50">
            <v>20504494.140729319</v>
          </cell>
          <cell r="M50">
            <v>1570641.6382252448</v>
          </cell>
          <cell r="Q50">
            <v>-78000</v>
          </cell>
          <cell r="R50">
            <v>0</v>
          </cell>
          <cell r="T50">
            <v>9921978.1594597269</v>
          </cell>
          <cell r="W50">
            <v>4029207.2381317941</v>
          </cell>
          <cell r="Z50">
            <v>1063268.9965181276</v>
          </cell>
          <cell r="AA50">
            <v>1241420.143136011</v>
          </cell>
          <cell r="AD50">
            <v>122319.3857083498</v>
          </cell>
          <cell r="AG50">
            <v>113212.63342271429</v>
          </cell>
          <cell r="AJ50">
            <v>216201.16441116837</v>
          </cell>
          <cell r="AM50">
            <v>124385.85053142039</v>
          </cell>
          <cell r="AP50">
            <v>399213.72050632094</v>
          </cell>
          <cell r="AS50">
            <v>266087.38855603716</v>
          </cell>
          <cell r="AV50">
            <v>687075.67662302591</v>
          </cell>
          <cell r="AY50">
            <v>850473.39498910529</v>
          </cell>
          <cell r="BB50">
            <v>509617.88848458783</v>
          </cell>
          <cell r="BE50">
            <v>708811.00516169763</v>
          </cell>
          <cell r="BR50">
            <v>960006.42456826195</v>
          </cell>
          <cell r="BS50">
            <v>0</v>
          </cell>
        </row>
        <row r="51">
          <cell r="F51">
            <v>26991938.618951064</v>
          </cell>
          <cell r="M51">
            <v>2331922.0240997258</v>
          </cell>
          <cell r="Q51">
            <v>-198000</v>
          </cell>
          <cell r="R51">
            <v>0</v>
          </cell>
          <cell r="T51">
            <v>12282357.636888251</v>
          </cell>
          <cell r="W51">
            <v>5918122.2742660884</v>
          </cell>
          <cell r="Z51">
            <v>1440090.7690670935</v>
          </cell>
          <cell r="AA51">
            <v>1166388.182384379</v>
          </cell>
          <cell r="AD51">
            <v>175859.51549929695</v>
          </cell>
          <cell r="AG51">
            <v>91673.543711102364</v>
          </cell>
          <cell r="AJ51">
            <v>180468.92068323557</v>
          </cell>
          <cell r="AM51">
            <v>111180.72398613754</v>
          </cell>
          <cell r="AP51">
            <v>375207.23572171736</v>
          </cell>
          <cell r="AS51">
            <v>231998.24278288923</v>
          </cell>
          <cell r="AV51">
            <v>972850.51557242591</v>
          </cell>
          <cell r="AY51">
            <v>1180031.8355473836</v>
          </cell>
          <cell r="BB51">
            <v>895016.41665105755</v>
          </cell>
          <cell r="BE51">
            <v>1003158.9644746558</v>
          </cell>
          <cell r="BR51">
            <v>0</v>
          </cell>
          <cell r="BS51">
            <v>0</v>
          </cell>
        </row>
        <row r="52">
          <cell r="F52">
            <v>36455337.259190947</v>
          </cell>
          <cell r="M52">
            <v>3990711.9175314889</v>
          </cell>
          <cell r="Q52">
            <v>-384000</v>
          </cell>
          <cell r="R52">
            <v>1365895.4999999998</v>
          </cell>
          <cell r="T52">
            <v>14518417.85787775</v>
          </cell>
          <cell r="W52">
            <v>7515349.9886813993</v>
          </cell>
          <cell r="Z52">
            <v>1985022.0658534048</v>
          </cell>
          <cell r="AA52">
            <v>1954593.4696720191</v>
          </cell>
          <cell r="AD52">
            <v>151781.69621949719</v>
          </cell>
          <cell r="AG52">
            <v>145344.71807446319</v>
          </cell>
          <cell r="AJ52">
            <v>255066.75834795862</v>
          </cell>
          <cell r="AM52">
            <v>244455.87921633371</v>
          </cell>
          <cell r="AP52">
            <v>442072.35657765751</v>
          </cell>
          <cell r="AS52">
            <v>715872.06123610877</v>
          </cell>
          <cell r="AV52">
            <v>1398472.6161353623</v>
          </cell>
          <cell r="AY52">
            <v>1918880.5974441688</v>
          </cell>
          <cell r="BB52">
            <v>992162.32664343202</v>
          </cell>
          <cell r="BE52">
            <v>1199830.9193519237</v>
          </cell>
          <cell r="BR52">
            <v>0</v>
          </cell>
          <cell r="BS52">
            <v>-1526444.6021917947</v>
          </cell>
        </row>
        <row r="53">
          <cell r="F53">
            <v>34002517.332255229</v>
          </cell>
          <cell r="M53">
            <v>2907669.7573683448</v>
          </cell>
          <cell r="Q53">
            <v>-120000</v>
          </cell>
          <cell r="R53">
            <v>0</v>
          </cell>
          <cell r="T53">
            <v>15225443.841654262</v>
          </cell>
          <cell r="W53">
            <v>7420635.7661828669</v>
          </cell>
          <cell r="Z53">
            <v>1909282.7889622245</v>
          </cell>
          <cell r="AA53">
            <v>2018543.2598375857</v>
          </cell>
          <cell r="AD53">
            <v>289417.75189682131</v>
          </cell>
          <cell r="AG53">
            <v>511641.38406368892</v>
          </cell>
          <cell r="AJ53">
            <v>312160.9240556162</v>
          </cell>
          <cell r="AM53">
            <v>278270.51693368953</v>
          </cell>
          <cell r="AP53">
            <v>338066.06725378474</v>
          </cell>
          <cell r="AS53">
            <v>288986.61563398503</v>
          </cell>
          <cell r="AV53">
            <v>1178082.3235890151</v>
          </cell>
          <cell r="AY53">
            <v>1150265.2100769898</v>
          </cell>
          <cell r="BB53">
            <v>1154106.6869006101</v>
          </cell>
          <cell r="BE53">
            <v>1158487.6976833234</v>
          </cell>
          <cell r="BR53">
            <v>0</v>
          </cell>
          <cell r="BS53">
            <v>0</v>
          </cell>
        </row>
        <row r="54">
          <cell r="F54">
            <v>24706357.596520599</v>
          </cell>
          <cell r="M54">
            <v>1693788.2081757348</v>
          </cell>
          <cell r="Q54">
            <v>-24000</v>
          </cell>
          <cell r="R54">
            <v>168454.08</v>
          </cell>
          <cell r="T54">
            <v>13645658.930881139</v>
          </cell>
          <cell r="W54">
            <v>4815873.1703451341</v>
          </cell>
          <cell r="Z54">
            <v>990131.25480917469</v>
          </cell>
          <cell r="AA54">
            <v>897530.09192784817</v>
          </cell>
          <cell r="AD54">
            <v>150554.49418540334</v>
          </cell>
          <cell r="AG54">
            <v>162906.04804736888</v>
          </cell>
          <cell r="AJ54">
            <v>278803.91837646539</v>
          </cell>
          <cell r="AM54">
            <v>98548.73852264868</v>
          </cell>
          <cell r="AP54">
            <v>115768.2622569719</v>
          </cell>
          <cell r="AS54">
            <v>90948.630538989935</v>
          </cell>
          <cell r="AV54">
            <v>645650.31240852515</v>
          </cell>
          <cell r="AY54">
            <v>754359.97498072369</v>
          </cell>
          <cell r="BB54">
            <v>738948.86480719631</v>
          </cell>
          <cell r="BE54">
            <v>379962.70818512666</v>
          </cell>
          <cell r="BR54">
            <v>4721132.3027064763</v>
          </cell>
          <cell r="BS54">
            <v>0</v>
          </cell>
        </row>
        <row r="55">
          <cell r="F55">
            <v>72845392.433295533</v>
          </cell>
          <cell r="M55">
            <v>5478598.2876350852</v>
          </cell>
          <cell r="Q55">
            <v>-462000</v>
          </cell>
          <cell r="R55">
            <v>1748976.3749999998</v>
          </cell>
          <cell r="T55">
            <v>31740265.604387954</v>
          </cell>
          <cell r="W55">
            <v>13160784.902393922</v>
          </cell>
          <cell r="Z55">
            <v>4910984.106945144</v>
          </cell>
          <cell r="AA55">
            <v>5922770.4952836996</v>
          </cell>
          <cell r="AD55">
            <v>281237.29488878488</v>
          </cell>
          <cell r="AG55">
            <v>555799.71833123313</v>
          </cell>
          <cell r="AJ55">
            <v>685638.08945963485</v>
          </cell>
          <cell r="AM55">
            <v>969667.71930574579</v>
          </cell>
          <cell r="AP55">
            <v>1965004.5742205479</v>
          </cell>
          <cell r="AS55">
            <v>1465423.0990777526</v>
          </cell>
          <cell r="AV55">
            <v>2974275.3728013574</v>
          </cell>
          <cell r="AY55">
            <v>2311230.5616430682</v>
          </cell>
          <cell r="BB55">
            <v>2385153.8195945946</v>
          </cell>
          <cell r="BE55">
            <v>2674352.9076106995</v>
          </cell>
          <cell r="BR55">
            <v>0</v>
          </cell>
          <cell r="BS55">
            <v>-7.4505805969238281E-9</v>
          </cell>
        </row>
        <row r="56">
          <cell r="F56">
            <v>31756184.080945574</v>
          </cell>
          <cell r="M56">
            <v>3034031.7334594009</v>
          </cell>
          <cell r="Q56">
            <v>174000</v>
          </cell>
          <cell r="R56">
            <v>447610.91999999993</v>
          </cell>
          <cell r="T56">
            <v>13051513.011100166</v>
          </cell>
          <cell r="W56">
            <v>6460084.9388409639</v>
          </cell>
          <cell r="Z56">
            <v>1736015.79409458</v>
          </cell>
          <cell r="AA56">
            <v>2069832.7142650471</v>
          </cell>
          <cell r="AD56">
            <v>206931.47706578753</v>
          </cell>
          <cell r="AG56">
            <v>287118.02250617533</v>
          </cell>
          <cell r="AJ56">
            <v>498838.8576563907</v>
          </cell>
          <cell r="AM56">
            <v>349394.17888062744</v>
          </cell>
          <cell r="AP56">
            <v>506992.50027086399</v>
          </cell>
          <cell r="AS56">
            <v>220557.67788520193</v>
          </cell>
          <cell r="AV56">
            <v>1285180.7166425618</v>
          </cell>
          <cell r="AY56">
            <v>1134214.9978433575</v>
          </cell>
          <cell r="BB56">
            <v>1072357.4632451504</v>
          </cell>
          <cell r="BE56">
            <v>1291341.7914543466</v>
          </cell>
          <cell r="BR56">
            <v>0</v>
          </cell>
          <cell r="BS56">
            <v>-1148735.042789828</v>
          </cell>
        </row>
        <row r="57">
          <cell r="F57">
            <v>24675195.470729928</v>
          </cell>
          <cell r="M57">
            <v>2093038.2858171579</v>
          </cell>
          <cell r="Q57">
            <v>-438000</v>
          </cell>
          <cell r="R57">
            <v>0</v>
          </cell>
          <cell r="T57">
            <v>9880293.7918790244</v>
          </cell>
          <cell r="W57">
            <v>5599420.5789270299</v>
          </cell>
          <cell r="Z57">
            <v>1661929.2169787595</v>
          </cell>
          <cell r="AA57">
            <v>1817394.0872060969</v>
          </cell>
          <cell r="AD57">
            <v>158939.46261864062</v>
          </cell>
          <cell r="AG57">
            <v>374768.31778772944</v>
          </cell>
          <cell r="AJ57">
            <v>327808.39217419963</v>
          </cell>
          <cell r="AM57">
            <v>247927.87902013722</v>
          </cell>
          <cell r="AP57">
            <v>572445.27469607641</v>
          </cell>
          <cell r="AS57">
            <v>135504.76090931337</v>
          </cell>
          <cell r="AV57">
            <v>1043444.3437502707</v>
          </cell>
          <cell r="AY57">
            <v>1123514.8563542692</v>
          </cell>
          <cell r="BB57">
            <v>968167.27623328974</v>
          </cell>
          <cell r="BE57">
            <v>925993.03358403244</v>
          </cell>
          <cell r="BR57">
            <v>0</v>
          </cell>
          <cell r="BS57">
            <v>-2650461.0879005045</v>
          </cell>
        </row>
        <row r="58">
          <cell r="F58">
            <v>29826921.542344578</v>
          </cell>
          <cell r="M58">
            <v>2385418.3931808267</v>
          </cell>
          <cell r="Q58">
            <v>-360000</v>
          </cell>
          <cell r="R58">
            <v>0</v>
          </cell>
          <cell r="T58">
            <v>14295170.259389002</v>
          </cell>
          <cell r="W58">
            <v>6056475.8384277876</v>
          </cell>
          <cell r="Z58">
            <v>1637791.3321765084</v>
          </cell>
          <cell r="AA58">
            <v>2011528.993453145</v>
          </cell>
          <cell r="AD58">
            <v>141828.67337683117</v>
          </cell>
          <cell r="AG58">
            <v>214572.18763806697</v>
          </cell>
          <cell r="AJ58">
            <v>280987.28602091892</v>
          </cell>
          <cell r="AM58">
            <v>279956.21903999802</v>
          </cell>
          <cell r="AP58">
            <v>557094.78688299726</v>
          </cell>
          <cell r="AS58">
            <v>537089.8404943326</v>
          </cell>
          <cell r="AV58">
            <v>1043444.3437502707</v>
          </cell>
          <cell r="AY58">
            <v>1123514.8563542692</v>
          </cell>
          <cell r="BB58">
            <v>835124.42204891401</v>
          </cell>
          <cell r="BE58">
            <v>798453.10356384993</v>
          </cell>
          <cell r="BR58">
            <v>1312441.726759769</v>
          </cell>
          <cell r="BS58">
            <v>0</v>
          </cell>
        </row>
        <row r="59">
          <cell r="F59">
            <v>28571898.086406443</v>
          </cell>
          <cell r="M59">
            <v>2282581.251970157</v>
          </cell>
          <cell r="Q59">
            <v>-516000</v>
          </cell>
          <cell r="R59">
            <v>50249.999999999993</v>
          </cell>
          <cell r="T59">
            <v>13727727.665820554</v>
          </cell>
          <cell r="W59">
            <v>6991765.1087412667</v>
          </cell>
          <cell r="Z59">
            <v>1252063.1532573658</v>
          </cell>
          <cell r="AA59">
            <v>971636.47228656826</v>
          </cell>
          <cell r="AD59">
            <v>170017.16481702327</v>
          </cell>
          <cell r="AG59">
            <v>267215.67466728215</v>
          </cell>
          <cell r="AJ59">
            <v>132033.09338820213</v>
          </cell>
          <cell r="AM59">
            <v>25544.870380212884</v>
          </cell>
          <cell r="AP59">
            <v>169992.43911520977</v>
          </cell>
          <cell r="AS59">
            <v>206833.2299186381</v>
          </cell>
          <cell r="AV59">
            <v>890446.63938806066</v>
          </cell>
          <cell r="AY59">
            <v>1112814.7148651809</v>
          </cell>
          <cell r="BB59">
            <v>871991.71899157239</v>
          </cell>
          <cell r="BE59">
            <v>936621.36108571431</v>
          </cell>
          <cell r="BR59">
            <v>1076003.6247848608</v>
          </cell>
          <cell r="BS59">
            <v>0</v>
          </cell>
        </row>
        <row r="60">
          <cell r="F60">
            <v>21962267.602396421</v>
          </cell>
          <cell r="M60">
            <v>1653459.9175048841</v>
          </cell>
          <cell r="Q60">
            <v>-336000</v>
          </cell>
          <cell r="R60">
            <v>75374.999999999985</v>
          </cell>
          <cell r="T60">
            <v>8655812.6571818385</v>
          </cell>
          <cell r="W60">
            <v>5451090.1942302715</v>
          </cell>
          <cell r="Z60">
            <v>1463568.381475111</v>
          </cell>
          <cell r="AA60">
            <v>1616485.2902296858</v>
          </cell>
          <cell r="AD60">
            <v>218520.45782717245</v>
          </cell>
          <cell r="AG60">
            <v>276989.14905245294</v>
          </cell>
          <cell r="AJ60">
            <v>533651.44176517706</v>
          </cell>
          <cell r="AM60">
            <v>168051.53305967461</v>
          </cell>
          <cell r="AP60">
            <v>265790.85380053706</v>
          </cell>
          <cell r="AS60">
            <v>153481.85472467163</v>
          </cell>
          <cell r="AV60">
            <v>865967.00669010705</v>
          </cell>
          <cell r="AY60">
            <v>770410.18721435603</v>
          </cell>
          <cell r="BB60">
            <v>809477.60678445594</v>
          </cell>
          <cell r="BE60">
            <v>936621.36108571431</v>
          </cell>
          <cell r="BR60">
            <v>0</v>
          </cell>
          <cell r="BS60">
            <v>-2674803.556161236</v>
          </cell>
        </row>
        <row r="61">
          <cell r="F61">
            <v>23639638.926282737</v>
          </cell>
          <cell r="M61">
            <v>2379369.1495801988</v>
          </cell>
          <cell r="Q61">
            <v>-420000</v>
          </cell>
          <cell r="R61">
            <v>0</v>
          </cell>
          <cell r="T61">
            <v>11396274.182333272</v>
          </cell>
          <cell r="W61">
            <v>6245028.8698812677</v>
          </cell>
          <cell r="Z61">
            <v>828335.72994656034</v>
          </cell>
          <cell r="AA61">
            <v>706013.98933627259</v>
          </cell>
          <cell r="AD61">
            <v>88553.447111994086</v>
          </cell>
          <cell r="AG61">
            <v>137939.2634816145</v>
          </cell>
          <cell r="AJ61">
            <v>123360.27191162293</v>
          </cell>
          <cell r="AM61">
            <v>115405.75958573334</v>
          </cell>
          <cell r="AP61">
            <v>187403.87205134123</v>
          </cell>
          <cell r="AS61">
            <v>53351.375193966465</v>
          </cell>
          <cell r="AV61">
            <v>682369.76145545545</v>
          </cell>
          <cell r="AY61">
            <v>674108.91381256154</v>
          </cell>
          <cell r="BB61">
            <v>591479.67703656282</v>
          </cell>
          <cell r="BE61">
            <v>556658.65290058777</v>
          </cell>
          <cell r="BR61">
            <v>1488327.0728178769</v>
          </cell>
          <cell r="BS61">
            <v>0</v>
          </cell>
        </row>
        <row r="62">
          <cell r="F62">
            <v>29653137.087778475</v>
          </cell>
          <cell r="M62">
            <v>2762487.9109532819</v>
          </cell>
          <cell r="Q62">
            <v>-558000</v>
          </cell>
          <cell r="R62">
            <v>30149.999999999996</v>
          </cell>
          <cell r="T62">
            <v>12527873.113839479</v>
          </cell>
          <cell r="W62">
            <v>7556733.8890138492</v>
          </cell>
          <cell r="Z62">
            <v>1532397.2015052927</v>
          </cell>
          <cell r="AA62">
            <v>1657176.5746702857</v>
          </cell>
          <cell r="AD62">
            <v>255332.51436333629</v>
          </cell>
          <cell r="AG62">
            <v>269659.04326357489</v>
          </cell>
          <cell r="AJ62">
            <v>339938.21242116351</v>
          </cell>
          <cell r="AM62">
            <v>219011.60442730744</v>
          </cell>
          <cell r="AP62">
            <v>387955.15264629188</v>
          </cell>
          <cell r="AS62">
            <v>185280.04754861179</v>
          </cell>
          <cell r="AV62">
            <v>1086283.7009716893</v>
          </cell>
          <cell r="AY62">
            <v>1177015.5637997107</v>
          </cell>
          <cell r="BB62">
            <v>945726.31287688913</v>
          </cell>
          <cell r="BE62">
            <v>935292.82014800399</v>
          </cell>
          <cell r="BR62">
            <v>0</v>
          </cell>
          <cell r="BS62">
            <v>-1588406.3846891038</v>
          </cell>
        </row>
        <row r="63">
          <cell r="F63">
            <v>24066974.57487997</v>
          </cell>
          <cell r="M63">
            <v>1852000</v>
          </cell>
          <cell r="Q63">
            <v>-234000</v>
          </cell>
          <cell r="R63">
            <v>0</v>
          </cell>
          <cell r="T63">
            <v>9790872.6542681213</v>
          </cell>
          <cell r="W63">
            <v>5545885.3375809966</v>
          </cell>
          <cell r="Z63">
            <v>1463980.5285679903</v>
          </cell>
          <cell r="AA63">
            <v>1555507.4537689553</v>
          </cell>
          <cell r="AD63">
            <v>184387.56755142703</v>
          </cell>
          <cell r="AG63">
            <v>237809.33199329948</v>
          </cell>
          <cell r="AJ63">
            <v>300656.63873100909</v>
          </cell>
          <cell r="AM63">
            <v>178001.53355388297</v>
          </cell>
          <cell r="AP63">
            <v>544312.62043470237</v>
          </cell>
          <cell r="AS63">
            <v>110339.76150463459</v>
          </cell>
          <cell r="AV63">
            <v>934793.75713032507</v>
          </cell>
          <cell r="AY63">
            <v>1087836.3395890584</v>
          </cell>
          <cell r="BB63">
            <v>1062038.10722388</v>
          </cell>
          <cell r="BE63">
            <v>1008060.3967506429</v>
          </cell>
          <cell r="BR63">
            <v>0</v>
          </cell>
          <cell r="BS63">
            <v>-2163948.323873356</v>
          </cell>
        </row>
        <row r="64">
          <cell r="F64">
            <v>31527016.867337462</v>
          </cell>
          <cell r="M64">
            <v>2416000</v>
          </cell>
          <cell r="Q64">
            <v>-540000</v>
          </cell>
          <cell r="R64">
            <v>257279.99999999997</v>
          </cell>
          <cell r="T64">
            <v>13370279.488845488</v>
          </cell>
          <cell r="W64">
            <v>7175327.2936394103</v>
          </cell>
          <cell r="Z64">
            <v>1751514.2690396504</v>
          </cell>
          <cell r="AA64">
            <v>2095143.4565004669</v>
          </cell>
          <cell r="AD64">
            <v>293485.23540776275</v>
          </cell>
          <cell r="AG64">
            <v>116106.6499541123</v>
          </cell>
          <cell r="AJ64">
            <v>604561.66851673496</v>
          </cell>
          <cell r="AM64">
            <v>310087.93164625129</v>
          </cell>
          <cell r="AP64">
            <v>586746.73044528137</v>
          </cell>
          <cell r="AS64">
            <v>184155.24053032411</v>
          </cell>
          <cell r="AV64">
            <v>1129036.6157548081</v>
          </cell>
          <cell r="AY64">
            <v>1167434.1205345993</v>
          </cell>
          <cell r="BB64">
            <v>1407041.5043310386</v>
          </cell>
          <cell r="BE64">
            <v>1297960.1186920041</v>
          </cell>
          <cell r="BR64">
            <v>0</v>
          </cell>
          <cell r="BS64">
            <v>-1837441.1610569879</v>
          </cell>
        </row>
        <row r="65">
          <cell r="F65">
            <v>30408465.59350682</v>
          </cell>
          <cell r="M65">
            <v>2692000</v>
          </cell>
          <cell r="Q65">
            <v>183000</v>
          </cell>
          <cell r="R65">
            <v>0</v>
          </cell>
          <cell r="T65">
            <v>12800815.872625368</v>
          </cell>
          <cell r="W65">
            <v>6258479.7976689367</v>
          </cell>
          <cell r="Z65">
            <v>1554294.094206657</v>
          </cell>
          <cell r="AA65">
            <v>1709659.4875184365</v>
          </cell>
          <cell r="AD65">
            <v>231988.90512245914</v>
          </cell>
          <cell r="AG65">
            <v>279625.35127468564</v>
          </cell>
          <cell r="AJ65">
            <v>265104.80329883093</v>
          </cell>
          <cell r="AM65">
            <v>298126.84593778953</v>
          </cell>
          <cell r="AP65">
            <v>251644.1407604102</v>
          </cell>
          <cell r="AS65">
            <v>383169.44112426107</v>
          </cell>
          <cell r="AV65">
            <v>1253473.4470611177</v>
          </cell>
          <cell r="AY65">
            <v>1342549.2386147892</v>
          </cell>
          <cell r="BB65">
            <v>1476996.1101960847</v>
          </cell>
          <cell r="BE65">
            <v>1137197.5456154309</v>
          </cell>
          <cell r="BR65">
            <v>0</v>
          </cell>
          <cell r="BS65">
            <v>-1143760.5977664962</v>
          </cell>
        </row>
        <row r="66">
          <cell r="F66">
            <v>60230605.757857196</v>
          </cell>
          <cell r="M66">
            <v>4376000</v>
          </cell>
          <cell r="Q66">
            <v>-291000</v>
          </cell>
          <cell r="R66">
            <v>1574834.9999999998</v>
          </cell>
          <cell r="T66">
            <v>23206114.665483199</v>
          </cell>
          <cell r="W66">
            <v>12996990.99076841</v>
          </cell>
          <cell r="Z66">
            <v>3890120.5398849244</v>
          </cell>
          <cell r="AA66">
            <v>3590436.9015393425</v>
          </cell>
          <cell r="AD66">
            <v>265390.98006576864</v>
          </cell>
          <cell r="AG66">
            <v>369117.80139111908</v>
          </cell>
          <cell r="AJ66">
            <v>431193.83481870213</v>
          </cell>
          <cell r="AM66">
            <v>807566.20605840394</v>
          </cell>
          <cell r="AP66">
            <v>1289517.6221487238</v>
          </cell>
          <cell r="AS66">
            <v>427650.45705662458</v>
          </cell>
          <cell r="AV66">
            <v>2513016.9834542507</v>
          </cell>
          <cell r="AY66">
            <v>2828374.482931552</v>
          </cell>
          <cell r="BB66">
            <v>3006458.1747909538</v>
          </cell>
          <cell r="BE66">
            <v>2539258.0190045605</v>
          </cell>
          <cell r="BR66">
            <v>0</v>
          </cell>
          <cell r="BS66">
            <v>-6497093.5391503423</v>
          </cell>
        </row>
        <row r="67">
          <cell r="F67">
            <v>71026929.337989271</v>
          </cell>
          <cell r="M67">
            <v>4317048.6734054023</v>
          </cell>
          <cell r="Q67">
            <v>-864000</v>
          </cell>
          <cell r="R67">
            <v>1652219.9999999998</v>
          </cell>
          <cell r="T67">
            <v>29371530.833876763</v>
          </cell>
          <cell r="W67">
            <v>15392937.472108357</v>
          </cell>
          <cell r="Z67">
            <v>4345588.4959707074</v>
          </cell>
          <cell r="AA67">
            <v>4619914.1826853734</v>
          </cell>
          <cell r="AD67">
            <v>579031.06922546076</v>
          </cell>
          <cell r="AG67">
            <v>971433.95317368908</v>
          </cell>
          <cell r="AJ67">
            <v>1045453.8553744484</v>
          </cell>
          <cell r="AM67">
            <v>518696.94065318251</v>
          </cell>
          <cell r="AP67">
            <v>1091639.4694843288</v>
          </cell>
          <cell r="AS67">
            <v>413658.89477426343</v>
          </cell>
          <cell r="AV67">
            <v>3439541.1207474968</v>
          </cell>
          <cell r="AY67">
            <v>2340743.3601312912</v>
          </cell>
          <cell r="BB67">
            <v>3536746.4777414226</v>
          </cell>
          <cell r="BE67">
            <v>2874658.7213224415</v>
          </cell>
          <cell r="BR67">
            <v>0</v>
          </cell>
          <cell r="BS67">
            <v>-5383814.2052325904</v>
          </cell>
        </row>
        <row r="68">
          <cell r="F68">
            <v>19503427.66681584</v>
          </cell>
          <cell r="M68">
            <v>1328322.668740124</v>
          </cell>
          <cell r="Q68">
            <v>-234000</v>
          </cell>
          <cell r="R68">
            <v>0</v>
          </cell>
          <cell r="T68">
            <v>8241303.5069487244</v>
          </cell>
          <cell r="W68">
            <v>5085461.5231260378</v>
          </cell>
          <cell r="Z68">
            <v>1113189.5454268043</v>
          </cell>
          <cell r="AA68">
            <v>1185972.4188016986</v>
          </cell>
          <cell r="AD68">
            <v>183113.54551514747</v>
          </cell>
          <cell r="AG68">
            <v>143769.22804104051</v>
          </cell>
          <cell r="AJ68">
            <v>315290.83177911415</v>
          </cell>
          <cell r="AM68">
            <v>149742.86679571043</v>
          </cell>
          <cell r="AP68">
            <v>226252.7325179365</v>
          </cell>
          <cell r="AS68">
            <v>167803.21415274942</v>
          </cell>
          <cell r="AV68">
            <v>749838.17901556205</v>
          </cell>
          <cell r="AY68">
            <v>679399.43332608917</v>
          </cell>
          <cell r="BB68">
            <v>787180.53349010984</v>
          </cell>
          <cell r="BE68">
            <v>566759.85794069222</v>
          </cell>
          <cell r="BR68">
            <v>0</v>
          </cell>
          <cell r="BS68">
            <v>-1394240.6712569594</v>
          </cell>
        </row>
        <row r="69">
          <cell r="F69">
            <v>40523871.831830986</v>
          </cell>
          <cell r="M69">
            <v>3020733.7798156431</v>
          </cell>
          <cell r="Q69">
            <v>-228000</v>
          </cell>
          <cell r="R69">
            <v>0</v>
          </cell>
          <cell r="T69">
            <v>15415901.418451075</v>
          </cell>
          <cell r="W69">
            <v>11012903.230752198</v>
          </cell>
          <cell r="Z69">
            <v>3051016.6284456057</v>
          </cell>
          <cell r="AA69">
            <v>1934351.5914721787</v>
          </cell>
          <cell r="AD69">
            <v>489486.34742968786</v>
          </cell>
          <cell r="AG69">
            <v>388203.36008138704</v>
          </cell>
          <cell r="AJ69">
            <v>330212.99328316381</v>
          </cell>
          <cell r="AM69">
            <v>299743.02374055446</v>
          </cell>
          <cell r="AP69">
            <v>340119.4084345671</v>
          </cell>
          <cell r="AS69">
            <v>86586.458502818699</v>
          </cell>
          <cell r="AV69">
            <v>1833612.3891716579</v>
          </cell>
          <cell r="AY69">
            <v>1279181.7455592772</v>
          </cell>
          <cell r="BB69">
            <v>1948073.0374250193</v>
          </cell>
          <cell r="BE69">
            <v>1256098.0107383248</v>
          </cell>
          <cell r="BR69">
            <v>0</v>
          </cell>
          <cell r="BS69">
            <v>-5840120.3707863949</v>
          </cell>
        </row>
        <row r="70">
          <cell r="F70">
            <v>73201931.045949504</v>
          </cell>
          <cell r="M70">
            <v>4737150.7222539363</v>
          </cell>
          <cell r="Q70">
            <v>-168000</v>
          </cell>
          <cell r="R70">
            <v>992437.49999999988</v>
          </cell>
          <cell r="T70">
            <v>29213162.364319034</v>
          </cell>
          <cell r="W70">
            <v>18247589.067428119</v>
          </cell>
          <cell r="Z70">
            <v>4468169.7515587071</v>
          </cell>
          <cell r="AA70">
            <v>4571548.9189762399</v>
          </cell>
          <cell r="AD70">
            <v>338869.96114631451</v>
          </cell>
          <cell r="AG70">
            <v>691608.43851011875</v>
          </cell>
          <cell r="AJ70">
            <v>527690.95318756311</v>
          </cell>
          <cell r="AM70">
            <v>653581.30133643199</v>
          </cell>
          <cell r="AP70">
            <v>1532864.0254510618</v>
          </cell>
          <cell r="AS70">
            <v>826934.23934474913</v>
          </cell>
          <cell r="AV70">
            <v>2510591.7977565578</v>
          </cell>
          <cell r="AY70">
            <v>2154970.0775811891</v>
          </cell>
          <cell r="BB70">
            <v>3226645.0554574402</v>
          </cell>
          <cell r="BE70">
            <v>3247665.7906182921</v>
          </cell>
          <cell r="BR70">
            <v>0</v>
          </cell>
          <cell r="BS70">
            <v>-6863064.5192019865</v>
          </cell>
        </row>
        <row r="71">
          <cell r="F71">
            <v>31674364.179569762</v>
          </cell>
          <cell r="M71">
            <v>1914465.0511811725</v>
          </cell>
          <cell r="Q71">
            <v>-9000</v>
          </cell>
          <cell r="R71">
            <v>685287.3899999999</v>
          </cell>
          <cell r="T71">
            <v>12587527.165731154</v>
          </cell>
          <cell r="W71">
            <v>7730505.5311817536</v>
          </cell>
          <cell r="Z71">
            <v>1573402.7312997389</v>
          </cell>
          <cell r="AA71">
            <v>1855366.7879126009</v>
          </cell>
          <cell r="AD71">
            <v>259233.32223806478</v>
          </cell>
          <cell r="AG71">
            <v>357175.29860349244</v>
          </cell>
          <cell r="AJ71">
            <v>288816.02911063895</v>
          </cell>
          <cell r="AM71">
            <v>346698.4759574224</v>
          </cell>
          <cell r="AP71">
            <v>403997.55603857158</v>
          </cell>
          <cell r="AS71">
            <v>199446.10596441076</v>
          </cell>
          <cell r="AV71">
            <v>1105024.6848650391</v>
          </cell>
          <cell r="AY71">
            <v>1395953.5231621987</v>
          </cell>
          <cell r="BB71">
            <v>1544146.0566038317</v>
          </cell>
          <cell r="BE71">
            <v>1291685.2576322753</v>
          </cell>
          <cell r="BR71">
            <v>0</v>
          </cell>
          <cell r="BS71">
            <v>-3039345.2085798532</v>
          </cell>
        </row>
        <row r="72">
          <cell r="F72">
            <v>21235756.497055516</v>
          </cell>
          <cell r="M72">
            <v>2360000</v>
          </cell>
          <cell r="Q72">
            <v>-300000</v>
          </cell>
          <cell r="R72">
            <v>0</v>
          </cell>
          <cell r="T72">
            <v>9741376.9483356941</v>
          </cell>
          <cell r="W72">
            <v>4436367.7707536379</v>
          </cell>
          <cell r="Z72">
            <v>1038013.3961462486</v>
          </cell>
          <cell r="AA72">
            <v>1075924.5778842934</v>
          </cell>
          <cell r="AD72">
            <v>147570.90802383187</v>
          </cell>
          <cell r="AG72">
            <v>210622.30997368382</v>
          </cell>
          <cell r="AJ72">
            <v>299092.59859355289</v>
          </cell>
          <cell r="AM72">
            <v>99032.645113070728</v>
          </cell>
          <cell r="AP72">
            <v>172837.93645504923</v>
          </cell>
          <cell r="AS72">
            <v>146768.17972510477</v>
          </cell>
          <cell r="AV72">
            <v>758761.16650188726</v>
          </cell>
          <cell r="AY72">
            <v>732299.58469897602</v>
          </cell>
          <cell r="BB72">
            <v>616872.43353722373</v>
          </cell>
          <cell r="BE72">
            <v>776140.61919755372</v>
          </cell>
          <cell r="BR72">
            <v>414489.31365672871</v>
          </cell>
          <cell r="BS72">
            <v>0</v>
          </cell>
        </row>
        <row r="73">
          <cell r="F73">
            <v>34904136.7975986</v>
          </cell>
          <cell r="M73">
            <v>2580000</v>
          </cell>
          <cell r="Q73">
            <v>-42000</v>
          </cell>
          <cell r="R73">
            <v>1974825.0000000002</v>
          </cell>
          <cell r="T73">
            <v>15267988.920024313</v>
          </cell>
          <cell r="W73">
            <v>6453463.3737383522</v>
          </cell>
          <cell r="Z73">
            <v>2088590.0966989256</v>
          </cell>
          <cell r="AA73">
            <v>2118292.4440492284</v>
          </cell>
          <cell r="AD73">
            <v>153149.18977043719</v>
          </cell>
          <cell r="AG73">
            <v>144307.12660330845</v>
          </cell>
          <cell r="AJ73">
            <v>306491.71155151888</v>
          </cell>
          <cell r="AM73">
            <v>229897.21186962849</v>
          </cell>
          <cell r="AP73">
            <v>804838.31910430349</v>
          </cell>
          <cell r="AS73">
            <v>479608.88515003206</v>
          </cell>
          <cell r="AV73">
            <v>1377910.2783674272</v>
          </cell>
          <cell r="AY73">
            <v>1061303.7459405449</v>
          </cell>
          <cell r="BB73">
            <v>1022291.1720732857</v>
          </cell>
          <cell r="BE73">
            <v>1001471.766706521</v>
          </cell>
          <cell r="BR73">
            <v>648630.8405905664</v>
          </cell>
          <cell r="BS73">
            <v>0</v>
          </cell>
        </row>
        <row r="74">
          <cell r="F74">
            <v>19937096.198010992</v>
          </cell>
          <cell r="M74">
            <v>2110000</v>
          </cell>
          <cell r="Q74">
            <v>-102000</v>
          </cell>
          <cell r="R74">
            <v>0</v>
          </cell>
          <cell r="T74">
            <v>8781007.8182467632</v>
          </cell>
          <cell r="W74">
            <v>4487928.0590670751</v>
          </cell>
          <cell r="Z74">
            <v>932766.09130748746</v>
          </cell>
          <cell r="AA74">
            <v>1041292.8144534455</v>
          </cell>
          <cell r="AD74">
            <v>119611.88375448274</v>
          </cell>
          <cell r="AG74">
            <v>147171.23751299246</v>
          </cell>
          <cell r="AJ74">
            <v>223597.5842663387</v>
          </cell>
          <cell r="AM74">
            <v>282821.80078395136</v>
          </cell>
          <cell r="AP74">
            <v>147109.61394032944</v>
          </cell>
          <cell r="AS74">
            <v>120980.69419535088</v>
          </cell>
          <cell r="AV74">
            <v>673779.9158536758</v>
          </cell>
          <cell r="AY74">
            <v>822510.40310392226</v>
          </cell>
          <cell r="BB74">
            <v>615282.55613119993</v>
          </cell>
          <cell r="BE74">
            <v>574528.53984742519</v>
          </cell>
          <cell r="BR74">
            <v>0</v>
          </cell>
          <cell r="BS74">
            <v>0</v>
          </cell>
        </row>
        <row r="75">
          <cell r="F75">
            <v>16791333.50854665</v>
          </cell>
          <cell r="M75">
            <v>1908000</v>
          </cell>
          <cell r="Q75">
            <v>-42000</v>
          </cell>
          <cell r="R75">
            <v>0</v>
          </cell>
          <cell r="T75">
            <v>7344924.7471680511</v>
          </cell>
          <cell r="W75">
            <v>3235048.6094501973</v>
          </cell>
          <cell r="Z75">
            <v>1023079.656946154</v>
          </cell>
          <cell r="AA75">
            <v>1132247.9242724213</v>
          </cell>
          <cell r="AD75">
            <v>100037.18598912221</v>
          </cell>
          <cell r="AG75">
            <v>94868.165977686454</v>
          </cell>
          <cell r="AJ75">
            <v>230996.69722430469</v>
          </cell>
          <cell r="AM75">
            <v>277034.1786669537</v>
          </cell>
          <cell r="AP75">
            <v>289637.47181639372</v>
          </cell>
          <cell r="AS75">
            <v>139674.22459796057</v>
          </cell>
          <cell r="AV75">
            <v>540237.95054934372</v>
          </cell>
          <cell r="AY75">
            <v>652701.80375343515</v>
          </cell>
          <cell r="BB75">
            <v>505581.01511555962</v>
          </cell>
          <cell r="BE75">
            <v>491511.80129148992</v>
          </cell>
          <cell r="BR75">
            <v>0</v>
          </cell>
          <cell r="BS75">
            <v>0</v>
          </cell>
        </row>
        <row r="76">
          <cell r="F76">
            <v>26624475.631315067</v>
          </cell>
          <cell r="M76">
            <v>2744000</v>
          </cell>
          <cell r="Q76">
            <v>-228000</v>
          </cell>
          <cell r="R76">
            <v>0</v>
          </cell>
          <cell r="T76">
            <v>9905450.3917676583</v>
          </cell>
          <cell r="W76">
            <v>6002893.4964061072</v>
          </cell>
          <cell r="Z76">
            <v>2010128.7050285882</v>
          </cell>
          <cell r="AA76">
            <v>1912198.2611402504</v>
          </cell>
          <cell r="AD76">
            <v>197403.55829350612</v>
          </cell>
          <cell r="AG76">
            <v>184140.29987029804</v>
          </cell>
          <cell r="AJ76">
            <v>398830.23505133862</v>
          </cell>
          <cell r="AM76">
            <v>416258.64403695246</v>
          </cell>
          <cell r="AP76">
            <v>470440.61496778089</v>
          </cell>
          <cell r="AS76">
            <v>245124.90892037415</v>
          </cell>
          <cell r="AV76">
            <v>995494.6504504761</v>
          </cell>
          <cell r="AY76">
            <v>1247031.9014801402</v>
          </cell>
          <cell r="BB76">
            <v>958696.07583233481</v>
          </cell>
          <cell r="BE76">
            <v>1076582.1492095101</v>
          </cell>
          <cell r="BR76">
            <v>0</v>
          </cell>
          <cell r="BS76">
            <v>-3691978.5478365272</v>
          </cell>
        </row>
        <row r="77">
          <cell r="F77">
            <v>19646956.2677228</v>
          </cell>
          <cell r="M77">
            <v>1970368.6230749011</v>
          </cell>
          <cell r="Q77">
            <v>252000</v>
          </cell>
          <cell r="R77">
            <v>309539.99999999994</v>
          </cell>
          <cell r="T77">
            <v>10085211.554648781</v>
          </cell>
          <cell r="W77">
            <v>4066645.7721809857</v>
          </cell>
          <cell r="Z77">
            <v>515029.05103055947</v>
          </cell>
          <cell r="AA77">
            <v>289759.78575499589</v>
          </cell>
          <cell r="AD77">
            <v>51964.265282191067</v>
          </cell>
          <cell r="AG77">
            <v>112443.78878719475</v>
          </cell>
          <cell r="AJ77">
            <v>24222.068128729712</v>
          </cell>
          <cell r="AM77">
            <v>63814.201820664101</v>
          </cell>
          <cell r="AP77">
            <v>37315.461736216283</v>
          </cell>
          <cell r="AS77">
            <v>0</v>
          </cell>
          <cell r="AV77">
            <v>443548.97275575349</v>
          </cell>
          <cell r="AY77">
            <v>585698.22837068315</v>
          </cell>
          <cell r="BB77">
            <v>515066.55811757833</v>
          </cell>
          <cell r="BE77">
            <v>614087.72178856318</v>
          </cell>
          <cell r="BR77">
            <v>3302607.6660130545</v>
          </cell>
          <cell r="BS77">
            <v>0</v>
          </cell>
        </row>
        <row r="78">
          <cell r="F78">
            <v>50608126.839190945</v>
          </cell>
          <cell r="M78">
            <v>3397046.3190357736</v>
          </cell>
          <cell r="Q78">
            <v>-30000</v>
          </cell>
          <cell r="R78">
            <v>2015738.5499999998</v>
          </cell>
          <cell r="T78">
            <v>22148697.220413171</v>
          </cell>
          <cell r="W78">
            <v>10580561.837213902</v>
          </cell>
          <cell r="Z78">
            <v>2607849.3576406268</v>
          </cell>
          <cell r="AA78">
            <v>2941718.1010335237</v>
          </cell>
          <cell r="AD78">
            <v>367619.53630486235</v>
          </cell>
          <cell r="AG78">
            <v>384254.24498243205</v>
          </cell>
          <cell r="AJ78">
            <v>290603.34021448059</v>
          </cell>
          <cell r="AM78">
            <v>484619.90136516688</v>
          </cell>
          <cell r="AP78">
            <v>939658.07507182471</v>
          </cell>
          <cell r="AS78">
            <v>474963.0030947568</v>
          </cell>
          <cell r="AV78">
            <v>1907570.7569565622</v>
          </cell>
          <cell r="AY78">
            <v>1610670.1280193788</v>
          </cell>
          <cell r="BB78">
            <v>1720679.7635536767</v>
          </cell>
          <cell r="BE78">
            <v>1707594.8053243381</v>
          </cell>
          <cell r="BR78">
            <v>0</v>
          </cell>
          <cell r="BS78">
            <v>0</v>
          </cell>
        </row>
        <row r="79">
          <cell r="F79">
            <v>20899169.918407336</v>
          </cell>
          <cell r="M79">
            <v>1396018.4331536903</v>
          </cell>
          <cell r="Q79">
            <v>108000</v>
          </cell>
          <cell r="R79">
            <v>0</v>
          </cell>
          <cell r="T79">
            <v>10738608.304307595</v>
          </cell>
          <cell r="W79">
            <v>4953293.2559595099</v>
          </cell>
          <cell r="Z79">
            <v>625738.49426713795</v>
          </cell>
          <cell r="AA79">
            <v>526418.13999527984</v>
          </cell>
          <cell r="AD79">
            <v>56732.263027498484</v>
          </cell>
          <cell r="AG79">
            <v>92179.589766675053</v>
          </cell>
          <cell r="AJ79">
            <v>104204.07481775853</v>
          </cell>
          <cell r="AM79">
            <v>10186.613060971098</v>
          </cell>
          <cell r="AP79">
            <v>160931.93343379765</v>
          </cell>
          <cell r="AS79">
            <v>102183.66588857908</v>
          </cell>
          <cell r="AV79">
            <v>623449.95471263258</v>
          </cell>
          <cell r="AY79">
            <v>607390.75534737518</v>
          </cell>
          <cell r="BB79">
            <v>640177.36245528655</v>
          </cell>
          <cell r="BE79">
            <v>680075.21820882533</v>
          </cell>
          <cell r="BR79">
            <v>2329564.8124539517</v>
          </cell>
          <cell r="BS79">
            <v>0</v>
          </cell>
        </row>
        <row r="80">
          <cell r="F80">
            <v>27657753.177697547</v>
          </cell>
          <cell r="M80">
            <v>1921313.8025834099</v>
          </cell>
          <cell r="Q80">
            <v>111000</v>
          </cell>
          <cell r="R80">
            <v>10049.999999999998</v>
          </cell>
          <cell r="T80">
            <v>14310431.624642802</v>
          </cell>
          <cell r="W80">
            <v>6600693.7597176991</v>
          </cell>
          <cell r="Z80">
            <v>719005.74951020733</v>
          </cell>
          <cell r="AA80">
            <v>442006.20351202221</v>
          </cell>
          <cell r="AD80">
            <v>206405.93138019246</v>
          </cell>
          <cell r="AG80">
            <v>138832.27906724924</v>
          </cell>
          <cell r="AJ80">
            <v>84346.897138622255</v>
          </cell>
          <cell r="AM80">
            <v>12421.095925958307</v>
          </cell>
          <cell r="AP80">
            <v>0</v>
          </cell>
          <cell r="AS80">
            <v>0</v>
          </cell>
          <cell r="AV80">
            <v>837470.08841995406</v>
          </cell>
          <cell r="AY80">
            <v>932778.65999775461</v>
          </cell>
          <cell r="BB80">
            <v>838404.8706267206</v>
          </cell>
          <cell r="BE80">
            <v>934598.41868697992</v>
          </cell>
          <cell r="BR80">
            <v>3383388.0522910431</v>
          </cell>
          <cell r="BS80">
            <v>0</v>
          </cell>
        </row>
        <row r="81">
          <cell r="F81">
            <v>10838073.373516694</v>
          </cell>
          <cell r="M81">
            <v>904000</v>
          </cell>
          <cell r="Q81">
            <v>-48000</v>
          </cell>
          <cell r="R81">
            <v>0</v>
          </cell>
          <cell r="T81">
            <v>4691162.976521736</v>
          </cell>
          <cell r="W81">
            <v>2199407.0653662425</v>
          </cell>
          <cell r="Z81">
            <v>791251.13412564003</v>
          </cell>
          <cell r="AA81">
            <v>815992.57569728827</v>
          </cell>
          <cell r="AD81">
            <v>10987.524652404434</v>
          </cell>
          <cell r="AG81">
            <v>52391.198024834739</v>
          </cell>
          <cell r="AJ81">
            <v>83014.438064984497</v>
          </cell>
          <cell r="AM81">
            <v>81091.016550378044</v>
          </cell>
          <cell r="AP81">
            <v>291329.19713243004</v>
          </cell>
          <cell r="AS81">
            <v>297179.2012722565</v>
          </cell>
          <cell r="AV81">
            <v>333854.91326083033</v>
          </cell>
          <cell r="AY81">
            <v>424521.4983762179</v>
          </cell>
          <cell r="BB81">
            <v>306846.33936258807</v>
          </cell>
          <cell r="BE81">
            <v>419036.87080614961</v>
          </cell>
          <cell r="BR81">
            <v>0</v>
          </cell>
          <cell r="BS81">
            <v>-325475.74043239653</v>
          </cell>
        </row>
        <row r="82">
          <cell r="F82">
            <v>22286638.59736206</v>
          </cell>
          <cell r="M82">
            <v>2036000</v>
          </cell>
          <cell r="Q82">
            <v>330000</v>
          </cell>
          <cell r="R82">
            <v>1172834.9999999998</v>
          </cell>
          <cell r="T82">
            <v>9124361.8908118084</v>
          </cell>
          <cell r="W82">
            <v>3527126.4202571823</v>
          </cell>
          <cell r="Z82">
            <v>1473462.2677426536</v>
          </cell>
          <cell r="AA82">
            <v>1565152.2452502749</v>
          </cell>
          <cell r="AD82">
            <v>73531.895750706608</v>
          </cell>
          <cell r="AG82">
            <v>65962.677412260382</v>
          </cell>
          <cell r="AJ82">
            <v>72487.244832106036</v>
          </cell>
          <cell r="AM82">
            <v>44050.235001593152</v>
          </cell>
          <cell r="AP82">
            <v>380003.79911466985</v>
          </cell>
          <cell r="AS82">
            <v>929116.39313893882</v>
          </cell>
          <cell r="AV82">
            <v>789111.61316196271</v>
          </cell>
          <cell r="AY82">
            <v>700460.47232075955</v>
          </cell>
          <cell r="BB82">
            <v>785399.43857574358</v>
          </cell>
          <cell r="BE82">
            <v>782729.2492416756</v>
          </cell>
          <cell r="BR82">
            <v>0</v>
          </cell>
          <cell r="BS82">
            <v>0</v>
          </cell>
        </row>
        <row r="83">
          <cell r="F83">
            <v>15956265.484408712</v>
          </cell>
          <cell r="M83">
            <v>1564000</v>
          </cell>
          <cell r="Q83">
            <v>-174000</v>
          </cell>
          <cell r="R83">
            <v>134670</v>
          </cell>
          <cell r="T83">
            <v>7212513.2113444591</v>
          </cell>
          <cell r="W83">
            <v>2989857.7596426015</v>
          </cell>
          <cell r="Z83">
            <v>901239.30855173245</v>
          </cell>
          <cell r="AA83">
            <v>961759.82304408518</v>
          </cell>
          <cell r="AD83">
            <v>102843.23074650551</v>
          </cell>
          <cell r="AG83">
            <v>78256.322701519341</v>
          </cell>
          <cell r="AJ83">
            <v>101000.89964573113</v>
          </cell>
          <cell r="AM83">
            <v>141925.35569126435</v>
          </cell>
          <cell r="AP83">
            <v>203359.48069853877</v>
          </cell>
          <cell r="AS83">
            <v>334374.53356052603</v>
          </cell>
          <cell r="AV83">
            <v>594868.7545374796</v>
          </cell>
          <cell r="AY83">
            <v>599636.61645640782</v>
          </cell>
          <cell r="BB83">
            <v>486502.48624327441</v>
          </cell>
          <cell r="BE83">
            <v>685217.52458867221</v>
          </cell>
          <cell r="BR83">
            <v>36334.591367319226</v>
          </cell>
          <cell r="BS83">
            <v>0</v>
          </cell>
        </row>
        <row r="84">
          <cell r="F84">
            <v>23380702.366969079</v>
          </cell>
          <cell r="M84">
            <v>2202000</v>
          </cell>
          <cell r="Q84">
            <v>-624000</v>
          </cell>
          <cell r="R84">
            <v>25124.999999999996</v>
          </cell>
          <cell r="T84">
            <v>11114311.345924458</v>
          </cell>
          <cell r="W84">
            <v>4764087.7142163357</v>
          </cell>
          <cell r="Z84">
            <v>1237604.0057729078</v>
          </cell>
          <cell r="AA84">
            <v>1218609.4050911085</v>
          </cell>
          <cell r="AD84">
            <v>62003.446807722255</v>
          </cell>
          <cell r="AG84">
            <v>143866.49415566478</v>
          </cell>
          <cell r="AJ84">
            <v>180706.7912660967</v>
          </cell>
          <cell r="AM84">
            <v>215170.92892749002</v>
          </cell>
          <cell r="AP84">
            <v>335596.00956871512</v>
          </cell>
          <cell r="AS84">
            <v>281265.7343654196</v>
          </cell>
          <cell r="AV84">
            <v>877127.90847618168</v>
          </cell>
          <cell r="AY84">
            <v>896801.66531976045</v>
          </cell>
          <cell r="BB84">
            <v>828326.12853838538</v>
          </cell>
          <cell r="BE84">
            <v>840709.19362994796</v>
          </cell>
          <cell r="BR84">
            <v>667349.8985411115</v>
          </cell>
          <cell r="BS84">
            <v>0</v>
          </cell>
        </row>
        <row r="85">
          <cell r="F85">
            <v>30101322.791908957</v>
          </cell>
          <cell r="M85">
            <v>2392000</v>
          </cell>
          <cell r="Q85">
            <v>48000</v>
          </cell>
          <cell r="R85">
            <v>0</v>
          </cell>
          <cell r="T85">
            <v>12464500</v>
          </cell>
          <cell r="W85">
            <v>6086634.665618211</v>
          </cell>
          <cell r="Z85">
            <v>2225838.2712521744</v>
          </cell>
          <cell r="AA85">
            <v>2621493.0808318192</v>
          </cell>
          <cell r="AD85">
            <v>117955.30311458175</v>
          </cell>
          <cell r="AG85">
            <v>149947.2219331477</v>
          </cell>
          <cell r="AJ85">
            <v>207776.71672206992</v>
          </cell>
          <cell r="AM85">
            <v>233176.86440259381</v>
          </cell>
          <cell r="AP85">
            <v>665059.51486679842</v>
          </cell>
          <cell r="AS85">
            <v>1247577.4597926277</v>
          </cell>
          <cell r="AV85">
            <v>1077440.8564326798</v>
          </cell>
          <cell r="AY85">
            <v>1050690.7084811395</v>
          </cell>
          <cell r="BB85">
            <v>1170149.7708334965</v>
          </cell>
          <cell r="BE85">
            <v>964575.43845943874</v>
          </cell>
          <cell r="BR85">
            <v>0</v>
          </cell>
          <cell r="BS85">
            <v>-1835834.6862093769</v>
          </cell>
        </row>
        <row r="86">
          <cell r="F86">
            <v>23711393.09387273</v>
          </cell>
          <cell r="M86">
            <v>1556000</v>
          </cell>
          <cell r="Q86">
            <v>-342000</v>
          </cell>
          <cell r="R86">
            <v>0</v>
          </cell>
          <cell r="T86">
            <v>10156248</v>
          </cell>
          <cell r="W86">
            <v>7088709.9157983214</v>
          </cell>
          <cell r="Z86">
            <v>1165305.7445661013</v>
          </cell>
          <cell r="AA86">
            <v>649804.73140972119</v>
          </cell>
          <cell r="AD86">
            <v>187227.42007697155</v>
          </cell>
          <cell r="AG86">
            <v>101697.96891616365</v>
          </cell>
          <cell r="AJ86">
            <v>113633.5315251853</v>
          </cell>
          <cell r="AM86">
            <v>127970.75569805893</v>
          </cell>
          <cell r="AP86">
            <v>98472.511104283767</v>
          </cell>
          <cell r="AS86">
            <v>20802.544089057956</v>
          </cell>
          <cell r="AV86">
            <v>770901.34516591742</v>
          </cell>
          <cell r="AY86">
            <v>859656.0342118413</v>
          </cell>
          <cell r="BB86">
            <v>955516.32102028735</v>
          </cell>
          <cell r="BE86">
            <v>851251.00170054287</v>
          </cell>
          <cell r="BR86">
            <v>0</v>
          </cell>
          <cell r="BS86">
            <v>-1586902.6183728985</v>
          </cell>
        </row>
        <row r="87">
          <cell r="F87">
            <v>18049636.012757163</v>
          </cell>
          <cell r="M87">
            <v>1354000</v>
          </cell>
          <cell r="Q87">
            <v>42000</v>
          </cell>
          <cell r="R87">
            <v>0</v>
          </cell>
          <cell r="T87">
            <v>7857000</v>
          </cell>
          <cell r="W87">
            <v>3776082.9734936277</v>
          </cell>
          <cell r="Z87">
            <v>898157.74331996706</v>
          </cell>
          <cell r="AA87">
            <v>1304848.7019192711</v>
          </cell>
          <cell r="AD87">
            <v>110788.05626439795</v>
          </cell>
          <cell r="AG87">
            <v>65786.424433202919</v>
          </cell>
          <cell r="AJ87">
            <v>137033.97819712659</v>
          </cell>
          <cell r="AM87">
            <v>163403.86443656668</v>
          </cell>
          <cell r="AP87">
            <v>312757.7178022241</v>
          </cell>
          <cell r="AS87">
            <v>515078.66078575299</v>
          </cell>
          <cell r="AV87">
            <v>719305.58584378904</v>
          </cell>
          <cell r="AY87">
            <v>599636.61645640782</v>
          </cell>
          <cell r="BB87">
            <v>794938.70301188633</v>
          </cell>
          <cell r="BE87">
            <v>703665.68871221342</v>
          </cell>
          <cell r="BR87">
            <v>0</v>
          </cell>
          <cell r="BS87">
            <v>-483155.48192973621</v>
          </cell>
        </row>
        <row r="88">
          <cell r="F88">
            <v>16471837.886617566</v>
          </cell>
          <cell r="M88">
            <v>1372000</v>
          </cell>
          <cell r="Q88">
            <v>-120000</v>
          </cell>
          <cell r="R88">
            <v>0</v>
          </cell>
          <cell r="T88">
            <v>7245123.4479882503</v>
          </cell>
          <cell r="W88">
            <v>3917097.4321367615</v>
          </cell>
          <cell r="Z88">
            <v>776080.35144617897</v>
          </cell>
          <cell r="AA88">
            <v>780906.59370202373</v>
          </cell>
          <cell r="AD88">
            <v>113695.52432626497</v>
          </cell>
          <cell r="AG88">
            <v>150608.17060461323</v>
          </cell>
          <cell r="AJ88">
            <v>67374.036690422203</v>
          </cell>
          <cell r="AM88">
            <v>106942.39533963417</v>
          </cell>
          <cell r="AP88">
            <v>170018.39426165531</v>
          </cell>
          <cell r="AS88">
            <v>172268.07247943385</v>
          </cell>
          <cell r="AV88">
            <v>579693.53120744182</v>
          </cell>
          <cell r="AY88">
            <v>557184.4666187861</v>
          </cell>
          <cell r="BB88">
            <v>761551.27748538693</v>
          </cell>
          <cell r="BE88">
            <v>602200.78603273688</v>
          </cell>
          <cell r="BR88">
            <v>0</v>
          </cell>
          <cell r="BS88">
            <v>-259022.71530326456</v>
          </cell>
        </row>
        <row r="89">
          <cell r="F89">
            <v>47131828.324679196</v>
          </cell>
          <cell r="M89">
            <v>3396000</v>
          </cell>
          <cell r="Q89">
            <v>-738000</v>
          </cell>
          <cell r="R89">
            <v>100499.99999999999</v>
          </cell>
          <cell r="T89">
            <v>22572000</v>
          </cell>
          <cell r="W89">
            <v>13046270.523184761</v>
          </cell>
          <cell r="Z89">
            <v>1370111.3107388252</v>
          </cell>
          <cell r="AA89">
            <v>888426.7535598675</v>
          </cell>
          <cell r="AD89">
            <v>253997.7621954293</v>
          </cell>
          <cell r="AG89">
            <v>131396.59588734835</v>
          </cell>
          <cell r="AJ89">
            <v>196407.34803056114</v>
          </cell>
          <cell r="AM89">
            <v>80190.719776622864</v>
          </cell>
          <cell r="AP89">
            <v>70559.043389683633</v>
          </cell>
          <cell r="AS89">
            <v>155875.28428022229</v>
          </cell>
          <cell r="AV89">
            <v>1253473.4470611177</v>
          </cell>
          <cell r="AY89">
            <v>1602568.6563702228</v>
          </cell>
          <cell r="BB89">
            <v>2068430.5052369281</v>
          </cell>
          <cell r="BE89">
            <v>1572047.128527473</v>
          </cell>
          <cell r="BR89">
            <v>911878.99286469817</v>
          </cell>
          <cell r="BS89">
            <v>0</v>
          </cell>
        </row>
        <row r="90">
          <cell r="F90">
            <v>17007067.280862838</v>
          </cell>
          <cell r="M90">
            <v>964000</v>
          </cell>
          <cell r="Q90">
            <v>1116000</v>
          </cell>
          <cell r="R90">
            <v>217306.12499999997</v>
          </cell>
          <cell r="T90">
            <v>7994160.7378354371</v>
          </cell>
          <cell r="W90">
            <v>4199145.6481267754</v>
          </cell>
          <cell r="Z90">
            <v>443745.39337423543</v>
          </cell>
          <cell r="AA90">
            <v>372661.61537293758</v>
          </cell>
          <cell r="AD90">
            <v>117211.53221503439</v>
          </cell>
          <cell r="AG90">
            <v>27539.527977730624</v>
          </cell>
          <cell r="AJ90">
            <v>92037.746550308904</v>
          </cell>
          <cell r="AM90">
            <v>73631.414710692188</v>
          </cell>
          <cell r="AP90">
            <v>62241.393919171482</v>
          </cell>
          <cell r="AS90">
            <v>0</v>
          </cell>
          <cell r="AV90">
            <v>421871.2085750493</v>
          </cell>
          <cell r="AY90">
            <v>408601.94218710979</v>
          </cell>
          <cell r="BB90">
            <v>561226.7243263917</v>
          </cell>
          <cell r="BE90">
            <v>308347.88606490253</v>
          </cell>
          <cell r="BR90">
            <v>1460263.360413041</v>
          </cell>
          <cell r="BS90">
            <v>0</v>
          </cell>
        </row>
        <row r="91">
          <cell r="F91">
            <v>27682091.615557905</v>
          </cell>
          <cell r="M91">
            <v>1895652.1242447014</v>
          </cell>
          <cell r="Q91">
            <v>-810000</v>
          </cell>
          <cell r="R91">
            <v>55547.354999999996</v>
          </cell>
          <cell r="T91">
            <v>12903647.308808958</v>
          </cell>
          <cell r="W91">
            <v>6377887.8117793808</v>
          </cell>
          <cell r="Z91">
            <v>1485142.246326573</v>
          </cell>
          <cell r="AA91">
            <v>1604803.4328368017</v>
          </cell>
          <cell r="AD91">
            <v>317428.23518377572</v>
          </cell>
          <cell r="AG91">
            <v>202597.40672559224</v>
          </cell>
          <cell r="AJ91">
            <v>606804.55782579537</v>
          </cell>
          <cell r="AM91">
            <v>180288.21959064665</v>
          </cell>
          <cell r="AP91">
            <v>261182.95838098557</v>
          </cell>
          <cell r="AS91">
            <v>36502.055130006265</v>
          </cell>
          <cell r="AV91">
            <v>1137008.8152245583</v>
          </cell>
          <cell r="AY91">
            <v>972255.46269581094</v>
          </cell>
          <cell r="BB91">
            <v>1248178.3950904505</v>
          </cell>
          <cell r="BE91">
            <v>811968.6635506727</v>
          </cell>
          <cell r="BR91">
            <v>0</v>
          </cell>
          <cell r="BS91">
            <v>0</v>
          </cell>
        </row>
        <row r="92">
          <cell r="F92">
            <v>20091253.828840308</v>
          </cell>
          <cell r="M92">
            <v>1529213.9706380041</v>
          </cell>
          <cell r="Q92">
            <v>306000</v>
          </cell>
          <cell r="R92">
            <v>669329.99999999988</v>
          </cell>
          <cell r="T92">
            <v>9199260.9491955824</v>
          </cell>
          <cell r="W92">
            <v>4412300.9660316361</v>
          </cell>
          <cell r="Z92">
            <v>690041.58610566473</v>
          </cell>
          <cell r="AA92">
            <v>767493.35406098992</v>
          </cell>
          <cell r="AD92">
            <v>140148.73569108165</v>
          </cell>
          <cell r="AG92">
            <v>132238.55666060472</v>
          </cell>
          <cell r="AJ92">
            <v>234902.01807259355</v>
          </cell>
          <cell r="AM92">
            <v>156723.71334258115</v>
          </cell>
          <cell r="AP92">
            <v>65800.789514767632</v>
          </cell>
          <cell r="AS92">
            <v>37679.540779361305</v>
          </cell>
          <cell r="AV92">
            <v>599570.22223590093</v>
          </cell>
          <cell r="AY92">
            <v>630064.99258499476</v>
          </cell>
          <cell r="BB92">
            <v>676978.11259143078</v>
          </cell>
          <cell r="BE92">
            <v>610999.67539610423</v>
          </cell>
          <cell r="BR92">
            <v>1105269.1000180729</v>
          </cell>
          <cell r="BS92">
            <v>0</v>
          </cell>
        </row>
        <row r="93">
          <cell r="F93">
            <v>27150515.632502209</v>
          </cell>
          <cell r="M93">
            <v>2460662.9085768154</v>
          </cell>
          <cell r="Q93">
            <v>228000</v>
          </cell>
          <cell r="R93">
            <v>665807.47499999998</v>
          </cell>
          <cell r="T93">
            <v>11851259.56958691</v>
          </cell>
          <cell r="W93">
            <v>6945048.2689855844</v>
          </cell>
          <cell r="Z93">
            <v>747787.68227062549</v>
          </cell>
          <cell r="AA93">
            <v>587187.75632949383</v>
          </cell>
          <cell r="AD93">
            <v>133020.18271518958</v>
          </cell>
          <cell r="AG93">
            <v>182436.89007235543</v>
          </cell>
          <cell r="AJ93">
            <v>96115.871615024516</v>
          </cell>
          <cell r="AM93">
            <v>175614.81192692422</v>
          </cell>
          <cell r="AP93">
            <v>0</v>
          </cell>
          <cell r="AS93">
            <v>0</v>
          </cell>
          <cell r="AV93">
            <v>714513.73634330172</v>
          </cell>
          <cell r="AY93">
            <v>999413.43651412986</v>
          </cell>
          <cell r="BB93">
            <v>987802.1979399001</v>
          </cell>
          <cell r="BE93">
            <v>963032.60095544904</v>
          </cell>
          <cell r="BR93">
            <v>381129.58501285315</v>
          </cell>
          <cell r="BS93">
            <v>0</v>
          </cell>
        </row>
        <row r="94">
          <cell r="F94">
            <v>64390337.277536027</v>
          </cell>
          <cell r="M94">
            <v>6154075.96180188</v>
          </cell>
          <cell r="Q94">
            <v>-1188000</v>
          </cell>
          <cell r="R94">
            <v>238677.44999999998</v>
          </cell>
          <cell r="T94">
            <v>36813932.972700424</v>
          </cell>
          <cell r="W94">
            <v>14352670.337991565</v>
          </cell>
          <cell r="Z94">
            <v>1225507.3895801269</v>
          </cell>
          <cell r="AA94">
            <v>578149.27747251617</v>
          </cell>
          <cell r="AD94">
            <v>207276.07359932194</v>
          </cell>
          <cell r="AG94">
            <v>286915.911907578</v>
          </cell>
          <cell r="AJ94">
            <v>17841.763867239519</v>
          </cell>
          <cell r="AM94">
            <v>66115.52809837673</v>
          </cell>
          <cell r="AP94">
            <v>0</v>
          </cell>
          <cell r="AS94">
            <v>0</v>
          </cell>
          <cell r="AV94">
            <v>1440920.7469684349</v>
          </cell>
          <cell r="AY94">
            <v>1579446.235849703</v>
          </cell>
          <cell r="BB94">
            <v>1649588.5666479222</v>
          </cell>
          <cell r="BE94">
            <v>1545368.3385234505</v>
          </cell>
          <cell r="BR94">
            <v>15493344.850086905</v>
          </cell>
          <cell r="BS94">
            <v>0</v>
          </cell>
        </row>
        <row r="95">
          <cell r="F95">
            <v>35420539.442209512</v>
          </cell>
          <cell r="M95">
            <v>3429780.6795599847</v>
          </cell>
          <cell r="Q95">
            <v>6000</v>
          </cell>
          <cell r="R95">
            <v>0</v>
          </cell>
          <cell r="T95">
            <v>17544195.623370524</v>
          </cell>
          <cell r="W95">
            <v>7878696.6971652452</v>
          </cell>
          <cell r="Z95">
            <v>1281079.6904245974</v>
          </cell>
          <cell r="AA95">
            <v>1396538.2701610469</v>
          </cell>
          <cell r="AD95">
            <v>274119.36047583923</v>
          </cell>
          <cell r="AG95">
            <v>253441.52748222527</v>
          </cell>
          <cell r="AJ95">
            <v>254636.7774594574</v>
          </cell>
          <cell r="AM95">
            <v>183128.03944545853</v>
          </cell>
          <cell r="AP95">
            <v>357714.04478116927</v>
          </cell>
          <cell r="AS95">
            <v>73498.520516897246</v>
          </cell>
          <cell r="AV95">
            <v>902286.55832304398</v>
          </cell>
          <cell r="AY95">
            <v>1007431.7413333583</v>
          </cell>
          <cell r="BB95">
            <v>1039838.0833031929</v>
          </cell>
          <cell r="BE95">
            <v>934692.09856851248</v>
          </cell>
          <cell r="BR95">
            <v>3799498.4629445449</v>
          </cell>
          <cell r="BS95">
            <v>0</v>
          </cell>
        </row>
        <row r="96">
          <cell r="F96">
            <v>67645781.124991238</v>
          </cell>
          <cell r="M96">
            <v>3688000</v>
          </cell>
          <cell r="Q96">
            <v>-1446000</v>
          </cell>
          <cell r="R96">
            <v>50249.999999999993</v>
          </cell>
          <cell r="T96">
            <v>33031554.490738556</v>
          </cell>
          <cell r="W96">
            <v>17015154.213911537</v>
          </cell>
          <cell r="Z96">
            <v>3207909.4062679103</v>
          </cell>
          <cell r="AA96">
            <v>2561219.7227562233</v>
          </cell>
          <cell r="AD96">
            <v>519557.78110200411</v>
          </cell>
          <cell r="AG96">
            <v>337260.07542648027</v>
          </cell>
          <cell r="AJ96">
            <v>530269.76198756404</v>
          </cell>
          <cell r="AM96">
            <v>527831.13707018481</v>
          </cell>
          <cell r="AP96">
            <v>573635.85924599948</v>
          </cell>
          <cell r="AS96">
            <v>72665.107923990465</v>
          </cell>
          <cell r="AV96">
            <v>2033479.9262250576</v>
          </cell>
          <cell r="AY96">
            <v>2663872.4023107677</v>
          </cell>
          <cell r="BB96">
            <v>2349838.8061031359</v>
          </cell>
          <cell r="BE96">
            <v>2490502.1566780591</v>
          </cell>
          <cell r="BR96">
            <v>928129.64094677567</v>
          </cell>
          <cell r="BS96">
            <v>0</v>
          </cell>
        </row>
        <row r="97">
          <cell r="F97">
            <v>33344283.160956271</v>
          </cell>
          <cell r="M97">
            <v>2604000</v>
          </cell>
          <cell r="Q97">
            <v>30000</v>
          </cell>
          <cell r="R97">
            <v>250965.58499999996</v>
          </cell>
          <cell r="T97">
            <v>15647028.42574019</v>
          </cell>
          <cell r="W97">
            <v>6520447.1860844456</v>
          </cell>
          <cell r="Z97">
            <v>1547419.8333050262</v>
          </cell>
          <cell r="AA97">
            <v>1971469.4740332495</v>
          </cell>
          <cell r="AD97">
            <v>184117.10540613707</v>
          </cell>
          <cell r="AG97">
            <v>205422.84709148825</v>
          </cell>
          <cell r="AJ97">
            <v>314071.29067919136</v>
          </cell>
          <cell r="AM97">
            <v>418637.99979616259</v>
          </cell>
          <cell r="AP97">
            <v>576102.95866521914</v>
          </cell>
          <cell r="AS97">
            <v>273117.2723950512</v>
          </cell>
          <cell r="AV97">
            <v>1034950.2311085742</v>
          </cell>
          <cell r="AY97">
            <v>1093142.8583187612</v>
          </cell>
          <cell r="BB97">
            <v>1494484.7616623461</v>
          </cell>
          <cell r="BE97">
            <v>1150374.8057036747</v>
          </cell>
          <cell r="BR97">
            <v>1176175.77515582</v>
          </cell>
          <cell r="BS97">
            <v>0</v>
          </cell>
        </row>
        <row r="98">
          <cell r="F98">
            <v>35815869.59269847</v>
          </cell>
          <cell r="M98">
            <v>2856000</v>
          </cell>
          <cell r="Q98">
            <v>-648000</v>
          </cell>
          <cell r="R98">
            <v>0</v>
          </cell>
          <cell r="T98">
            <v>18023243.282020446</v>
          </cell>
          <cell r="W98">
            <v>8791166.0027947221</v>
          </cell>
          <cell r="Z98">
            <v>1539597.398485929</v>
          </cell>
          <cell r="AA98">
            <v>487858.90993739176</v>
          </cell>
          <cell r="AD98">
            <v>123939.27807912203</v>
          </cell>
          <cell r="AG98">
            <v>110290.3016452156</v>
          </cell>
          <cell r="AJ98">
            <v>71885.690933084406</v>
          </cell>
          <cell r="AM98">
            <v>118774.86722327377</v>
          </cell>
          <cell r="AP98">
            <v>28265.910488774367</v>
          </cell>
          <cell r="AS98">
            <v>34702.861567921573</v>
          </cell>
          <cell r="AV98">
            <v>1062265.6331026421</v>
          </cell>
          <cell r="AY98">
            <v>1342549.2386147892</v>
          </cell>
          <cell r="BB98">
            <v>1330727.3888418975</v>
          </cell>
          <cell r="BE98">
            <v>1030461.738900657</v>
          </cell>
          <cell r="BR98">
            <v>2695567.863577418</v>
          </cell>
          <cell r="BS98">
            <v>0</v>
          </cell>
        </row>
        <row r="99">
          <cell r="F99">
            <v>14535943.560878409</v>
          </cell>
          <cell r="M99">
            <v>1036000</v>
          </cell>
          <cell r="Q99">
            <v>-534000</v>
          </cell>
          <cell r="R99">
            <v>910529.99999999988</v>
          </cell>
          <cell r="T99">
            <v>6926999.9999999991</v>
          </cell>
          <cell r="W99">
            <v>3370144.097173953</v>
          </cell>
          <cell r="Z99">
            <v>499213.56754601491</v>
          </cell>
          <cell r="AA99">
            <v>434765.22794185992</v>
          </cell>
          <cell r="AD99">
            <v>147841.37016912183</v>
          </cell>
          <cell r="AG99">
            <v>81472.939569318274</v>
          </cell>
          <cell r="AJ99">
            <v>89390.909394613744</v>
          </cell>
          <cell r="AM99">
            <v>50223.698593057299</v>
          </cell>
          <cell r="AP99">
            <v>65836.310215748774</v>
          </cell>
          <cell r="AS99">
            <v>0</v>
          </cell>
          <cell r="AV99">
            <v>482572.10189520032</v>
          </cell>
          <cell r="AY99">
            <v>440441.05456532614</v>
          </cell>
          <cell r="BB99">
            <v>527839.29879989242</v>
          </cell>
          <cell r="BE99">
            <v>441438.21295616386</v>
          </cell>
          <cell r="BR99">
            <v>891302.13647640683</v>
          </cell>
          <cell r="BS99">
            <v>0</v>
          </cell>
        </row>
        <row r="100">
          <cell r="F100">
            <v>17139777.58934328</v>
          </cell>
          <cell r="M100">
            <v>1726000</v>
          </cell>
          <cell r="Q100">
            <v>-198000</v>
          </cell>
          <cell r="R100">
            <v>0</v>
          </cell>
          <cell r="T100">
            <v>8222506.1179448385</v>
          </cell>
          <cell r="W100">
            <v>3962054.4057998536</v>
          </cell>
          <cell r="Z100">
            <v>642150.78560406191</v>
          </cell>
          <cell r="AA100">
            <v>633249.83789666928</v>
          </cell>
          <cell r="AD100">
            <v>143074.47485838635</v>
          </cell>
          <cell r="AG100">
            <v>148845.64081403846</v>
          </cell>
          <cell r="AJ100">
            <v>150990.02865442834</v>
          </cell>
          <cell r="AM100">
            <v>84113.44143369903</v>
          </cell>
          <cell r="AP100">
            <v>106226.25213611714</v>
          </cell>
          <cell r="AS100">
            <v>0</v>
          </cell>
          <cell r="AV100">
            <v>585763.62053945696</v>
          </cell>
          <cell r="AY100">
            <v>504119.27932175878</v>
          </cell>
          <cell r="BB100">
            <v>507170.89252158348</v>
          </cell>
          <cell r="BE100">
            <v>554762.64971505967</v>
          </cell>
          <cell r="BR100">
            <v>1170930.7451567296</v>
          </cell>
          <cell r="BS100">
            <v>0</v>
          </cell>
        </row>
        <row r="101">
          <cell r="F101">
            <v>52289433.448398523</v>
          </cell>
          <cell r="M101">
            <v>5422000</v>
          </cell>
          <cell r="Q101">
            <v>-726000</v>
          </cell>
          <cell r="R101">
            <v>970829.99999999988</v>
          </cell>
          <cell r="T101">
            <v>21460204.0571297</v>
          </cell>
          <cell r="W101">
            <v>11199632.066085096</v>
          </cell>
          <cell r="Z101">
            <v>3158367.3190802955</v>
          </cell>
          <cell r="AA101">
            <v>3041852.2120257001</v>
          </cell>
          <cell r="AD101">
            <v>410426.30547750718</v>
          </cell>
          <cell r="AG101">
            <v>598246.67416583782</v>
          </cell>
          <cell r="AJ101">
            <v>636504.18055478344</v>
          </cell>
          <cell r="AM101">
            <v>444617.99241024087</v>
          </cell>
          <cell r="AP101">
            <v>497085.28869535372</v>
          </cell>
          <cell r="AS101">
            <v>454971.77072197723</v>
          </cell>
          <cell r="AV101">
            <v>2000094.4348989748</v>
          </cell>
          <cell r="AY101">
            <v>2111994.4544216841</v>
          </cell>
          <cell r="BB101">
            <v>1818819.7524911957</v>
          </cell>
          <cell r="BE101">
            <v>1831639.152265874</v>
          </cell>
          <cell r="BR101">
            <v>0</v>
          </cell>
          <cell r="BS101">
            <v>-2285835.7400369719</v>
          </cell>
        </row>
        <row r="102">
          <cell r="F102">
            <v>11975326.947502106</v>
          </cell>
          <cell r="M102">
            <v>1084000</v>
          </cell>
          <cell r="Q102">
            <v>150000</v>
          </cell>
          <cell r="R102">
            <v>101002.49999999999</v>
          </cell>
          <cell r="T102">
            <v>5290397.3443746297</v>
          </cell>
          <cell r="W102">
            <v>2474838.3991323686</v>
          </cell>
          <cell r="Z102">
            <v>628876.35075953347</v>
          </cell>
          <cell r="AA102">
            <v>597247.91528464702</v>
          </cell>
          <cell r="AD102">
            <v>109841.43875588311</v>
          </cell>
          <cell r="AG102">
            <v>90549.967990778285</v>
          </cell>
          <cell r="AJ102">
            <v>85480.80905097317</v>
          </cell>
          <cell r="AM102">
            <v>119675.16399702897</v>
          </cell>
          <cell r="AP102">
            <v>116447.09258717022</v>
          </cell>
          <cell r="AS102">
            <v>75253.442902813345</v>
          </cell>
          <cell r="AV102">
            <v>403660.94057900406</v>
          </cell>
          <cell r="AY102">
            <v>419214.97964651522</v>
          </cell>
          <cell r="BB102">
            <v>414958.00297220459</v>
          </cell>
          <cell r="BE102">
            <v>411130.51475320337</v>
          </cell>
          <cell r="BR102">
            <v>0</v>
          </cell>
          <cell r="BS102">
            <v>0</v>
          </cell>
        </row>
        <row r="103">
          <cell r="F103">
            <v>50102073.098774515</v>
          </cell>
          <cell r="M103">
            <v>4128475.4254353847</v>
          </cell>
          <cell r="Q103">
            <v>-648000</v>
          </cell>
          <cell r="R103">
            <v>0</v>
          </cell>
          <cell r="T103">
            <v>23239407.51847893</v>
          </cell>
          <cell r="W103">
            <v>12000574.160051672</v>
          </cell>
          <cell r="Z103">
            <v>1961058.7022308803</v>
          </cell>
          <cell r="AA103">
            <v>1742734.0913708112</v>
          </cell>
          <cell r="AD103">
            <v>415707.07470166072</v>
          </cell>
          <cell r="AG103">
            <v>263284.98740186135</v>
          </cell>
          <cell r="AJ103">
            <v>322951.55705655715</v>
          </cell>
          <cell r="AM103">
            <v>341822.57628983364</v>
          </cell>
          <cell r="AP103">
            <v>260764.42036264489</v>
          </cell>
          <cell r="AS103">
            <v>138203.47555825353</v>
          </cell>
          <cell r="AV103">
            <v>1856086.8053457155</v>
          </cell>
          <cell r="AY103">
            <v>1872646.1689914966</v>
          </cell>
          <cell r="BB103">
            <v>1877639.8311471567</v>
          </cell>
          <cell r="BE103">
            <v>2071450.3957224642</v>
          </cell>
          <cell r="BR103">
            <v>322861.45498169959</v>
          </cell>
          <cell r="BS103">
            <v>0</v>
          </cell>
        </row>
        <row r="104">
          <cell r="F104">
            <v>24040023.882348135</v>
          </cell>
          <cell r="M104">
            <v>1844680.6174844846</v>
          </cell>
          <cell r="Q104">
            <v>-186000</v>
          </cell>
          <cell r="R104">
            <v>0</v>
          </cell>
          <cell r="T104">
            <v>11464348.14856557</v>
          </cell>
          <cell r="W104">
            <v>5742217.4990582867</v>
          </cell>
          <cell r="Z104">
            <v>969597.6133182249</v>
          </cell>
          <cell r="AA104">
            <v>919166.24440626265</v>
          </cell>
          <cell r="AD104">
            <v>128457.38386622863</v>
          </cell>
          <cell r="AG104">
            <v>132658.5263704345</v>
          </cell>
          <cell r="AJ104">
            <v>132980.05290564118</v>
          </cell>
          <cell r="AM104">
            <v>150474.1405244194</v>
          </cell>
          <cell r="AP104">
            <v>333269.64943908766</v>
          </cell>
          <cell r="AS104">
            <v>41326.491300451329</v>
          </cell>
          <cell r="AV104">
            <v>778947.9051942674</v>
          </cell>
          <cell r="AY104">
            <v>840562.76903595577</v>
          </cell>
          <cell r="BB104">
            <v>798554.80085290782</v>
          </cell>
          <cell r="BE104">
            <v>867948.28443218046</v>
          </cell>
          <cell r="BR104">
            <v>763192.54639582336</v>
          </cell>
          <cell r="BS104">
            <v>0</v>
          </cell>
        </row>
        <row r="105">
          <cell r="F105">
            <v>113475964.41444342</v>
          </cell>
          <cell r="M105">
            <v>11608391.879056284</v>
          </cell>
          <cell r="Q105">
            <v>-1266000</v>
          </cell>
          <cell r="R105">
            <v>2786864.9999999995</v>
          </cell>
          <cell r="T105">
            <v>46009539.160244867</v>
          </cell>
          <cell r="W105">
            <v>32362904.201567184</v>
          </cell>
          <cell r="Z105">
            <v>3524714.6872209511</v>
          </cell>
          <cell r="AA105">
            <v>2205878.0450947471</v>
          </cell>
          <cell r="AD105">
            <v>504810.38786369405</v>
          </cell>
          <cell r="AG105">
            <v>444854.058984395</v>
          </cell>
          <cell r="AJ105">
            <v>648173.71397230763</v>
          </cell>
          <cell r="AM105">
            <v>454625.36434064305</v>
          </cell>
          <cell r="AP105">
            <v>153414.51993370766</v>
          </cell>
          <cell r="AS105">
            <v>0</v>
          </cell>
          <cell r="AV105">
            <v>3567835.4759217706</v>
          </cell>
          <cell r="AY105">
            <v>4238194.3042099243</v>
          </cell>
          <cell r="BB105">
            <v>4147142.3192211664</v>
          </cell>
          <cell r="BE105">
            <v>4290499.3419065541</v>
          </cell>
          <cell r="BR105">
            <v>0</v>
          </cell>
          <cell r="BS105">
            <v>-5326353.7932128161</v>
          </cell>
        </row>
        <row r="106">
          <cell r="F106">
            <v>21859092.14541598</v>
          </cell>
          <cell r="M106">
            <v>2054908.0116717617</v>
          </cell>
          <cell r="Q106">
            <v>54000</v>
          </cell>
          <cell r="R106">
            <v>663299.99999999988</v>
          </cell>
          <cell r="T106">
            <v>8202241.9512381935</v>
          </cell>
          <cell r="W106">
            <v>4985194.6647725487</v>
          </cell>
          <cell r="Z106">
            <v>1147305.6461803757</v>
          </cell>
          <cell r="AA106">
            <v>1319199.7148119032</v>
          </cell>
          <cell r="AD106">
            <v>223401.04031997948</v>
          </cell>
          <cell r="AG106">
            <v>144594.44527231777</v>
          </cell>
          <cell r="AJ106">
            <v>305225.30910089327</v>
          </cell>
          <cell r="AM106">
            <v>172733.99425251246</v>
          </cell>
          <cell r="AP106">
            <v>281343.94364191906</v>
          </cell>
          <cell r="AS106">
            <v>191900.98222428121</v>
          </cell>
          <cell r="AV106">
            <v>768743.00436889578</v>
          </cell>
          <cell r="AY106">
            <v>753336.3277304084</v>
          </cell>
          <cell r="BB106">
            <v>855733.75185182248</v>
          </cell>
          <cell r="BE106">
            <v>1055129.0727900688</v>
          </cell>
          <cell r="BR106">
            <v>0</v>
          </cell>
          <cell r="BS106">
            <v>-2045060.4644137695</v>
          </cell>
        </row>
        <row r="107">
          <cell r="F107">
            <v>24379534.631570492</v>
          </cell>
          <cell r="M107">
            <v>2095761.0536533075</v>
          </cell>
          <cell r="Q107">
            <v>60000</v>
          </cell>
          <cell r="R107">
            <v>0</v>
          </cell>
          <cell r="T107">
            <v>10168036.733020771</v>
          </cell>
          <cell r="W107">
            <v>5654155.9336957</v>
          </cell>
          <cell r="Z107">
            <v>1349215.9455925794</v>
          </cell>
          <cell r="AA107">
            <v>1527101.2087790337</v>
          </cell>
          <cell r="AD107">
            <v>234484.77045022885</v>
          </cell>
          <cell r="AG107">
            <v>246796.12134248074</v>
          </cell>
          <cell r="AJ107">
            <v>210671.81660768177</v>
          </cell>
          <cell r="AM107">
            <v>246687.78798951968</v>
          </cell>
          <cell r="AP107">
            <v>458731.73205893254</v>
          </cell>
          <cell r="AS107">
            <v>129728.98033019011</v>
          </cell>
          <cell r="AV107">
            <v>905132.8922407967</v>
          </cell>
          <cell r="AY107">
            <v>959284.38854879339</v>
          </cell>
          <cell r="BB107">
            <v>912566.16421389801</v>
          </cell>
          <cell r="BE107">
            <v>748280.31182561</v>
          </cell>
          <cell r="BR107">
            <v>0</v>
          </cell>
          <cell r="BS107">
            <v>-1027728.553231068</v>
          </cell>
        </row>
        <row r="108">
          <cell r="F108">
            <v>61527603.946423754</v>
          </cell>
          <cell r="M108">
            <v>5852000</v>
          </cell>
          <cell r="Q108">
            <v>-840000</v>
          </cell>
          <cell r="R108">
            <v>627879.77999999991</v>
          </cell>
          <cell r="T108">
            <v>29719333.011696178</v>
          </cell>
          <cell r="W108">
            <v>15374824.163124116</v>
          </cell>
          <cell r="Z108">
            <v>1592221.0509053096</v>
          </cell>
          <cell r="AA108">
            <v>977862.45066825696</v>
          </cell>
          <cell r="AD108">
            <v>301801.94637542887</v>
          </cell>
          <cell r="AG108">
            <v>178720.52076428063</v>
          </cell>
          <cell r="AJ108">
            <v>223537.42887643655</v>
          </cell>
          <cell r="AM108">
            <v>106299.32621552331</v>
          </cell>
          <cell r="AP108">
            <v>94454.663478697388</v>
          </cell>
          <cell r="AS108">
            <v>73048.56495789015</v>
          </cell>
          <cell r="AV108">
            <v>1760325.9062843786</v>
          </cell>
          <cell r="AY108">
            <v>2101381.416962279</v>
          </cell>
          <cell r="BB108">
            <v>2209929.5943730436</v>
          </cell>
          <cell r="BE108">
            <v>2151846.5724101956</v>
          </cell>
          <cell r="BR108">
            <v>4092374.5959211364</v>
          </cell>
          <cell r="BS108">
            <v>0</v>
          </cell>
        </row>
        <row r="109">
          <cell r="F109">
            <v>47818429.780849002</v>
          </cell>
          <cell r="M109">
            <v>3992000</v>
          </cell>
          <cell r="Q109">
            <v>-150000</v>
          </cell>
          <cell r="R109">
            <v>1842164.9999999998</v>
          </cell>
          <cell r="T109">
            <v>21035562.052490015</v>
          </cell>
          <cell r="W109">
            <v>9117196.5494278036</v>
          </cell>
          <cell r="Z109">
            <v>2283202.7932588868</v>
          </cell>
          <cell r="AA109">
            <v>3080621.3946659327</v>
          </cell>
          <cell r="AD109">
            <v>322627.53156275541</v>
          </cell>
          <cell r="AG109">
            <v>415824.8408413502</v>
          </cell>
          <cell r="AJ109">
            <v>357022.23906933551</v>
          </cell>
          <cell r="AM109">
            <v>615417.15177408233</v>
          </cell>
          <cell r="AP109">
            <v>745557.4444881957</v>
          </cell>
          <cell r="AS109">
            <v>624172.18693021359</v>
          </cell>
          <cell r="AV109">
            <v>1808886.6209404992</v>
          </cell>
          <cell r="AY109">
            <v>1241725.3827504374</v>
          </cell>
          <cell r="BB109">
            <v>1847437.5457996235</v>
          </cell>
          <cell r="BE109">
            <v>1719632.4415158024</v>
          </cell>
          <cell r="BR109">
            <v>571058.96249004453</v>
          </cell>
          <cell r="BS109">
            <v>0</v>
          </cell>
        </row>
        <row r="110">
          <cell r="F110">
            <v>3099483.5766853807</v>
          </cell>
          <cell r="M110">
            <v>96000</v>
          </cell>
          <cell r="Q110">
            <v>-180000</v>
          </cell>
          <cell r="R110">
            <v>0</v>
          </cell>
          <cell r="T110">
            <v>1894016.5197919146</v>
          </cell>
          <cell r="W110">
            <v>888660.39409036445</v>
          </cell>
          <cell r="Z110">
            <v>48356.869790782068</v>
          </cell>
          <cell r="AA110">
            <v>0</v>
          </cell>
          <cell r="AD110">
            <v>0</v>
          </cell>
          <cell r="AG110">
            <v>0</v>
          </cell>
          <cell r="AJ110">
            <v>0</v>
          </cell>
          <cell r="AM110">
            <v>0</v>
          </cell>
          <cell r="AP110">
            <v>0</v>
          </cell>
          <cell r="AS110">
            <v>0</v>
          </cell>
          <cell r="AV110">
            <v>66770.982652166073</v>
          </cell>
          <cell r="AY110">
            <v>100823.85586435176</v>
          </cell>
          <cell r="BB110">
            <v>117650.92804575917</v>
          </cell>
          <cell r="BE110">
            <v>67204.02645004286</v>
          </cell>
          <cell r="BR110">
            <v>624188.73267014557</v>
          </cell>
          <cell r="BS110">
            <v>0</v>
          </cell>
        </row>
        <row r="111">
          <cell r="F111">
            <v>75857692.940683022</v>
          </cell>
          <cell r="M111">
            <v>9856000</v>
          </cell>
          <cell r="Q111">
            <v>1068000</v>
          </cell>
          <cell r="R111">
            <v>335669.99999999988</v>
          </cell>
          <cell r="T111">
            <v>30027599.02906616</v>
          </cell>
          <cell r="W111">
            <v>18769692.355993517</v>
          </cell>
          <cell r="Z111">
            <v>2643508.881896086</v>
          </cell>
          <cell r="AA111">
            <v>2227762.9337933501</v>
          </cell>
          <cell r="AD111">
            <v>550120.00351976906</v>
          </cell>
          <cell r="AG111">
            <v>536910.63745383616</v>
          </cell>
          <cell r="AJ111">
            <v>545188.29868330038</v>
          </cell>
          <cell r="AM111">
            <v>291696.15469668101</v>
          </cell>
          <cell r="AP111">
            <v>235784.21592256924</v>
          </cell>
          <cell r="AS111">
            <v>68063.623517194224</v>
          </cell>
          <cell r="AV111">
            <v>2497841.7601242126</v>
          </cell>
          <cell r="AY111">
            <v>2690404.995959281</v>
          </cell>
          <cell r="BB111">
            <v>3093901.4321222613</v>
          </cell>
          <cell r="BE111">
            <v>2647311.5517281587</v>
          </cell>
          <cell r="BR111">
            <v>0</v>
          </cell>
          <cell r="BS111">
            <v>-2783871.0994400233</v>
          </cell>
        </row>
        <row r="112">
          <cell r="F112">
            <v>30440876.31867031</v>
          </cell>
          <cell r="M112">
            <v>2788000</v>
          </cell>
          <cell r="Q112">
            <v>-1026000</v>
          </cell>
          <cell r="R112">
            <v>183462.74999999997</v>
          </cell>
          <cell r="T112">
            <v>13774243.499306515</v>
          </cell>
          <cell r="W112">
            <v>6141654.6851847647</v>
          </cell>
          <cell r="Z112">
            <v>1797263.6605574004</v>
          </cell>
          <cell r="AA112">
            <v>2222886.0403505433</v>
          </cell>
          <cell r="AD112">
            <v>132086.95020598194</v>
          </cell>
          <cell r="AG112">
            <v>210049.487791747</v>
          </cell>
          <cell r="AJ112">
            <v>473242.45236031385</v>
          </cell>
          <cell r="AM112">
            <v>490790.35552139988</v>
          </cell>
          <cell r="AP112">
            <v>394735.90707515326</v>
          </cell>
          <cell r="AS112">
            <v>521980.8873959473</v>
          </cell>
          <cell r="AV112">
            <v>1095651.1244287251</v>
          </cell>
          <cell r="AY112">
            <v>1061303.7459405449</v>
          </cell>
          <cell r="BB112">
            <v>1302109.5955334697</v>
          </cell>
          <cell r="BE112">
            <v>1100301.2173683487</v>
          </cell>
          <cell r="BR112">
            <v>0</v>
          </cell>
          <cell r="BS112">
            <v>0</v>
          </cell>
        </row>
        <row r="113">
          <cell r="F113">
            <v>43413254.09861882</v>
          </cell>
          <cell r="M113">
            <v>2876687.6853069831</v>
          </cell>
          <cell r="Q113">
            <v>-1392000</v>
          </cell>
          <cell r="R113">
            <v>656264.99999999988</v>
          </cell>
          <cell r="T113">
            <v>21322449.264081258</v>
          </cell>
          <cell r="W113">
            <v>11764481.70184475</v>
          </cell>
          <cell r="Z113">
            <v>1201591.2827654351</v>
          </cell>
          <cell r="AA113">
            <v>525271.13387570076</v>
          </cell>
          <cell r="AD113">
            <v>160370.64436132004</v>
          </cell>
          <cell r="AG113">
            <v>120075.43848001809</v>
          </cell>
          <cell r="AJ113">
            <v>189586.96549222362</v>
          </cell>
          <cell r="AM113">
            <v>16835.082178632612</v>
          </cell>
          <cell r="AP113">
            <v>38403.003363506359</v>
          </cell>
          <cell r="AS113">
            <v>0</v>
          </cell>
          <cell r="AV113">
            <v>1168820.6638573697</v>
          </cell>
          <cell r="AY113">
            <v>1871944.4067019508</v>
          </cell>
          <cell r="BB113">
            <v>1672908.4912205583</v>
          </cell>
          <cell r="BE113">
            <v>1744834.4689648133</v>
          </cell>
          <cell r="BR113">
            <v>1607165.0491900221</v>
          </cell>
          <cell r="BS113">
            <v>0</v>
          </cell>
        </row>
        <row r="114">
          <cell r="F114">
            <v>26471230.139102045</v>
          </cell>
          <cell r="M114">
            <v>2369274.7485451754</v>
          </cell>
          <cell r="Q114">
            <v>-246000</v>
          </cell>
          <cell r="R114">
            <v>470339.99999999994</v>
          </cell>
          <cell r="T114">
            <v>13470519.90022547</v>
          </cell>
          <cell r="W114">
            <v>5574994.3797112554</v>
          </cell>
          <cell r="Z114">
            <v>961512.62567052653</v>
          </cell>
          <cell r="AA114">
            <v>767120.05429680366</v>
          </cell>
          <cell r="AD114">
            <v>85738.322331675256</v>
          </cell>
          <cell r="AG114">
            <v>98340.715194317483</v>
          </cell>
          <cell r="AJ114">
            <v>173717.1136662229</v>
          </cell>
          <cell r="AM114">
            <v>228931.11750248671</v>
          </cell>
          <cell r="AP114">
            <v>94831.906264985097</v>
          </cell>
          <cell r="AS114">
            <v>85560.879337116232</v>
          </cell>
          <cell r="AV114">
            <v>604350.8419419995</v>
          </cell>
          <cell r="AY114">
            <v>890380.43413330626</v>
          </cell>
          <cell r="BB114">
            <v>792261.17787870823</v>
          </cell>
          <cell r="BE114">
            <v>816475.97669880209</v>
          </cell>
          <cell r="BR114">
            <v>3451563.4658136256</v>
          </cell>
          <cell r="BS114">
            <v>0</v>
          </cell>
        </row>
        <row r="115">
          <cell r="F115">
            <v>13236487.540389597</v>
          </cell>
          <cell r="M115">
            <v>829463.32206887426</v>
          </cell>
          <cell r="Q115">
            <v>-546000</v>
          </cell>
          <cell r="R115">
            <v>20099.999999999996</v>
          </cell>
          <cell r="T115">
            <v>7597056.3804125162</v>
          </cell>
          <cell r="W115">
            <v>3436356.0023351032</v>
          </cell>
          <cell r="Z115">
            <v>357072.0963238008</v>
          </cell>
          <cell r="AA115">
            <v>111896.96736332793</v>
          </cell>
          <cell r="AD115">
            <v>63058.859076631539</v>
          </cell>
          <cell r="AG115">
            <v>28737.239828647897</v>
          </cell>
          <cell r="AJ115">
            <v>20100.868458048499</v>
          </cell>
          <cell r="AM115">
            <v>0</v>
          </cell>
          <cell r="AP115">
            <v>0</v>
          </cell>
          <cell r="AS115">
            <v>0</v>
          </cell>
          <cell r="AV115">
            <v>316312.75704083126</v>
          </cell>
          <cell r="AY115">
            <v>421911.44612413779</v>
          </cell>
          <cell r="BB115">
            <v>363850.62682645069</v>
          </cell>
          <cell r="BE115">
            <v>328467.94189455535</v>
          </cell>
          <cell r="BR115">
            <v>2489976.6233389694</v>
          </cell>
          <cell r="BS115">
            <v>0</v>
          </cell>
        </row>
        <row r="116">
          <cell r="F116">
            <v>16168127.096312661</v>
          </cell>
          <cell r="M116">
            <v>1362382.7621545759</v>
          </cell>
          <cell r="Q116">
            <v>618000</v>
          </cell>
          <cell r="R116">
            <v>32863.5</v>
          </cell>
          <cell r="T116">
            <v>8239494.7129741907</v>
          </cell>
          <cell r="W116">
            <v>4137985.4549840833</v>
          </cell>
          <cell r="Z116">
            <v>281684.54959637928</v>
          </cell>
          <cell r="AA116">
            <v>129212.09614382536</v>
          </cell>
          <cell r="AD116">
            <v>78460.331570002396</v>
          </cell>
          <cell r="AG116">
            <v>50751.764573822969</v>
          </cell>
          <cell r="AJ116">
            <v>0</v>
          </cell>
          <cell r="AM116">
            <v>0</v>
          </cell>
          <cell r="AP116">
            <v>0</v>
          </cell>
          <cell r="AS116">
            <v>0</v>
          </cell>
          <cell r="AV116">
            <v>329356.58207344287</v>
          </cell>
          <cell r="AY116">
            <v>364896.38583709218</v>
          </cell>
          <cell r="BB116">
            <v>370683.50244760473</v>
          </cell>
          <cell r="BE116">
            <v>301567.55010146677</v>
          </cell>
          <cell r="BR116">
            <v>2556766.4226690307</v>
          </cell>
          <cell r="BS116">
            <v>0</v>
          </cell>
        </row>
        <row r="117">
          <cell r="F117">
            <v>17628278.543552913</v>
          </cell>
          <cell r="M117">
            <v>1769860.2882296431</v>
          </cell>
          <cell r="Q117">
            <v>855000</v>
          </cell>
          <cell r="R117">
            <v>45224.999999999993</v>
          </cell>
          <cell r="T117">
            <v>8419066.0470872577</v>
          </cell>
          <cell r="W117">
            <v>4226430.2381298719</v>
          </cell>
          <cell r="Z117">
            <v>381621.15118518227</v>
          </cell>
          <cell r="AA117">
            <v>129845.5614637067</v>
          </cell>
          <cell r="AD117">
            <v>29881.939413733191</v>
          </cell>
          <cell r="AG117">
            <v>47477.672989830804</v>
          </cell>
          <cell r="AJ117">
            <v>0</v>
          </cell>
          <cell r="AM117">
            <v>21111.799147998114</v>
          </cell>
          <cell r="AP117">
            <v>31374.1499121446</v>
          </cell>
          <cell r="AS117">
            <v>0</v>
          </cell>
          <cell r="AV117">
            <v>373649.1011904194</v>
          </cell>
          <cell r="AY117">
            <v>558370.79479474807</v>
          </cell>
          <cell r="BB117">
            <v>533663.27111767826</v>
          </cell>
          <cell r="BE117">
            <v>335547.09035440802</v>
          </cell>
          <cell r="BR117">
            <v>2007085.0264022816</v>
          </cell>
          <cell r="BS117">
            <v>0</v>
          </cell>
        </row>
        <row r="118">
          <cell r="F118">
            <v>17380766.19735612</v>
          </cell>
          <cell r="M118">
            <v>1005937.2387321872</v>
          </cell>
          <cell r="Q118">
            <v>-1938000</v>
          </cell>
          <cell r="R118">
            <v>181904.99999999997</v>
          </cell>
          <cell r="T118">
            <v>9816786.060360305</v>
          </cell>
          <cell r="W118">
            <v>4271211.617980971</v>
          </cell>
          <cell r="Z118">
            <v>814125.12252838875</v>
          </cell>
          <cell r="AA118">
            <v>783073.03500775865</v>
          </cell>
          <cell r="AD118">
            <v>160579.8506114186</v>
          </cell>
          <cell r="AG118">
            <v>96531.753090652084</v>
          </cell>
          <cell r="AJ118">
            <v>199577.46872543296</v>
          </cell>
          <cell r="AM118">
            <v>145481.94925703827</v>
          </cell>
          <cell r="AP118">
            <v>180902.01332321673</v>
          </cell>
          <cell r="AS118">
            <v>0</v>
          </cell>
          <cell r="AV118">
            <v>533328.20426324825</v>
          </cell>
          <cell r="AY118">
            <v>653293.82990985527</v>
          </cell>
          <cell r="BB118">
            <v>737760.19612193154</v>
          </cell>
          <cell r="BE118">
            <v>521345.89245147689</v>
          </cell>
          <cell r="BR118">
            <v>1856137.3317220733</v>
          </cell>
          <cell r="BS118">
            <v>0</v>
          </cell>
        </row>
        <row r="119">
          <cell r="F119">
            <v>20645460.697295643</v>
          </cell>
          <cell r="M119">
            <v>1392466.9240948977</v>
          </cell>
          <cell r="Q119">
            <v>-90000</v>
          </cell>
          <cell r="R119">
            <v>120599.99999999999</v>
          </cell>
          <cell r="T119">
            <v>10435307.123163173</v>
          </cell>
          <cell r="W119">
            <v>4908513.4209928382</v>
          </cell>
          <cell r="Z119">
            <v>821877.07192361297</v>
          </cell>
          <cell r="AA119">
            <v>656528.28367325163</v>
          </cell>
          <cell r="AD119">
            <v>414168.84285239223</v>
          </cell>
          <cell r="AG119">
            <v>147284.27200481651</v>
          </cell>
          <cell r="AJ119">
            <v>95075.168816042904</v>
          </cell>
          <cell r="AM119">
            <v>0</v>
          </cell>
          <cell r="AP119">
            <v>0</v>
          </cell>
          <cell r="AS119">
            <v>0</v>
          </cell>
          <cell r="AV119">
            <v>704366.55176102626</v>
          </cell>
          <cell r="AY119">
            <v>592956.62698527484</v>
          </cell>
          <cell r="BB119">
            <v>719160.15912645892</v>
          </cell>
          <cell r="BE119">
            <v>383684.53557510563</v>
          </cell>
          <cell r="BR119">
            <v>2101850.2133340538</v>
          </cell>
          <cell r="BS119">
            <v>0</v>
          </cell>
        </row>
        <row r="120">
          <cell r="F120">
            <v>15757748.977857642</v>
          </cell>
          <cell r="M120">
            <v>1258473.7840206022</v>
          </cell>
          <cell r="Q120">
            <v>-534000</v>
          </cell>
          <cell r="R120">
            <v>221099.99999999997</v>
          </cell>
          <cell r="T120">
            <v>8420711.5340594836</v>
          </cell>
          <cell r="W120">
            <v>4512978.6407547873</v>
          </cell>
          <cell r="Z120">
            <v>300807.26034596714</v>
          </cell>
          <cell r="AA120">
            <v>57353.037417752319</v>
          </cell>
          <cell r="AD120">
            <v>23692.109106602747</v>
          </cell>
          <cell r="AG120">
            <v>33660.928311149568</v>
          </cell>
          <cell r="AJ120">
            <v>0</v>
          </cell>
          <cell r="AM120">
            <v>0</v>
          </cell>
          <cell r="AP120">
            <v>0</v>
          </cell>
          <cell r="AS120">
            <v>0</v>
          </cell>
          <cell r="AV120">
            <v>284228.80346963526</v>
          </cell>
          <cell r="AY120">
            <v>463447.75967964093</v>
          </cell>
          <cell r="BB120">
            <v>471765.0233704868</v>
          </cell>
          <cell r="BE120">
            <v>300883.13473928324</v>
          </cell>
          <cell r="BR120">
            <v>2278613.8749475889</v>
          </cell>
          <cell r="BS120">
            <v>0</v>
          </cell>
        </row>
        <row r="121">
          <cell r="F121">
            <v>61624815.873427488</v>
          </cell>
          <cell r="M121">
            <v>4570551.4939062782</v>
          </cell>
          <cell r="Q121">
            <v>-312000</v>
          </cell>
          <cell r="R121">
            <v>627119.99999999988</v>
          </cell>
          <cell r="T121">
            <v>29942833.983290799</v>
          </cell>
          <cell r="W121">
            <v>15376886.008856628</v>
          </cell>
          <cell r="Z121">
            <v>1950589.8858642424</v>
          </cell>
          <cell r="AA121">
            <v>1117632.4894317456</v>
          </cell>
          <cell r="AD121">
            <v>373481.11830744607</v>
          </cell>
          <cell r="AG121">
            <v>321762.22352257191</v>
          </cell>
          <cell r="AJ121">
            <v>211909.91740128584</v>
          </cell>
          <cell r="AM121">
            <v>66924.695302264241</v>
          </cell>
          <cell r="AP121">
            <v>111797.27080806803</v>
          </cell>
          <cell r="AS121">
            <v>31757.264090109322</v>
          </cell>
          <cell r="AV121">
            <v>1630341.9536838657</v>
          </cell>
          <cell r="AY121">
            <v>2033763.9679781769</v>
          </cell>
          <cell r="BB121">
            <v>2382231.564060614</v>
          </cell>
          <cell r="BE121">
            <v>2304864.5263551311</v>
          </cell>
          <cell r="BR121">
            <v>3985815.6077435091</v>
          </cell>
          <cell r="BS121">
            <v>0</v>
          </cell>
        </row>
        <row r="122">
          <cell r="F122">
            <v>27528734.526787452</v>
          </cell>
          <cell r="M122">
            <v>2399437.604071226</v>
          </cell>
          <cell r="Q122">
            <v>204000</v>
          </cell>
          <cell r="R122">
            <v>250244.99999999997</v>
          </cell>
          <cell r="T122">
            <v>12304297.130860716</v>
          </cell>
          <cell r="W122">
            <v>5415089.3771726089</v>
          </cell>
          <cell r="Z122">
            <v>1253760.7974420357</v>
          </cell>
          <cell r="AA122">
            <v>1586508.7233834765</v>
          </cell>
          <cell r="AD122">
            <v>193942.76931484649</v>
          </cell>
          <cell r="AG122">
            <v>314935.33100785519</v>
          </cell>
          <cell r="AJ122">
            <v>276844.11952164513</v>
          </cell>
          <cell r="AM122">
            <v>288936.39264679799</v>
          </cell>
          <cell r="AP122">
            <v>332445.9974478989</v>
          </cell>
          <cell r="AS122">
            <v>179404.11344443294</v>
          </cell>
          <cell r="AV122">
            <v>1036365.3785276947</v>
          </cell>
          <cell r="AY122">
            <v>1011473.0372657423</v>
          </cell>
          <cell r="BB122">
            <v>1171668.9937522609</v>
          </cell>
          <cell r="BE122">
            <v>895888.48431169731</v>
          </cell>
          <cell r="BR122">
            <v>413528.18614045158</v>
          </cell>
          <cell r="BS122">
            <v>0</v>
          </cell>
        </row>
        <row r="123">
          <cell r="F123">
            <v>15993009.201133035</v>
          </cell>
          <cell r="M123">
            <v>1411658.5409771625</v>
          </cell>
          <cell r="Q123">
            <v>-51000</v>
          </cell>
          <cell r="R123">
            <v>0</v>
          </cell>
          <cell r="T123">
            <v>7353513.5727012474</v>
          </cell>
          <cell r="W123">
            <v>3137678.6280096439</v>
          </cell>
          <cell r="Z123">
            <v>1091819.5268298998</v>
          </cell>
          <cell r="AA123">
            <v>1043575.5438761567</v>
          </cell>
          <cell r="AD123">
            <v>94668.229147583435</v>
          </cell>
          <cell r="AG123">
            <v>118334.91829152474</v>
          </cell>
          <cell r="AJ123">
            <v>118850.12780231955</v>
          </cell>
          <cell r="AM123">
            <v>149035.98429728983</v>
          </cell>
          <cell r="AP123">
            <v>333670.34714417486</v>
          </cell>
          <cell r="AS123">
            <v>229015.9371932642</v>
          </cell>
          <cell r="AV123">
            <v>457740.03472401027</v>
          </cell>
          <cell r="AY123">
            <v>549552.86768300144</v>
          </cell>
          <cell r="BB123">
            <v>492353.36036366312</v>
          </cell>
          <cell r="BE123">
            <v>506117.1259682505</v>
          </cell>
          <cell r="BR123">
            <v>149388.90911274962</v>
          </cell>
          <cell r="BS123">
            <v>0</v>
          </cell>
        </row>
        <row r="124">
          <cell r="F124">
            <v>19352536.400491845</v>
          </cell>
          <cell r="M124">
            <v>1560465.8515644989</v>
          </cell>
          <cell r="Q124">
            <v>-531000</v>
          </cell>
          <cell r="R124">
            <v>313082.62499999994</v>
          </cell>
          <cell r="T124">
            <v>9013191.7214255389</v>
          </cell>
          <cell r="W124">
            <v>5030745.8876219345</v>
          </cell>
          <cell r="Z124">
            <v>757910.08411243849</v>
          </cell>
          <cell r="AA124">
            <v>758219.83709243394</v>
          </cell>
          <cell r="AD124">
            <v>178424.96761065189</v>
          </cell>
          <cell r="AG124">
            <v>131714.60579584539</v>
          </cell>
          <cell r="AJ124">
            <v>113346.12697279737</v>
          </cell>
          <cell r="AM124">
            <v>80886.77499171783</v>
          </cell>
          <cell r="AP124">
            <v>210280.35683448741</v>
          </cell>
          <cell r="AS124">
            <v>43567.004886934104</v>
          </cell>
          <cell r="AV124">
            <v>463843.2351869971</v>
          </cell>
          <cell r="AY124">
            <v>666933.09184830252</v>
          </cell>
          <cell r="BB124">
            <v>647412.6978807908</v>
          </cell>
          <cell r="BE124">
            <v>671731.36875890847</v>
          </cell>
          <cell r="BR124">
            <v>181182.29911701754</v>
          </cell>
          <cell r="BS124">
            <v>0</v>
          </cell>
        </row>
        <row r="125">
          <cell r="F125">
            <v>64909709.642142318</v>
          </cell>
          <cell r="M125">
            <v>4800000</v>
          </cell>
          <cell r="Q125">
            <v>-1848000</v>
          </cell>
          <cell r="R125">
            <v>1921560</v>
          </cell>
          <cell r="T125">
            <v>30710229.6577699</v>
          </cell>
          <cell r="W125">
            <v>16186731.507109208</v>
          </cell>
          <cell r="Z125">
            <v>2954509.9268250377</v>
          </cell>
          <cell r="AA125">
            <v>1149931.4276514845</v>
          </cell>
          <cell r="AD125">
            <v>409479.68796899234</v>
          </cell>
          <cell r="AG125">
            <v>299277.55843959423</v>
          </cell>
          <cell r="AJ125">
            <v>309379.17026682268</v>
          </cell>
          <cell r="AM125">
            <v>49323.401819302111</v>
          </cell>
          <cell r="AP125">
            <v>82471.609156773105</v>
          </cell>
          <cell r="AS125">
            <v>0</v>
          </cell>
          <cell r="AV125">
            <v>2112391.0875412538</v>
          </cell>
          <cell r="AY125">
            <v>2515289.8778790911</v>
          </cell>
          <cell r="BB125">
            <v>2251266.406929662</v>
          </cell>
          <cell r="BE125">
            <v>2155799.7504366692</v>
          </cell>
          <cell r="BR125">
            <v>2043805.0686718747</v>
          </cell>
          <cell r="BS125">
            <v>0</v>
          </cell>
        </row>
        <row r="126">
          <cell r="F126">
            <v>29356494.902385082</v>
          </cell>
          <cell r="M126">
            <v>2576000</v>
          </cell>
          <cell r="Q126">
            <v>486000</v>
          </cell>
          <cell r="R126">
            <v>629129.99999999988</v>
          </cell>
          <cell r="T126">
            <v>12706155.628975254</v>
          </cell>
          <cell r="W126">
            <v>5803769.5881315172</v>
          </cell>
          <cell r="Z126">
            <v>1459239.658980659</v>
          </cell>
          <cell r="AA126">
            <v>1440901.6339868186</v>
          </cell>
          <cell r="AD126">
            <v>148483.71776418545</v>
          </cell>
          <cell r="AG126">
            <v>176429.23203653345</v>
          </cell>
          <cell r="AJ126">
            <v>358105.03608757444</v>
          </cell>
          <cell r="AM126">
            <v>169127.17964115326</v>
          </cell>
          <cell r="AP126">
            <v>264543.54629518755</v>
          </cell>
          <cell r="AS126">
            <v>324212.92216218438</v>
          </cell>
          <cell r="AV126">
            <v>1025845.0971105515</v>
          </cell>
          <cell r="AY126">
            <v>1374388.3509930056</v>
          </cell>
          <cell r="BB126">
            <v>968235.34026847745</v>
          </cell>
          <cell r="BE126">
            <v>886829.60393880075</v>
          </cell>
          <cell r="BR126">
            <v>27100.06894878298</v>
          </cell>
          <cell r="BS126">
            <v>0</v>
          </cell>
        </row>
        <row r="127">
          <cell r="F127">
            <v>16240029.975608349</v>
          </cell>
          <cell r="M127">
            <v>2116000</v>
          </cell>
          <cell r="Q127">
            <v>432000</v>
          </cell>
          <cell r="R127">
            <v>65324.999999999993</v>
          </cell>
          <cell r="T127">
            <v>7179459.0448755752</v>
          </cell>
          <cell r="W127">
            <v>2795098.7503076685</v>
          </cell>
          <cell r="Z127">
            <v>746449.91652535659</v>
          </cell>
          <cell r="AA127">
            <v>729356.50311796099</v>
          </cell>
          <cell r="AD127">
            <v>133033.56771449678</v>
          </cell>
          <cell r="AG127">
            <v>135714.79387425652</v>
          </cell>
          <cell r="AJ127">
            <v>161276.60032769816</v>
          </cell>
          <cell r="AM127">
            <v>52410.133615034181</v>
          </cell>
          <cell r="AP127">
            <v>246921.40758647537</v>
          </cell>
          <cell r="AS127">
            <v>0</v>
          </cell>
          <cell r="AV127">
            <v>467396.87856516254</v>
          </cell>
          <cell r="AY127">
            <v>604943.13518611062</v>
          </cell>
          <cell r="BB127">
            <v>537378.56323603506</v>
          </cell>
          <cell r="BE127">
            <v>566622.183794479</v>
          </cell>
          <cell r="BR127">
            <v>836683.82045490481</v>
          </cell>
          <cell r="BS127">
            <v>0</v>
          </cell>
        </row>
        <row r="128">
          <cell r="F128">
            <v>135389956.65769789</v>
          </cell>
          <cell r="M128">
            <v>10831353.243204409</v>
          </cell>
          <cell r="Q128">
            <v>-1071000</v>
          </cell>
          <cell r="R128">
            <v>0</v>
          </cell>
          <cell r="T128">
            <v>60382948.208275236</v>
          </cell>
          <cell r="W128">
            <v>34720409.952837311</v>
          </cell>
          <cell r="Z128">
            <v>5308907.4755604845</v>
          </cell>
          <cell r="AA128">
            <v>4853903.9128475562</v>
          </cell>
          <cell r="AD128">
            <v>1014877.0713651072</v>
          </cell>
          <cell r="AG128">
            <v>988965.81968276179</v>
          </cell>
          <cell r="AJ128">
            <v>803269.03638834122</v>
          </cell>
          <cell r="AM128">
            <v>738597.94241558691</v>
          </cell>
          <cell r="AP128">
            <v>860233.02504038881</v>
          </cell>
          <cell r="AS128">
            <v>447961.01795537013</v>
          </cell>
          <cell r="AV128">
            <v>4413046.6175858127</v>
          </cell>
          <cell r="AY128">
            <v>5439476.9074514667</v>
          </cell>
          <cell r="BB128">
            <v>5226096.8741725739</v>
          </cell>
          <cell r="BE128">
            <v>5284813.4657630417</v>
          </cell>
          <cell r="BR128">
            <v>0</v>
          </cell>
          <cell r="BS128">
            <v>-356152.54525265098</v>
          </cell>
        </row>
        <row r="129">
          <cell r="F129">
            <v>19238523.144568194</v>
          </cell>
          <cell r="M129">
            <v>2147371.6267913911</v>
          </cell>
          <cell r="Q129">
            <v>369000</v>
          </cell>
          <cell r="R129">
            <v>32159.999999999996</v>
          </cell>
          <cell r="T129">
            <v>7495531.3969595022</v>
          </cell>
          <cell r="W129">
            <v>4310816.1262725154</v>
          </cell>
          <cell r="Z129">
            <v>824775.16359670227</v>
          </cell>
          <cell r="AA129">
            <v>1105048.4477078805</v>
          </cell>
          <cell r="AD129">
            <v>124871.00745741182</v>
          </cell>
          <cell r="AG129">
            <v>239739.84762757306</v>
          </cell>
          <cell r="AJ129">
            <v>173262.72259568263</v>
          </cell>
          <cell r="AM129">
            <v>194400.35263492298</v>
          </cell>
          <cell r="AP129">
            <v>174821.04757337758</v>
          </cell>
          <cell r="AS129">
            <v>197953.46981891239</v>
          </cell>
          <cell r="AV129">
            <v>683469.38745774014</v>
          </cell>
          <cell r="AY129">
            <v>656176.65455790691</v>
          </cell>
          <cell r="BB129">
            <v>754417.22949272115</v>
          </cell>
          <cell r="BE129">
            <v>859757.11173183506</v>
          </cell>
          <cell r="BR129">
            <v>0</v>
          </cell>
          <cell r="BS129">
            <v>-1149868.5401350595</v>
          </cell>
        </row>
        <row r="130">
          <cell r="F130">
            <v>21245506.290845279</v>
          </cell>
          <cell r="M130">
            <v>1588783.0944938459</v>
          </cell>
          <cell r="Q130">
            <v>-204000</v>
          </cell>
          <cell r="R130">
            <v>0</v>
          </cell>
          <cell r="T130">
            <v>10295137.86759166</v>
          </cell>
          <cell r="W130">
            <v>4793597.5766946198</v>
          </cell>
          <cell r="Z130">
            <v>896432.50904449576</v>
          </cell>
          <cell r="AA130">
            <v>1074391.9868420649</v>
          </cell>
          <cell r="AD130">
            <v>203085.40844873353</v>
          </cell>
          <cell r="AG130">
            <v>346994.91689532268</v>
          </cell>
          <cell r="AJ130">
            <v>253585.13399480429</v>
          </cell>
          <cell r="AM130">
            <v>46446.89940184162</v>
          </cell>
          <cell r="AP130">
            <v>180290.81342473641</v>
          </cell>
          <cell r="AS130">
            <v>43988.814676626345</v>
          </cell>
          <cell r="AV130">
            <v>650339.25628897082</v>
          </cell>
          <cell r="AY130">
            <v>765437.63175960351</v>
          </cell>
          <cell r="BB130">
            <v>771085.68426569109</v>
          </cell>
          <cell r="BE130">
            <v>614300.68386432447</v>
          </cell>
          <cell r="BR130">
            <v>1070402.0910083614</v>
          </cell>
          <cell r="BS130">
            <v>0</v>
          </cell>
        </row>
        <row r="131">
          <cell r="F131">
            <v>14693237.697664965</v>
          </cell>
          <cell r="M131">
            <v>1340000</v>
          </cell>
          <cell r="Q131">
            <v>-228000</v>
          </cell>
          <cell r="R131">
            <v>279389.99999999994</v>
          </cell>
          <cell r="T131">
            <v>6405620.5780010112</v>
          </cell>
          <cell r="W131">
            <v>4039903.7392396601</v>
          </cell>
          <cell r="Z131">
            <v>446826.95860600099</v>
          </cell>
          <cell r="AA131">
            <v>343396.10544980352</v>
          </cell>
          <cell r="AD131">
            <v>84722.267012078504</v>
          </cell>
          <cell r="AG131">
            <v>95705.367628209468</v>
          </cell>
          <cell r="AJ131">
            <v>133966.0533121163</v>
          </cell>
          <cell r="AM131">
            <v>29002.417497399281</v>
          </cell>
          <cell r="AP131">
            <v>0</v>
          </cell>
          <cell r="AS131">
            <v>0</v>
          </cell>
          <cell r="AV131">
            <v>500782.36989124556</v>
          </cell>
          <cell r="AY131">
            <v>445747.57329502888</v>
          </cell>
          <cell r="BB131">
            <v>589844.51763481961</v>
          </cell>
          <cell r="BE131">
            <v>529725.85554739658</v>
          </cell>
          <cell r="BR131">
            <v>0</v>
          </cell>
          <cell r="BS131">
            <v>-78901.076424274594</v>
          </cell>
        </row>
        <row r="132">
          <cell r="F132">
            <v>50602400.722075947</v>
          </cell>
          <cell r="M132">
            <v>5490000</v>
          </cell>
          <cell r="Q132">
            <v>-708000</v>
          </cell>
          <cell r="R132">
            <v>561794.99999999988</v>
          </cell>
          <cell r="T132">
            <v>21006015.023500308</v>
          </cell>
          <cell r="W132">
            <v>12799718.822358575</v>
          </cell>
          <cell r="Z132">
            <v>2022217.9224762835</v>
          </cell>
          <cell r="AA132">
            <v>1598929.647851073</v>
          </cell>
          <cell r="AD132">
            <v>292301.96352211921</v>
          </cell>
          <cell r="AG132">
            <v>208242.89475640788</v>
          </cell>
          <cell r="AJ132">
            <v>349984.0584507825</v>
          </cell>
          <cell r="AM132">
            <v>274526.20908292138</v>
          </cell>
          <cell r="AP132">
            <v>313110.16057639837</v>
          </cell>
          <cell r="AS132">
            <v>160764.36146244328</v>
          </cell>
          <cell r="AV132">
            <v>1629818.9856460539</v>
          </cell>
          <cell r="AY132">
            <v>2080155.342043468</v>
          </cell>
          <cell r="BB132">
            <v>2270344.935801947</v>
          </cell>
          <cell r="BE132">
            <v>1851405.0423982395</v>
          </cell>
          <cell r="BR132">
            <v>0</v>
          </cell>
          <cell r="BS132">
            <v>-1884360.7010404244</v>
          </cell>
        </row>
        <row r="133">
          <cell r="F133">
            <v>180448246.12291357</v>
          </cell>
          <cell r="M133">
            <v>16967676.669228069</v>
          </cell>
          <cell r="Q133">
            <v>-1224000</v>
          </cell>
          <cell r="R133">
            <v>2987617.7699999996</v>
          </cell>
          <cell r="T133">
            <v>87889671.410740748</v>
          </cell>
          <cell r="W133">
            <v>37587951.954722255</v>
          </cell>
          <cell r="Z133">
            <v>6103582.0422968883</v>
          </cell>
          <cell r="AA133">
            <v>5821414.5532519305</v>
          </cell>
          <cell r="AD133">
            <v>1200186.3738148396</v>
          </cell>
          <cell r="AG133">
            <v>963047.87722150644</v>
          </cell>
          <cell r="AJ133">
            <v>940195.60883192706</v>
          </cell>
          <cell r="AM133">
            <v>1022448.599773279</v>
          </cell>
          <cell r="AP133">
            <v>1211653.9191617318</v>
          </cell>
          <cell r="AS133">
            <v>483882.17444864661</v>
          </cell>
          <cell r="AV133">
            <v>5278830.9323509252</v>
          </cell>
          <cell r="AY133">
            <v>6823265.1859581377</v>
          </cell>
          <cell r="BB133">
            <v>6336391.4607957676</v>
          </cell>
          <cell r="BE133">
            <v>5875844.1435688287</v>
          </cell>
          <cell r="BR133">
            <v>16108695.58902061</v>
          </cell>
          <cell r="BS133">
            <v>0</v>
          </cell>
        </row>
        <row r="134">
          <cell r="F134">
            <v>34662400.630680539</v>
          </cell>
          <cell r="M134">
            <v>3351554.1560702664</v>
          </cell>
          <cell r="Q134">
            <v>6000</v>
          </cell>
          <cell r="R134">
            <v>0</v>
          </cell>
          <cell r="T134">
            <v>16183808.264204444</v>
          </cell>
          <cell r="W134">
            <v>7096449.6208768161</v>
          </cell>
          <cell r="Z134">
            <v>1270715.3622904464</v>
          </cell>
          <cell r="AA134">
            <v>1653924.9866780618</v>
          </cell>
          <cell r="AD134">
            <v>258159.42072753594</v>
          </cell>
          <cell r="AG134">
            <v>396813.75109772431</v>
          </cell>
          <cell r="AJ134">
            <v>414669.75146181899</v>
          </cell>
          <cell r="AM134">
            <v>180250.50142030188</v>
          </cell>
          <cell r="AP134">
            <v>262001.84399364333</v>
          </cell>
          <cell r="AS134">
            <v>142029.71797703751</v>
          </cell>
          <cell r="AV134">
            <v>1039087.1759145883</v>
          </cell>
          <cell r="AY134">
            <v>1503339.0165747805</v>
          </cell>
          <cell r="BB134">
            <v>1462648.4018367063</v>
          </cell>
          <cell r="BE134">
            <v>1094873.6462344315</v>
          </cell>
          <cell r="BR134">
            <v>1482182.9161424413</v>
          </cell>
          <cell r="BS134">
            <v>0</v>
          </cell>
        </row>
        <row r="135">
          <cell r="F135">
            <v>112898277.59940976</v>
          </cell>
          <cell r="M135">
            <v>11322000</v>
          </cell>
          <cell r="Q135">
            <v>-1050000</v>
          </cell>
          <cell r="R135">
            <v>613049.99999999988</v>
          </cell>
          <cell r="T135">
            <v>48059905.739182912</v>
          </cell>
          <cell r="W135">
            <v>27354882.708913282</v>
          </cell>
          <cell r="Z135">
            <v>5336322.8075004211</v>
          </cell>
          <cell r="AA135">
            <v>4798780.9239091938</v>
          </cell>
          <cell r="AD135">
            <v>736705.07600167696</v>
          </cell>
          <cell r="AG135">
            <v>970625.15566952026</v>
          </cell>
          <cell r="AJ135">
            <v>1041109.3330367296</v>
          </cell>
          <cell r="AM135">
            <v>703903.4632517352</v>
          </cell>
          <cell r="AP135">
            <v>995862.30270674371</v>
          </cell>
          <cell r="AS135">
            <v>350575.59324278776</v>
          </cell>
          <cell r="AV135">
            <v>3881822.1278236555</v>
          </cell>
          <cell r="AY135">
            <v>4170923.7215463417</v>
          </cell>
          <cell r="BB135">
            <v>4054187.3853606195</v>
          </cell>
          <cell r="BE135">
            <v>4356402.1851733662</v>
          </cell>
          <cell r="BR135">
            <v>0</v>
          </cell>
          <cell r="BS135">
            <v>-2772981.7499299496</v>
          </cell>
        </row>
        <row r="136">
          <cell r="F136">
            <v>18785421.353323631</v>
          </cell>
          <cell r="M136">
            <v>1070000</v>
          </cell>
          <cell r="Q136">
            <v>-30000</v>
          </cell>
          <cell r="R136">
            <v>362202</v>
          </cell>
          <cell r="T136">
            <v>8437359.9312952347</v>
          </cell>
          <cell r="W136">
            <v>4147024.6447481783</v>
          </cell>
          <cell r="Z136">
            <v>962396.52622830984</v>
          </cell>
          <cell r="AA136">
            <v>1110765.2689774269</v>
          </cell>
          <cell r="AD136">
            <v>216302.10069564174</v>
          </cell>
          <cell r="AG136">
            <v>182069.32736637272</v>
          </cell>
          <cell r="AJ136">
            <v>159111.00629122028</v>
          </cell>
          <cell r="AM136">
            <v>120446.846945962</v>
          </cell>
          <cell r="AP136">
            <v>218866.96276220551</v>
          </cell>
          <cell r="AS136">
            <v>213969.02491602467</v>
          </cell>
          <cell r="AV136">
            <v>758761.16650188726</v>
          </cell>
          <cell r="AY136">
            <v>610249.65391581331</v>
          </cell>
          <cell r="BB136">
            <v>766320.90970345831</v>
          </cell>
          <cell r="BE136">
            <v>590341.25195331767</v>
          </cell>
          <cell r="BR136">
            <v>0</v>
          </cell>
          <cell r="BS136">
            <v>-47960.680450383574</v>
          </cell>
        </row>
        <row r="137">
          <cell r="F137">
            <v>18735702.187976144</v>
          </cell>
          <cell r="M137">
            <v>1728000</v>
          </cell>
          <cell r="Q137">
            <v>354000</v>
          </cell>
          <cell r="R137">
            <v>1137659.9999999998</v>
          </cell>
          <cell r="T137">
            <v>7681927.1899473108</v>
          </cell>
          <cell r="W137">
            <v>3153772.1771108783</v>
          </cell>
          <cell r="Z137">
            <v>1153690.6140771389</v>
          </cell>
          <cell r="AA137">
            <v>1223785.0196506977</v>
          </cell>
          <cell r="AD137">
            <v>126812.9383728278</v>
          </cell>
          <cell r="AG137">
            <v>83896.418031358568</v>
          </cell>
          <cell r="AJ137">
            <v>113092.13301606584</v>
          </cell>
          <cell r="AM137">
            <v>175364.95014502847</v>
          </cell>
          <cell r="AP137">
            <v>210690.29040136305</v>
          </cell>
          <cell r="AS137">
            <v>513928.28968405386</v>
          </cell>
          <cell r="AV137">
            <v>567553.35254341166</v>
          </cell>
          <cell r="AY137">
            <v>573104.02280789427</v>
          </cell>
          <cell r="BB137">
            <v>531019.05361194001</v>
          </cell>
          <cell r="BE137">
            <v>631190.75822687312</v>
          </cell>
          <cell r="BR137">
            <v>0</v>
          </cell>
          <cell r="BS137">
            <v>-1.862645149230957E-9</v>
          </cell>
        </row>
        <row r="138">
          <cell r="F138">
            <v>66596553.371095926</v>
          </cell>
          <cell r="M138">
            <v>4028683.0849031061</v>
          </cell>
          <cell r="Q138">
            <v>-1368000</v>
          </cell>
          <cell r="R138">
            <v>0</v>
          </cell>
          <cell r="T138">
            <v>28901776.957548451</v>
          </cell>
          <cell r="W138">
            <v>18344878.422512911</v>
          </cell>
          <cell r="Z138">
            <v>3096759.5849442654</v>
          </cell>
          <cell r="AA138">
            <v>2888537.8087821519</v>
          </cell>
          <cell r="AD138">
            <v>534007.55933836615</v>
          </cell>
          <cell r="AG138">
            <v>531355.89177904732</v>
          </cell>
          <cell r="AJ138">
            <v>544676.69863193994</v>
          </cell>
          <cell r="AM138">
            <v>594987.78088094376</v>
          </cell>
          <cell r="AP138">
            <v>482801.75152239518</v>
          </cell>
          <cell r="AS138">
            <v>200708.12662945903</v>
          </cell>
          <cell r="AV138">
            <v>2486894.8693972896</v>
          </cell>
          <cell r="AY138">
            <v>3271751.0715578212</v>
          </cell>
          <cell r="BB138">
            <v>2723609.5301336553</v>
          </cell>
          <cell r="BE138">
            <v>2221662.0413162792</v>
          </cell>
          <cell r="BR138">
            <v>0</v>
          </cell>
          <cell r="BS138">
            <v>-4201136.0266648158</v>
          </cell>
        </row>
        <row r="139">
          <cell r="F139">
            <v>35811075.861183539</v>
          </cell>
          <cell r="M139">
            <v>2066557.7738610648</v>
          </cell>
          <cell r="Q139">
            <v>-330000</v>
          </cell>
          <cell r="R139">
            <v>1375345.5149999999</v>
          </cell>
          <cell r="T139">
            <v>13068330.089471266</v>
          </cell>
          <cell r="W139">
            <v>7441644.5081483815</v>
          </cell>
          <cell r="Z139">
            <v>2535010.7286438453</v>
          </cell>
          <cell r="AA139">
            <v>3384447.5475682402</v>
          </cell>
          <cell r="AD139">
            <v>161390.46008230085</v>
          </cell>
          <cell r="AG139">
            <v>216409.4984337847</v>
          </cell>
          <cell r="AJ139">
            <v>446155.27293950412</v>
          </cell>
          <cell r="AM139">
            <v>663307.4110276812</v>
          </cell>
          <cell r="AP139">
            <v>1025909.4834431309</v>
          </cell>
          <cell r="AS139">
            <v>871275.42164183862</v>
          </cell>
          <cell r="AV139">
            <v>1606119.6031524166</v>
          </cell>
          <cell r="AY139">
            <v>1401417.8042666237</v>
          </cell>
          <cell r="BB139">
            <v>1510278.2036966223</v>
          </cell>
          <cell r="BE139">
            <v>1751924.0873750767</v>
          </cell>
          <cell r="BR139">
            <v>0</v>
          </cell>
          <cell r="BS139">
            <v>-5515885.0946874991</v>
          </cell>
        </row>
        <row r="140">
          <cell r="F140">
            <v>24210643.474813554</v>
          </cell>
          <cell r="M140">
            <v>1860000</v>
          </cell>
          <cell r="Q140">
            <v>-804000</v>
          </cell>
          <cell r="R140">
            <v>105524.99999999999</v>
          </cell>
          <cell r="T140">
            <v>11933200.237546183</v>
          </cell>
          <cell r="W140">
            <v>6624214.4447295219</v>
          </cell>
          <cell r="Z140">
            <v>765176.35139531631</v>
          </cell>
          <cell r="AA140">
            <v>468223.55639920896</v>
          </cell>
          <cell r="AD140">
            <v>125900.1286324742</v>
          </cell>
          <cell r="AG140">
            <v>112581.59037296279</v>
          </cell>
          <cell r="AJ140">
            <v>111227.3159290988</v>
          </cell>
          <cell r="AM140">
            <v>56718.696746576868</v>
          </cell>
          <cell r="AP140">
            <v>17410.673044207655</v>
          </cell>
          <cell r="AS140">
            <v>44385.151673888635</v>
          </cell>
          <cell r="AV140">
            <v>807321.88115800812</v>
          </cell>
          <cell r="AY140">
            <v>854349.51548213849</v>
          </cell>
          <cell r="BB140">
            <v>890331.34737331269</v>
          </cell>
          <cell r="BE140">
            <v>706301.14072986215</v>
          </cell>
          <cell r="BR140">
            <v>874361.33302258328</v>
          </cell>
          <cell r="BS140">
            <v>0</v>
          </cell>
        </row>
        <row r="141">
          <cell r="F141">
            <v>21018857.701353628</v>
          </cell>
          <cell r="M141">
            <v>2152000</v>
          </cell>
          <cell r="Q141">
            <v>42000</v>
          </cell>
          <cell r="R141">
            <v>20166.329999999998</v>
          </cell>
          <cell r="T141">
            <v>9156063.4364382438</v>
          </cell>
          <cell r="W141">
            <v>4333376.9048082978</v>
          </cell>
          <cell r="Z141">
            <v>1013834.9612508575</v>
          </cell>
          <cell r="AA141">
            <v>1231441.9655793731</v>
          </cell>
          <cell r="AD141">
            <v>161330.66966545832</v>
          </cell>
          <cell r="AG141">
            <v>129193.4336491299</v>
          </cell>
          <cell r="AJ141">
            <v>307875.2855192686</v>
          </cell>
          <cell r="AM141">
            <v>172149.60452447424</v>
          </cell>
          <cell r="AP141">
            <v>94595.640588367081</v>
          </cell>
          <cell r="AS141">
            <v>366297.3316326749</v>
          </cell>
          <cell r="AV141">
            <v>752691.07716987212</v>
          </cell>
          <cell r="AY141">
            <v>817203.88437421957</v>
          </cell>
          <cell r="BB141">
            <v>726573.97455286409</v>
          </cell>
          <cell r="BE141">
            <v>773505.16717990499</v>
          </cell>
          <cell r="BR141">
            <v>0</v>
          </cell>
          <cell r="BS141">
            <v>0</v>
          </cell>
        </row>
        <row r="142">
          <cell r="F142">
            <v>31103626.301139574</v>
          </cell>
          <cell r="M142">
            <v>1488073.1058733624</v>
          </cell>
          <cell r="Q142">
            <v>-1080000</v>
          </cell>
          <cell r="R142">
            <v>0</v>
          </cell>
          <cell r="T142">
            <v>16535476.599105094</v>
          </cell>
          <cell r="W142">
            <v>8414700.1107312888</v>
          </cell>
          <cell r="Z142">
            <v>1024131.9595695436</v>
          </cell>
          <cell r="AA142">
            <v>821296.74203743681</v>
          </cell>
          <cell r="AD142">
            <v>144704.72225539054</v>
          </cell>
          <cell r="AG142">
            <v>221340.79063439067</v>
          </cell>
          <cell r="AJ142">
            <v>183930.40134699937</v>
          </cell>
          <cell r="AM142">
            <v>169467.81555019377</v>
          </cell>
          <cell r="AP142">
            <v>61659.558626897218</v>
          </cell>
          <cell r="AS142">
            <v>40193.453623565314</v>
          </cell>
          <cell r="AV142">
            <v>823932.06250321853</v>
          </cell>
          <cell r="AY142">
            <v>1077763.876426857</v>
          </cell>
          <cell r="BB142">
            <v>1031064.6669953334</v>
          </cell>
          <cell r="BE142">
            <v>967187.17789744202</v>
          </cell>
          <cell r="BR142">
            <v>2576734.4277709574</v>
          </cell>
          <cell r="BS142">
            <v>0</v>
          </cell>
        </row>
        <row r="143">
          <cell r="F143">
            <v>35056977.363886818</v>
          </cell>
          <cell r="M143">
            <v>3804640.967989732</v>
          </cell>
          <cell r="Q143">
            <v>462000</v>
          </cell>
          <cell r="R143">
            <v>528515.43000000005</v>
          </cell>
          <cell r="T143">
            <v>16317190.201425629</v>
          </cell>
          <cell r="W143">
            <v>7387661.272993546</v>
          </cell>
          <cell r="Z143">
            <v>1238873.1500680677</v>
          </cell>
          <cell r="AA143">
            <v>1062088.391205431</v>
          </cell>
          <cell r="AD143">
            <v>140931.58996261432</v>
          </cell>
          <cell r="AG143">
            <v>107303.32164061135</v>
          </cell>
          <cell r="AJ143">
            <v>181027.1921182404</v>
          </cell>
          <cell r="AM143">
            <v>242143.06342444706</v>
          </cell>
          <cell r="AP143">
            <v>257765.30428278761</v>
          </cell>
          <cell r="AS143">
            <v>132917.91977673036</v>
          </cell>
          <cell r="AV143">
            <v>921583.26991100737</v>
          </cell>
          <cell r="AY143">
            <v>1269840.606879168</v>
          </cell>
          <cell r="BB143">
            <v>1047050.1657084393</v>
          </cell>
          <cell r="BE143">
            <v>1017533.907705802</v>
          </cell>
          <cell r="BR143">
            <v>2585205.0149636827</v>
          </cell>
          <cell r="BS143">
            <v>0</v>
          </cell>
        </row>
        <row r="144">
          <cell r="F144">
            <v>43109771.263434999</v>
          </cell>
          <cell r="M144">
            <v>1868000</v>
          </cell>
          <cell r="Q144">
            <v>-90000</v>
          </cell>
          <cell r="R144">
            <v>898469.99999999988</v>
          </cell>
          <cell r="T144">
            <v>18174713.664511234</v>
          </cell>
          <cell r="W144">
            <v>11973112.299021371</v>
          </cell>
          <cell r="Z144">
            <v>1899666.4436437623</v>
          </cell>
          <cell r="AA144">
            <v>1440646.9486331684</v>
          </cell>
          <cell r="AD144">
            <v>391223.49316192034</v>
          </cell>
          <cell r="AG144">
            <v>278347.51717651897</v>
          </cell>
          <cell r="AJ144">
            <v>261315.01373499469</v>
          </cell>
          <cell r="AM144">
            <v>256777.50125746193</v>
          </cell>
          <cell r="AP144">
            <v>252983.42330227231</v>
          </cell>
          <cell r="AS144">
            <v>0</v>
          </cell>
          <cell r="AV144">
            <v>1742115.6382883331</v>
          </cell>
          <cell r="AY144">
            <v>1836055.4804771426</v>
          </cell>
          <cell r="BB144">
            <v>1887184.4809502177</v>
          </cell>
          <cell r="BE144">
            <v>1479806.3079097671</v>
          </cell>
          <cell r="BR144">
            <v>0</v>
          </cell>
          <cell r="BS144">
            <v>-2742837.9247627705</v>
          </cell>
        </row>
        <row r="145">
          <cell r="F145">
            <v>40964699.888470203</v>
          </cell>
          <cell r="M145">
            <v>2234000</v>
          </cell>
          <cell r="Q145">
            <v>-624000</v>
          </cell>
          <cell r="R145">
            <v>806650.18499999994</v>
          </cell>
          <cell r="T145">
            <v>19720094.787625886</v>
          </cell>
          <cell r="W145">
            <v>10175504.01169331</v>
          </cell>
          <cell r="Z145">
            <v>1517315.3114254707</v>
          </cell>
          <cell r="AA145">
            <v>1275677.1734798476</v>
          </cell>
          <cell r="AD145">
            <v>265424.78783392988</v>
          </cell>
          <cell r="AG145">
            <v>222915.95526294276</v>
          </cell>
          <cell r="AJ145">
            <v>150027.54241599372</v>
          </cell>
          <cell r="AM145">
            <v>102633.83220809148</v>
          </cell>
          <cell r="AP145">
            <v>333551.84147850447</v>
          </cell>
          <cell r="AS145">
            <v>201123.21428038523</v>
          </cell>
          <cell r="AV145">
            <v>1350594.8763733592</v>
          </cell>
          <cell r="AY145">
            <v>1337242.7198850864</v>
          </cell>
          <cell r="BB145">
            <v>1531051.9420008929</v>
          </cell>
          <cell r="BE145">
            <v>1640568.8809863401</v>
          </cell>
          <cell r="BR145">
            <v>926376.22522500902</v>
          </cell>
          <cell r="BS145">
            <v>0</v>
          </cell>
        </row>
        <row r="146">
          <cell r="F146">
            <v>56145865.143974558</v>
          </cell>
          <cell r="M146">
            <v>4696052.6170636173</v>
          </cell>
          <cell r="Q146">
            <v>-738000</v>
          </cell>
          <cell r="R146">
            <v>1684564.3055461221</v>
          </cell>
          <cell r="T146">
            <v>25651201.539899588</v>
          </cell>
          <cell r="W146">
            <v>14205325.887908263</v>
          </cell>
          <cell r="Z146">
            <v>2071757.1336792</v>
          </cell>
          <cell r="AA146">
            <v>1593504.0645505835</v>
          </cell>
          <cell r="AD146">
            <v>326296.99032217648</v>
          </cell>
          <cell r="AG146">
            <v>374837.22764878225</v>
          </cell>
          <cell r="AJ146">
            <v>246725.82887392672</v>
          </cell>
          <cell r="AM146">
            <v>259793.32643638665</v>
          </cell>
          <cell r="AP146">
            <v>317142.53190887434</v>
          </cell>
          <cell r="AS146">
            <v>68708.15936043697</v>
          </cell>
          <cell r="AV146">
            <v>1675890.5862747673</v>
          </cell>
          <cell r="AY146">
            <v>1623101.1229448898</v>
          </cell>
          <cell r="BB146">
            <v>1805549.5373042312</v>
          </cell>
          <cell r="BE146">
            <v>1876918.3488032902</v>
          </cell>
          <cell r="BR146">
            <v>1308669.6342507005</v>
          </cell>
          <cell r="BS146">
            <v>0</v>
          </cell>
        </row>
        <row r="147">
          <cell r="F147">
            <v>109490127.19570427</v>
          </cell>
          <cell r="M147">
            <v>9474840.1066342741</v>
          </cell>
          <cell r="Q147">
            <v>702000</v>
          </cell>
          <cell r="R147">
            <v>1335200.7899999998</v>
          </cell>
          <cell r="T147">
            <v>45998113.497759625</v>
          </cell>
          <cell r="W147">
            <v>31756545.93717825</v>
          </cell>
          <cell r="Z147">
            <v>3522861.6754386313</v>
          </cell>
          <cell r="AA147">
            <v>2548883.996582529</v>
          </cell>
          <cell r="AD147">
            <v>834220.95608122996</v>
          </cell>
          <cell r="AG147">
            <v>864898.02421289193</v>
          </cell>
          <cell r="AJ147">
            <v>453082.99127562437</v>
          </cell>
          <cell r="AM147">
            <v>244071.04560364259</v>
          </cell>
          <cell r="AP147">
            <v>152610.97940914024</v>
          </cell>
          <cell r="AS147">
            <v>0</v>
          </cell>
          <cell r="AV147">
            <v>3555438.1845874381</v>
          </cell>
          <cell r="AY147">
            <v>3892918.9392684912</v>
          </cell>
          <cell r="BB147">
            <v>3477299.2102784947</v>
          </cell>
          <cell r="BE147">
            <v>3226024.8579765433</v>
          </cell>
          <cell r="BR147">
            <v>0</v>
          </cell>
          <cell r="BS147">
            <v>-1982563.8148987591</v>
          </cell>
        </row>
        <row r="148">
          <cell r="F148">
            <v>14033317.70569603</v>
          </cell>
          <cell r="M148">
            <v>958003.83446725272</v>
          </cell>
          <cell r="Q148">
            <v>-174000</v>
          </cell>
          <cell r="R148">
            <v>12059.999999999998</v>
          </cell>
          <cell r="T148">
            <v>6947456.3846826525</v>
          </cell>
          <cell r="W148">
            <v>2886751.4030922446</v>
          </cell>
          <cell r="Z148">
            <v>545206.22814902011</v>
          </cell>
          <cell r="AA148">
            <v>575301.22972933343</v>
          </cell>
          <cell r="AD148">
            <v>206205.72067865802</v>
          </cell>
          <cell r="AG148">
            <v>78350.118026487777</v>
          </cell>
          <cell r="AJ148">
            <v>132092.27346355081</v>
          </cell>
          <cell r="AM148">
            <v>36123.078645962683</v>
          </cell>
          <cell r="AP148">
            <v>122530.03891467408</v>
          </cell>
          <cell r="AS148">
            <v>0</v>
          </cell>
          <cell r="AV148">
            <v>424668.5145102368</v>
          </cell>
          <cell r="AY148">
            <v>552807.95272303361</v>
          </cell>
          <cell r="BB148">
            <v>524481.97694143956</v>
          </cell>
          <cell r="BE148">
            <v>780580.18140081619</v>
          </cell>
          <cell r="BR148">
            <v>683597.42282089964</v>
          </cell>
          <cell r="BS148">
            <v>0</v>
          </cell>
        </row>
        <row r="149">
          <cell r="F149">
            <v>76765735.580755994</v>
          </cell>
          <cell r="M149">
            <v>7070000</v>
          </cell>
          <cell r="Q149">
            <v>-243000</v>
          </cell>
          <cell r="R149">
            <v>1906661.88</v>
          </cell>
          <cell r="T149">
            <v>36453765</v>
          </cell>
          <cell r="W149">
            <v>16044026.248094365</v>
          </cell>
          <cell r="Z149">
            <v>3110958.6232069796</v>
          </cell>
          <cell r="AA149">
            <v>2310353.2534515541</v>
          </cell>
          <cell r="AD149">
            <v>452246.51469296654</v>
          </cell>
          <cell r="AG149">
            <v>451912.63830336841</v>
          </cell>
          <cell r="AJ149">
            <v>412966.75167834683</v>
          </cell>
          <cell r="AM149">
            <v>375423.75465591357</v>
          </cell>
          <cell r="AP149">
            <v>403546.97642950935</v>
          </cell>
          <cell r="AS149">
            <v>214256.61769144947</v>
          </cell>
          <cell r="AV149">
            <v>2191302.2488574502</v>
          </cell>
          <cell r="AY149">
            <v>2876133.1514988765</v>
          </cell>
          <cell r="BB149">
            <v>2524725.3207657509</v>
          </cell>
          <cell r="BE149">
            <v>2520809.8548810193</v>
          </cell>
          <cell r="BR149">
            <v>5546003.452618584</v>
          </cell>
          <cell r="BS149">
            <v>0</v>
          </cell>
        </row>
        <row r="150">
          <cell r="F150">
            <v>78605203.150559321</v>
          </cell>
          <cell r="M150">
            <v>6820000</v>
          </cell>
          <cell r="Q150">
            <v>66000</v>
          </cell>
          <cell r="R150">
            <v>0</v>
          </cell>
          <cell r="T150">
            <v>34785120.359491892</v>
          </cell>
          <cell r="W150">
            <v>18864432.031912409</v>
          </cell>
          <cell r="Z150">
            <v>3353217.0591196236</v>
          </cell>
          <cell r="AA150">
            <v>2708224.8830783996</v>
          </cell>
          <cell r="AD150">
            <v>434497.43640831317</v>
          </cell>
          <cell r="AG150">
            <v>437944.5897130635</v>
          </cell>
          <cell r="AJ150">
            <v>512223.14501691522</v>
          </cell>
          <cell r="AM150">
            <v>409442.11132137745</v>
          </cell>
          <cell r="AP150">
            <v>622977.84763039357</v>
          </cell>
          <cell r="AS150">
            <v>291139.75298833649</v>
          </cell>
          <cell r="AV150">
            <v>2764925.6907328772</v>
          </cell>
          <cell r="AY150">
            <v>3258202.5000374727</v>
          </cell>
          <cell r="BB150">
            <v>3402337.648890873</v>
          </cell>
          <cell r="BE150">
            <v>2582742.9772957647</v>
          </cell>
          <cell r="BR150">
            <v>0</v>
          </cell>
          <cell r="BS150">
            <v>0</v>
          </cell>
        </row>
        <row r="151">
          <cell r="F151">
            <v>72234371.363537163</v>
          </cell>
          <cell r="M151">
            <v>6206501.8289244873</v>
          </cell>
          <cell r="Q151">
            <v>-558000</v>
          </cell>
          <cell r="R151">
            <v>1315866.5999999999</v>
          </cell>
          <cell r="T151">
            <v>30339028.518188607</v>
          </cell>
          <cell r="W151">
            <v>18405251.05055191</v>
          </cell>
          <cell r="Z151">
            <v>2891205.5273099309</v>
          </cell>
          <cell r="AA151">
            <v>2730853.458039959</v>
          </cell>
          <cell r="AD151">
            <v>389384.4592958311</v>
          </cell>
          <cell r="AG151">
            <v>478853.25130955561</v>
          </cell>
          <cell r="AJ151">
            <v>691153.24265488377</v>
          </cell>
          <cell r="AM151">
            <v>525268.01166289556</v>
          </cell>
          <cell r="AP151">
            <v>437912.36458930245</v>
          </cell>
          <cell r="AS151">
            <v>208282.12852749033</v>
          </cell>
          <cell r="AV151">
            <v>2284475.5007386785</v>
          </cell>
          <cell r="AY151">
            <v>2783683.1769730709</v>
          </cell>
          <cell r="BB151">
            <v>3107583.7629453777</v>
          </cell>
          <cell r="BE151">
            <v>2727921.9398651263</v>
          </cell>
          <cell r="BR151">
            <v>0</v>
          </cell>
          <cell r="BS151">
            <v>-2230193.3877248615</v>
          </cell>
        </row>
        <row r="152">
          <cell r="F152">
            <v>30401115.776390661</v>
          </cell>
          <cell r="M152">
            <v>2932000</v>
          </cell>
          <cell r="Q152">
            <v>-972000</v>
          </cell>
          <cell r="R152">
            <v>0</v>
          </cell>
          <cell r="T152">
            <v>14918567.138480818</v>
          </cell>
          <cell r="W152">
            <v>6552877.8974752231</v>
          </cell>
          <cell r="Z152">
            <v>1261308.3537095657</v>
          </cell>
          <cell r="AA152">
            <v>1250674.9431242528</v>
          </cell>
          <cell r="AD152">
            <v>169850.22724209193</v>
          </cell>
          <cell r="AG152">
            <v>170524.75723810802</v>
          </cell>
          <cell r="AJ152">
            <v>63764.713296292444</v>
          </cell>
          <cell r="AM152">
            <v>326293.27357384475</v>
          </cell>
          <cell r="AP152">
            <v>402137.20533281239</v>
          </cell>
          <cell r="AS152">
            <v>118104.76644110323</v>
          </cell>
          <cell r="AV152">
            <v>898373.22113823437</v>
          </cell>
          <cell r="AY152">
            <v>1188660.1954534103</v>
          </cell>
          <cell r="BB152">
            <v>985723.99173473881</v>
          </cell>
          <cell r="BE152">
            <v>1384930.0352744125</v>
          </cell>
          <cell r="BR152">
            <v>1396018.500570979</v>
          </cell>
          <cell r="BS152">
            <v>0</v>
          </cell>
        </row>
        <row r="153">
          <cell r="F153">
            <v>60219518.739928886</v>
          </cell>
          <cell r="M153">
            <v>4540623.0205602292</v>
          </cell>
          <cell r="Q153">
            <v>990000</v>
          </cell>
          <cell r="R153">
            <v>1615034.9999999998</v>
          </cell>
          <cell r="T153">
            <v>25631572.447429925</v>
          </cell>
          <cell r="W153">
            <v>16581649.372959917</v>
          </cell>
          <cell r="Z153">
            <v>1865564.8165314035</v>
          </cell>
          <cell r="AA153">
            <v>1238357.6439419251</v>
          </cell>
          <cell r="AD153">
            <v>374093.58256278693</v>
          </cell>
          <cell r="AG153">
            <v>281898.44030080538</v>
          </cell>
          <cell r="AJ153">
            <v>235223.69503660197</v>
          </cell>
          <cell r="AM153">
            <v>204009.98677879191</v>
          </cell>
          <cell r="AP153">
            <v>143131.93926293883</v>
          </cell>
          <cell r="AS153">
            <v>0</v>
          </cell>
          <cell r="AV153">
            <v>1583842.0136198718</v>
          </cell>
          <cell r="AY153">
            <v>1941191.395199195</v>
          </cell>
          <cell r="BB153">
            <v>2176882.1081701559</v>
          </cell>
          <cell r="BE153">
            <v>2054800.9215162627</v>
          </cell>
          <cell r="BR153">
            <v>0</v>
          </cell>
          <cell r="BS153">
            <v>0</v>
          </cell>
        </row>
        <row r="154">
          <cell r="F154">
            <v>48581877.351976953</v>
          </cell>
          <cell r="M154">
            <v>2760000</v>
          </cell>
          <cell r="Q154">
            <v>-744000</v>
          </cell>
          <cell r="R154">
            <v>2116329.0000000005</v>
          </cell>
          <cell r="T154">
            <v>22689837.711636487</v>
          </cell>
          <cell r="W154">
            <v>12310342.526727552</v>
          </cell>
          <cell r="Z154">
            <v>1742980.7037824537</v>
          </cell>
          <cell r="AA154">
            <v>1215949.9072969956</v>
          </cell>
          <cell r="AD154">
            <v>322559.91602643294</v>
          </cell>
          <cell r="AG154">
            <v>368677.16894347541</v>
          </cell>
          <cell r="AJ154">
            <v>127168.49425317191</v>
          </cell>
          <cell r="AM154">
            <v>119610.85708461789</v>
          </cell>
          <cell r="AP154">
            <v>233740.0478323586</v>
          </cell>
          <cell r="AS154">
            <v>44193.423156938792</v>
          </cell>
          <cell r="AV154">
            <v>1523592.4223357895</v>
          </cell>
          <cell r="AY154">
            <v>1586649.1001811146</v>
          </cell>
          <cell r="BB154">
            <v>1794971.5914008392</v>
          </cell>
          <cell r="BE154">
            <v>1585224.3886157167</v>
          </cell>
          <cell r="BR154">
            <v>1334841.7482365668</v>
          </cell>
          <cell r="BS154">
            <v>0</v>
          </cell>
        </row>
        <row r="155">
          <cell r="F155">
            <v>62602878.175214745</v>
          </cell>
          <cell r="M155">
            <v>4464160.4036511164</v>
          </cell>
          <cell r="Q155">
            <v>-342000</v>
          </cell>
          <cell r="R155">
            <v>120599.99999999999</v>
          </cell>
          <cell r="T155">
            <v>26558784.819752611</v>
          </cell>
          <cell r="W155">
            <v>16870441.270696156</v>
          </cell>
          <cell r="Z155">
            <v>2901042.3390775686</v>
          </cell>
          <cell r="AA155">
            <v>1878334.3642700349</v>
          </cell>
          <cell r="AD155">
            <v>404321.62729312712</v>
          </cell>
          <cell r="AG155">
            <v>315944.81730848475</v>
          </cell>
          <cell r="AJ155">
            <v>471635.2033585668</v>
          </cell>
          <cell r="AM155">
            <v>314922.26568330324</v>
          </cell>
          <cell r="AP155">
            <v>296062.56825675495</v>
          </cell>
          <cell r="AS155">
            <v>75447.882369797866</v>
          </cell>
          <cell r="AV155">
            <v>2218697.3718129038</v>
          </cell>
          <cell r="AY155">
            <v>2563140.6437458866</v>
          </cell>
          <cell r="BB155">
            <v>2923889.6092021</v>
          </cell>
          <cell r="BE155">
            <v>2445787.3530063685</v>
          </cell>
          <cell r="BR155">
            <v>0</v>
          </cell>
          <cell r="BS155">
            <v>-3554460.0325521752</v>
          </cell>
        </row>
        <row r="156">
          <cell r="F156">
            <v>124301534.8202341</v>
          </cell>
          <cell r="M156">
            <v>11307347.152140975</v>
          </cell>
          <cell r="Q156">
            <v>-1164000</v>
          </cell>
          <cell r="R156">
            <v>637169.99999999988</v>
          </cell>
          <cell r="T156">
            <v>64484116.711025029</v>
          </cell>
          <cell r="W156">
            <v>31470321.991825327</v>
          </cell>
          <cell r="Z156">
            <v>2698161.0473996764</v>
          </cell>
          <cell r="AA156">
            <v>1270350.0876661381</v>
          </cell>
          <cell r="AD156">
            <v>437561.64541307808</v>
          </cell>
          <cell r="AG156">
            <v>429590.96244670678</v>
          </cell>
          <cell r="AJ156">
            <v>240693.35735618201</v>
          </cell>
          <cell r="AM156">
            <v>110549.68953469553</v>
          </cell>
          <cell r="AP156">
            <v>51954.432915475802</v>
          </cell>
          <cell r="AS156">
            <v>0</v>
          </cell>
          <cell r="AV156">
            <v>3150083.7453757012</v>
          </cell>
          <cell r="AY156">
            <v>3939740.6658348544</v>
          </cell>
          <cell r="BB156">
            <v>3356650.1488919044</v>
          </cell>
          <cell r="BE156">
            <v>3151593.2700744839</v>
          </cell>
          <cell r="BR156">
            <v>17292814.313360944</v>
          </cell>
          <cell r="BS156">
            <v>0</v>
          </cell>
        </row>
        <row r="157">
          <cell r="F157">
            <v>54523946.746619217</v>
          </cell>
          <cell r="M157">
            <v>6188517.3810109496</v>
          </cell>
          <cell r="Q157">
            <v>-396000</v>
          </cell>
          <cell r="R157">
            <v>103789.28991690646</v>
          </cell>
          <cell r="T157">
            <v>26627878.731615312</v>
          </cell>
          <cell r="W157">
            <v>12744672.987126935</v>
          </cell>
          <cell r="Z157">
            <v>1593664.7608823716</v>
          </cell>
          <cell r="AA157">
            <v>1192745.948518638</v>
          </cell>
          <cell r="AD157">
            <v>422027.13532640436</v>
          </cell>
          <cell r="AG157">
            <v>258259.25952165516</v>
          </cell>
          <cell r="AJ157">
            <v>255192.79779986283</v>
          </cell>
          <cell r="AM157">
            <v>0</v>
          </cell>
          <cell r="AP157">
            <v>114183.55547889642</v>
          </cell>
          <cell r="AS157">
            <v>143083.20039181932</v>
          </cell>
          <cell r="AV157">
            <v>1398560.8361342135</v>
          </cell>
          <cell r="AY157">
            <v>1876848.3322989726</v>
          </cell>
          <cell r="BB157">
            <v>1735157.1975380629</v>
          </cell>
          <cell r="BE157">
            <v>1458111.2815768586</v>
          </cell>
          <cell r="BR157">
            <v>5124193.5827806368</v>
          </cell>
          <cell r="BS157">
            <v>0</v>
          </cell>
        </row>
        <row r="158">
          <cell r="F158">
            <v>74845666.869630724</v>
          </cell>
          <cell r="M158">
            <v>7516993.018572107</v>
          </cell>
          <cell r="Q158">
            <v>-1260000</v>
          </cell>
          <cell r="R158">
            <v>531745.5</v>
          </cell>
          <cell r="T158">
            <v>34641902.69192607</v>
          </cell>
          <cell r="W158">
            <v>19544459.545748755</v>
          </cell>
          <cell r="Z158">
            <v>2100881.3402324216</v>
          </cell>
          <cell r="AA158">
            <v>1439628.5042659682</v>
          </cell>
          <cell r="AD158">
            <v>509051.77402264561</v>
          </cell>
          <cell r="AG158">
            <v>564023.84507496364</v>
          </cell>
          <cell r="AJ158">
            <v>165449.34045108804</v>
          </cell>
          <cell r="AM158">
            <v>67105.628088853206</v>
          </cell>
          <cell r="AP158">
            <v>133997.9166284175</v>
          </cell>
          <cell r="AS158">
            <v>0</v>
          </cell>
          <cell r="AV158">
            <v>2283282.3132475577</v>
          </cell>
          <cell r="AY158">
            <v>2441421.0695539904</v>
          </cell>
          <cell r="BB158">
            <v>2816562.0900307819</v>
          </cell>
          <cell r="BE158">
            <v>2788790.7960530873</v>
          </cell>
          <cell r="BR158">
            <v>2141316.2399630249</v>
          </cell>
          <cell r="BS158">
            <v>0</v>
          </cell>
        </row>
      </sheetData>
      <sheetData sheetId="16"/>
      <sheetData sheetId="17">
        <row r="8">
          <cell r="B8">
            <v>9999</v>
          </cell>
          <cell r="P8">
            <v>0</v>
          </cell>
        </row>
        <row r="9">
          <cell r="B9">
            <v>202</v>
          </cell>
          <cell r="P9">
            <v>14254897.775693763</v>
          </cell>
        </row>
        <row r="10">
          <cell r="B10">
            <v>203</v>
          </cell>
          <cell r="P10">
            <v>20821049.18214291</v>
          </cell>
        </row>
        <row r="11">
          <cell r="B11">
            <v>204</v>
          </cell>
          <cell r="P11">
            <v>19442307.490913831</v>
          </cell>
        </row>
        <row r="12">
          <cell r="B12">
            <v>205</v>
          </cell>
          <cell r="P12">
            <v>7977995.2207027022</v>
          </cell>
        </row>
        <row r="13">
          <cell r="B13">
            <v>206</v>
          </cell>
          <cell r="P13">
            <v>12795221.669986624</v>
          </cell>
        </row>
        <row r="14">
          <cell r="B14">
            <v>207</v>
          </cell>
          <cell r="P14">
            <v>6743805.0384025201</v>
          </cell>
        </row>
        <row r="15">
          <cell r="B15">
            <v>208</v>
          </cell>
          <cell r="P15">
            <v>19484986.659505043</v>
          </cell>
        </row>
        <row r="16">
          <cell r="B16">
            <v>209</v>
          </cell>
          <cell r="P16">
            <v>23535007.200673085</v>
          </cell>
        </row>
        <row r="17">
          <cell r="B17">
            <v>210</v>
          </cell>
          <cell r="P17">
            <v>19284366.257766299</v>
          </cell>
        </row>
        <row r="18">
          <cell r="B18">
            <v>211</v>
          </cell>
          <cell r="P18">
            <v>21058701.817029938</v>
          </cell>
        </row>
        <row r="19">
          <cell r="B19">
            <v>212</v>
          </cell>
          <cell r="P19">
            <v>17845014.75017057</v>
          </cell>
        </row>
        <row r="20">
          <cell r="B20">
            <v>213</v>
          </cell>
          <cell r="P20">
            <v>11430465.205362109</v>
          </cell>
        </row>
        <row r="21">
          <cell r="B21">
            <v>301</v>
          </cell>
          <cell r="P21">
            <v>12482620.907457069</v>
          </cell>
        </row>
        <row r="22">
          <cell r="B22">
            <v>302</v>
          </cell>
          <cell r="P22">
            <v>21625987.189735401</v>
          </cell>
        </row>
        <row r="23">
          <cell r="B23">
            <v>303</v>
          </cell>
          <cell r="P23">
            <v>14693851.967200447</v>
          </cell>
        </row>
        <row r="24">
          <cell r="B24">
            <v>304</v>
          </cell>
          <cell r="P24">
            <v>25971945.224596709</v>
          </cell>
        </row>
        <row r="25">
          <cell r="B25">
            <v>305</v>
          </cell>
          <cell r="P25">
            <v>20658861.913706578</v>
          </cell>
        </row>
        <row r="26">
          <cell r="B26">
            <v>306</v>
          </cell>
          <cell r="P26">
            <v>27331468.033088908</v>
          </cell>
        </row>
        <row r="27">
          <cell r="B27">
            <v>307</v>
          </cell>
          <cell r="P27">
            <v>24611109.320390295</v>
          </cell>
        </row>
        <row r="28">
          <cell r="B28">
            <v>308</v>
          </cell>
          <cell r="P28">
            <v>21031081.924054604</v>
          </cell>
        </row>
        <row r="29">
          <cell r="B29">
            <v>309</v>
          </cell>
          <cell r="P29">
            <v>16458947.773077577</v>
          </cell>
        </row>
        <row r="30">
          <cell r="B30">
            <v>310</v>
          </cell>
          <cell r="P30">
            <v>14670609.103239248</v>
          </cell>
        </row>
        <row r="31">
          <cell r="B31">
            <v>311</v>
          </cell>
          <cell r="P31">
            <v>10603814.177797958</v>
          </cell>
        </row>
        <row r="32">
          <cell r="B32">
            <v>312</v>
          </cell>
          <cell r="P32">
            <v>15941751.81385334</v>
          </cell>
        </row>
        <row r="33">
          <cell r="B33">
            <v>313</v>
          </cell>
          <cell r="P33">
            <v>21167149.328968402</v>
          </cell>
        </row>
        <row r="34">
          <cell r="B34">
            <v>314</v>
          </cell>
          <cell r="P34">
            <v>8976122.3101294581</v>
          </cell>
        </row>
        <row r="35">
          <cell r="B35">
            <v>315</v>
          </cell>
          <cell r="P35">
            <v>15277871.307622733</v>
          </cell>
        </row>
        <row r="36">
          <cell r="B36">
            <v>316</v>
          </cell>
          <cell r="P36">
            <v>22660019.543491386</v>
          </cell>
        </row>
        <row r="37">
          <cell r="B37">
            <v>317</v>
          </cell>
          <cell r="P37">
            <v>19852631.802389454</v>
          </cell>
        </row>
        <row r="38">
          <cell r="B38">
            <v>318</v>
          </cell>
          <cell r="P38">
            <v>11202855.505861316</v>
          </cell>
        </row>
        <row r="39">
          <cell r="B39">
            <v>319</v>
          </cell>
          <cell r="P39">
            <v>16824946.567358136</v>
          </cell>
        </row>
        <row r="40">
          <cell r="B40">
            <v>320</v>
          </cell>
          <cell r="P40">
            <v>15664165.09429045</v>
          </cell>
        </row>
        <row r="41">
          <cell r="B41">
            <v>330</v>
          </cell>
          <cell r="P41">
            <v>64600055.159765735</v>
          </cell>
        </row>
        <row r="42">
          <cell r="B42">
            <v>331</v>
          </cell>
          <cell r="P42">
            <v>15153204.826033991</v>
          </cell>
        </row>
        <row r="43">
          <cell r="B43">
            <v>332</v>
          </cell>
          <cell r="P43">
            <v>12375811.334474195</v>
          </cell>
        </row>
        <row r="44">
          <cell r="B44">
            <v>333</v>
          </cell>
          <cell r="P44">
            <v>17549646.432445642</v>
          </cell>
        </row>
        <row r="45">
          <cell r="B45">
            <v>334</v>
          </cell>
          <cell r="P45">
            <v>11670480.318496289</v>
          </cell>
        </row>
        <row r="46">
          <cell r="B46">
            <v>335</v>
          </cell>
          <cell r="P46">
            <v>13560154.752601556</v>
          </cell>
        </row>
        <row r="47">
          <cell r="B47">
            <v>336</v>
          </cell>
          <cell r="P47">
            <v>14416788.191229871</v>
          </cell>
        </row>
        <row r="48">
          <cell r="B48">
            <v>340</v>
          </cell>
          <cell r="P48">
            <v>8859253.341232596</v>
          </cell>
        </row>
        <row r="49">
          <cell r="B49">
            <v>341</v>
          </cell>
          <cell r="P49">
            <v>19463201.564815287</v>
          </cell>
        </row>
        <row r="50">
          <cell r="B50">
            <v>342</v>
          </cell>
          <cell r="P50">
            <v>9924978.1594597269</v>
          </cell>
        </row>
        <row r="51">
          <cell r="B51">
            <v>343</v>
          </cell>
          <cell r="P51">
            <v>12282357.636888251</v>
          </cell>
        </row>
        <row r="52">
          <cell r="B52">
            <v>344</v>
          </cell>
          <cell r="P52">
            <v>14458411.119004726</v>
          </cell>
        </row>
        <row r="53">
          <cell r="B53">
            <v>350</v>
          </cell>
          <cell r="P53">
            <v>15213443.841654262</v>
          </cell>
        </row>
        <row r="54">
          <cell r="B54">
            <v>351</v>
          </cell>
          <cell r="P54">
            <v>13606314.225676745</v>
          </cell>
        </row>
        <row r="55">
          <cell r="B55">
            <v>352</v>
          </cell>
          <cell r="P55">
            <v>31739257.397121184</v>
          </cell>
        </row>
        <row r="56">
          <cell r="B56">
            <v>353</v>
          </cell>
          <cell r="P56">
            <v>13048152.319538791</v>
          </cell>
        </row>
        <row r="57">
          <cell r="B57">
            <v>354</v>
          </cell>
          <cell r="P57">
            <v>9878277.3773454819</v>
          </cell>
        </row>
        <row r="58">
          <cell r="B58">
            <v>355</v>
          </cell>
          <cell r="P58">
            <v>14276997.906786805</v>
          </cell>
        </row>
        <row r="59">
          <cell r="B59">
            <v>356</v>
          </cell>
          <cell r="P59">
            <v>13727727.665820554</v>
          </cell>
        </row>
        <row r="60">
          <cell r="B60">
            <v>357</v>
          </cell>
          <cell r="P60">
            <v>8655812.6571818385</v>
          </cell>
        </row>
        <row r="61">
          <cell r="B61">
            <v>358</v>
          </cell>
          <cell r="P61">
            <v>11372077.207930762</v>
          </cell>
        </row>
        <row r="62">
          <cell r="B62">
            <v>359</v>
          </cell>
          <cell r="P62">
            <v>12511741.797571139</v>
          </cell>
        </row>
        <row r="63">
          <cell r="B63">
            <v>370</v>
          </cell>
          <cell r="P63">
            <v>9775872.6542681213</v>
          </cell>
        </row>
        <row r="64">
          <cell r="B64">
            <v>371</v>
          </cell>
          <cell r="P64">
            <v>13370279.488845488</v>
          </cell>
        </row>
        <row r="65">
          <cell r="B65">
            <v>372</v>
          </cell>
          <cell r="P65">
            <v>12803815.872625368</v>
          </cell>
        </row>
        <row r="66">
          <cell r="B66">
            <v>373</v>
          </cell>
          <cell r="P66">
            <v>23202114.665483199</v>
          </cell>
        </row>
        <row r="67">
          <cell r="B67">
            <v>380</v>
          </cell>
          <cell r="P67">
            <v>29369530.347929865</v>
          </cell>
        </row>
        <row r="68">
          <cell r="B68">
            <v>381</v>
          </cell>
          <cell r="P68">
            <v>8239303.021001826</v>
          </cell>
        </row>
        <row r="69">
          <cell r="B69">
            <v>382</v>
          </cell>
          <cell r="P69">
            <v>15418901.418451075</v>
          </cell>
        </row>
        <row r="70">
          <cell r="B70">
            <v>383</v>
          </cell>
          <cell r="P70">
            <v>29200159.934584543</v>
          </cell>
        </row>
        <row r="71">
          <cell r="B71">
            <v>384</v>
          </cell>
          <cell r="P71">
            <v>12578524.978970114</v>
          </cell>
        </row>
        <row r="72">
          <cell r="B72">
            <v>390</v>
          </cell>
          <cell r="P72">
            <v>9735376.9483356941</v>
          </cell>
        </row>
        <row r="73">
          <cell r="B73">
            <v>391</v>
          </cell>
          <cell r="P73">
            <v>14840988.920024313</v>
          </cell>
        </row>
        <row r="74">
          <cell r="B74">
            <v>392</v>
          </cell>
          <cell r="P74">
            <v>8710007.8182467632</v>
          </cell>
        </row>
        <row r="75">
          <cell r="B75">
            <v>393</v>
          </cell>
          <cell r="P75">
            <v>7344924.7471680511</v>
          </cell>
        </row>
        <row r="76">
          <cell r="B76">
            <v>394</v>
          </cell>
          <cell r="P76">
            <v>9897450.3917676583</v>
          </cell>
        </row>
        <row r="77">
          <cell r="B77">
            <v>800</v>
          </cell>
          <cell r="P77">
            <v>10077035.751233533</v>
          </cell>
        </row>
        <row r="78">
          <cell r="B78">
            <v>801</v>
          </cell>
          <cell r="P78">
            <v>22142565.367851734</v>
          </cell>
        </row>
        <row r="79">
          <cell r="B79">
            <v>802</v>
          </cell>
          <cell r="P79">
            <v>10735542.378026877</v>
          </cell>
        </row>
        <row r="80">
          <cell r="B80">
            <v>803</v>
          </cell>
          <cell r="P80">
            <v>14308387.673788991</v>
          </cell>
        </row>
        <row r="81">
          <cell r="B81">
            <v>805</v>
          </cell>
          <cell r="P81">
            <v>4677162.976521736</v>
          </cell>
        </row>
        <row r="82">
          <cell r="B82">
            <v>806</v>
          </cell>
          <cell r="P82">
            <v>9120361.8908118084</v>
          </cell>
        </row>
        <row r="83">
          <cell r="B83">
            <v>807</v>
          </cell>
          <cell r="P83">
            <v>7210513.2113444591</v>
          </cell>
        </row>
        <row r="84">
          <cell r="B84">
            <v>808</v>
          </cell>
          <cell r="P84">
            <v>11105311.345924458</v>
          </cell>
        </row>
        <row r="85">
          <cell r="B85">
            <v>810</v>
          </cell>
          <cell r="P85">
            <v>12454500</v>
          </cell>
        </row>
        <row r="86">
          <cell r="B86">
            <v>811</v>
          </cell>
          <cell r="P86">
            <v>10154248</v>
          </cell>
        </row>
        <row r="87">
          <cell r="B87">
            <v>812</v>
          </cell>
          <cell r="P87">
            <v>7852000</v>
          </cell>
        </row>
        <row r="88">
          <cell r="B88">
            <v>813</v>
          </cell>
          <cell r="P88">
            <v>7245123.4479882503</v>
          </cell>
        </row>
        <row r="89">
          <cell r="B89">
            <v>815</v>
          </cell>
          <cell r="P89">
            <v>22572000</v>
          </cell>
        </row>
        <row r="90">
          <cell r="B90">
            <v>816</v>
          </cell>
          <cell r="P90">
            <v>7990160.7378354371</v>
          </cell>
        </row>
        <row r="91">
          <cell r="B91">
            <v>821</v>
          </cell>
          <cell r="P91">
            <v>12903647.308808958</v>
          </cell>
        </row>
        <row r="92">
          <cell r="B92">
            <v>822</v>
          </cell>
          <cell r="P92">
            <v>9198237.3789341114</v>
          </cell>
        </row>
        <row r="93">
          <cell r="B93">
            <v>823</v>
          </cell>
          <cell r="P93">
            <v>11851259.56958691</v>
          </cell>
        </row>
        <row r="94">
          <cell r="B94">
            <v>825</v>
          </cell>
          <cell r="P94">
            <v>36819932.972700424</v>
          </cell>
        </row>
        <row r="95">
          <cell r="B95">
            <v>826</v>
          </cell>
          <cell r="P95">
            <v>17542109.382081255</v>
          </cell>
        </row>
        <row r="96">
          <cell r="B96">
            <v>830</v>
          </cell>
          <cell r="P96">
            <v>33025554.490738556</v>
          </cell>
        </row>
        <row r="97">
          <cell r="B97">
            <v>831</v>
          </cell>
          <cell r="P97">
            <v>15645028.42574019</v>
          </cell>
        </row>
        <row r="98">
          <cell r="B98">
            <v>835</v>
          </cell>
          <cell r="P98">
            <v>18015243.282020446</v>
          </cell>
        </row>
        <row r="99">
          <cell r="B99">
            <v>836</v>
          </cell>
          <cell r="P99">
            <v>6923999.9999999991</v>
          </cell>
        </row>
        <row r="100">
          <cell r="B100">
            <v>837</v>
          </cell>
          <cell r="P100">
            <v>8168506.1179448385</v>
          </cell>
        </row>
        <row r="101">
          <cell r="B101">
            <v>840</v>
          </cell>
          <cell r="P101">
            <v>21459204.0571297</v>
          </cell>
        </row>
        <row r="102">
          <cell r="B102">
            <v>841</v>
          </cell>
          <cell r="P102">
            <v>5290397.3443746297</v>
          </cell>
        </row>
        <row r="103">
          <cell r="B103">
            <v>845</v>
          </cell>
          <cell r="P103">
            <v>23228394.79940968</v>
          </cell>
        </row>
        <row r="104">
          <cell r="B104">
            <v>846</v>
          </cell>
          <cell r="P104">
            <v>11458332.885682467</v>
          </cell>
        </row>
        <row r="105">
          <cell r="B105">
            <v>850</v>
          </cell>
          <cell r="P105">
            <v>46006475.182096258</v>
          </cell>
        </row>
        <row r="106">
          <cell r="B106">
            <v>851</v>
          </cell>
          <cell r="P106">
            <v>8018403.2623212365</v>
          </cell>
        </row>
        <row r="107">
          <cell r="B107">
            <v>852</v>
          </cell>
          <cell r="P107">
            <v>10168036.733020771</v>
          </cell>
        </row>
        <row r="108">
          <cell r="B108">
            <v>855</v>
          </cell>
          <cell r="P108">
            <v>29719333.011696178</v>
          </cell>
        </row>
        <row r="109">
          <cell r="B109">
            <v>856</v>
          </cell>
          <cell r="P109">
            <v>21031562.052490015</v>
          </cell>
        </row>
        <row r="110">
          <cell r="B110">
            <v>857</v>
          </cell>
          <cell r="P110">
            <v>1894016.5197919146</v>
          </cell>
        </row>
        <row r="111">
          <cell r="B111">
            <v>860</v>
          </cell>
          <cell r="P111">
            <v>30017599.02906616</v>
          </cell>
        </row>
        <row r="112">
          <cell r="B112">
            <v>861</v>
          </cell>
          <cell r="P112">
            <v>13772243.499306515</v>
          </cell>
        </row>
        <row r="113">
          <cell r="B113">
            <v>865</v>
          </cell>
          <cell r="P113">
            <v>21321438.481338702</v>
          </cell>
        </row>
        <row r="114">
          <cell r="B114">
            <v>866</v>
          </cell>
          <cell r="P114">
            <v>13466476.769255254</v>
          </cell>
        </row>
        <row r="115">
          <cell r="B115">
            <v>867</v>
          </cell>
          <cell r="P115">
            <v>7586312.0368624013</v>
          </cell>
        </row>
        <row r="116">
          <cell r="B116">
            <v>868</v>
          </cell>
          <cell r="P116">
            <v>8253196.975554144</v>
          </cell>
        </row>
        <row r="117">
          <cell r="B117">
            <v>869</v>
          </cell>
          <cell r="P117">
            <v>8415909.3402711526</v>
          </cell>
        </row>
        <row r="118">
          <cell r="B118">
            <v>870</v>
          </cell>
          <cell r="P118">
            <v>9810472.6467280947</v>
          </cell>
        </row>
        <row r="119">
          <cell r="B119">
            <v>871</v>
          </cell>
          <cell r="P119">
            <v>10395860.517033104</v>
          </cell>
        </row>
        <row r="120">
          <cell r="B120">
            <v>872</v>
          </cell>
          <cell r="P120">
            <v>8423711.5340594836</v>
          </cell>
        </row>
        <row r="121">
          <cell r="B121">
            <v>873</v>
          </cell>
          <cell r="P121">
            <v>29935756.774108011</v>
          </cell>
        </row>
        <row r="122">
          <cell r="B122">
            <v>874</v>
          </cell>
          <cell r="P122">
            <v>12301239.223973624</v>
          </cell>
        </row>
        <row r="123">
          <cell r="B123">
            <v>876</v>
          </cell>
          <cell r="P123">
            <v>7353513.5727012474</v>
          </cell>
        </row>
        <row r="124">
          <cell r="B124">
            <v>877</v>
          </cell>
          <cell r="P124">
            <v>9013191.7214255389</v>
          </cell>
        </row>
        <row r="125">
          <cell r="B125">
            <v>878</v>
          </cell>
          <cell r="P125">
            <v>30704229.6577699</v>
          </cell>
        </row>
        <row r="126">
          <cell r="B126">
            <v>879</v>
          </cell>
          <cell r="P126">
            <v>13003155.628975254</v>
          </cell>
        </row>
        <row r="127">
          <cell r="B127">
            <v>880</v>
          </cell>
          <cell r="P127">
            <v>7167459.0448755752</v>
          </cell>
        </row>
        <row r="128">
          <cell r="B128">
            <v>881</v>
          </cell>
          <cell r="P128">
            <v>60380853.498377211</v>
          </cell>
        </row>
        <row r="129">
          <cell r="B129">
            <v>882</v>
          </cell>
          <cell r="P129">
            <v>7491510.1017782455</v>
          </cell>
        </row>
        <row r="130">
          <cell r="B130">
            <v>883</v>
          </cell>
          <cell r="P130">
            <v>10295137.86759166</v>
          </cell>
        </row>
        <row r="131">
          <cell r="B131">
            <v>884</v>
          </cell>
          <cell r="P131">
            <v>6379620.5780010112</v>
          </cell>
        </row>
        <row r="132">
          <cell r="B132">
            <v>885</v>
          </cell>
          <cell r="P132">
            <v>20971015.023500308</v>
          </cell>
        </row>
        <row r="133">
          <cell r="B133">
            <v>886</v>
          </cell>
          <cell r="P133">
            <v>87885617.500734538</v>
          </cell>
        </row>
        <row r="134">
          <cell r="B134">
            <v>887</v>
          </cell>
          <cell r="P134">
            <v>16183808.264204444</v>
          </cell>
        </row>
        <row r="135">
          <cell r="B135">
            <v>888</v>
          </cell>
          <cell r="P135">
            <v>48057905.739182912</v>
          </cell>
        </row>
        <row r="136">
          <cell r="B136">
            <v>889</v>
          </cell>
          <cell r="P136">
            <v>8436359.9312952347</v>
          </cell>
        </row>
        <row r="137">
          <cell r="B137">
            <v>890</v>
          </cell>
          <cell r="P137">
            <v>7681927.1899473108</v>
          </cell>
        </row>
        <row r="138">
          <cell r="B138">
            <v>891</v>
          </cell>
          <cell r="P138">
            <v>28922776.957548451</v>
          </cell>
        </row>
        <row r="139">
          <cell r="B139">
            <v>892</v>
          </cell>
          <cell r="P139">
            <v>13020217.815470174</v>
          </cell>
        </row>
        <row r="140">
          <cell r="B140">
            <v>893</v>
          </cell>
          <cell r="P140">
            <v>11939200.237546183</v>
          </cell>
        </row>
        <row r="141">
          <cell r="B141">
            <v>894</v>
          </cell>
          <cell r="P141">
            <v>9153063.4364382438</v>
          </cell>
        </row>
        <row r="142">
          <cell r="B142">
            <v>895</v>
          </cell>
          <cell r="P142">
            <v>16523411.141489904</v>
          </cell>
        </row>
        <row r="143">
          <cell r="B143">
            <v>896</v>
          </cell>
          <cell r="P143">
            <v>16313168.382220566</v>
          </cell>
        </row>
        <row r="144">
          <cell r="B144">
            <v>908</v>
          </cell>
          <cell r="P144">
            <v>18186713.664511234</v>
          </cell>
        </row>
        <row r="145">
          <cell r="B145">
            <v>909</v>
          </cell>
          <cell r="P145">
            <v>19695094.787625886</v>
          </cell>
        </row>
        <row r="146">
          <cell r="B146">
            <v>916</v>
          </cell>
          <cell r="P146">
            <v>25641106.843818195</v>
          </cell>
        </row>
        <row r="147">
          <cell r="B147">
            <v>919</v>
          </cell>
          <cell r="P147">
            <v>45973905.397065043</v>
          </cell>
        </row>
        <row r="148">
          <cell r="B148">
            <v>921</v>
          </cell>
          <cell r="P148">
            <v>6944392.4065340366</v>
          </cell>
        </row>
        <row r="149">
          <cell r="B149">
            <v>925</v>
          </cell>
          <cell r="P149">
            <v>36321765</v>
          </cell>
        </row>
        <row r="150">
          <cell r="B150">
            <v>926</v>
          </cell>
          <cell r="P150">
            <v>34767120.359491892</v>
          </cell>
        </row>
        <row r="151">
          <cell r="B151">
            <v>928</v>
          </cell>
          <cell r="P151">
            <v>30332998.885582786</v>
          </cell>
        </row>
        <row r="152">
          <cell r="B152">
            <v>929</v>
          </cell>
          <cell r="P152">
            <v>14914567.138480818</v>
          </cell>
        </row>
        <row r="153">
          <cell r="B153">
            <v>931</v>
          </cell>
          <cell r="P153">
            <v>25628472.340679429</v>
          </cell>
        </row>
        <row r="154">
          <cell r="B154">
            <v>933</v>
          </cell>
          <cell r="P154">
            <v>22689837.711636487</v>
          </cell>
        </row>
        <row r="155">
          <cell r="B155">
            <v>935</v>
          </cell>
          <cell r="P155">
            <v>26570784.604156308</v>
          </cell>
        </row>
        <row r="156">
          <cell r="B156">
            <v>936</v>
          </cell>
          <cell r="P156">
            <v>64480670.104894958</v>
          </cell>
        </row>
        <row r="157">
          <cell r="B157">
            <v>937</v>
          </cell>
          <cell r="P157">
            <v>26627878.731615312</v>
          </cell>
        </row>
        <row r="158">
          <cell r="B158">
            <v>938</v>
          </cell>
          <cell r="P158">
            <v>34631757.560201369</v>
          </cell>
        </row>
      </sheetData>
      <sheetData sheetId="18">
        <row r="8">
          <cell r="B8">
            <v>9999</v>
          </cell>
          <cell r="R8">
            <v>0</v>
          </cell>
        </row>
        <row r="9">
          <cell r="B9">
            <v>202</v>
          </cell>
          <cell r="R9">
            <v>14265131.572961926</v>
          </cell>
        </row>
        <row r="10">
          <cell r="B10">
            <v>203</v>
          </cell>
          <cell r="R10">
            <v>20822254.815020937</v>
          </cell>
        </row>
        <row r="11">
          <cell r="B11">
            <v>204</v>
          </cell>
          <cell r="R11">
            <v>19442307.490913831</v>
          </cell>
        </row>
        <row r="12">
          <cell r="B12">
            <v>205</v>
          </cell>
          <cell r="R12">
            <v>7957023.3850928396</v>
          </cell>
        </row>
        <row r="13">
          <cell r="B13">
            <v>206</v>
          </cell>
          <cell r="R13">
            <v>12796427.302864652</v>
          </cell>
        </row>
        <row r="14">
          <cell r="B14">
            <v>207</v>
          </cell>
          <cell r="R14">
            <v>6809805.0384025201</v>
          </cell>
        </row>
        <row r="15">
          <cell r="B15">
            <v>208</v>
          </cell>
          <cell r="R15">
            <v>19484986.659505043</v>
          </cell>
        </row>
        <row r="16">
          <cell r="B16">
            <v>209</v>
          </cell>
          <cell r="R16">
            <v>23746609.852961957</v>
          </cell>
        </row>
        <row r="17">
          <cell r="B17">
            <v>210</v>
          </cell>
          <cell r="R17">
            <v>19286805.687912494</v>
          </cell>
        </row>
        <row r="18">
          <cell r="B18">
            <v>211</v>
          </cell>
          <cell r="R18">
            <v>21058113.082785994</v>
          </cell>
        </row>
        <row r="19">
          <cell r="B19">
            <v>212</v>
          </cell>
          <cell r="R19">
            <v>17844426.015926622</v>
          </cell>
        </row>
        <row r="20">
          <cell r="B20">
            <v>213</v>
          </cell>
          <cell r="R20">
            <v>11439465.205362109</v>
          </cell>
        </row>
        <row r="21">
          <cell r="B21">
            <v>301</v>
          </cell>
          <cell r="R21">
            <v>12482620.907457069</v>
          </cell>
        </row>
        <row r="22">
          <cell r="B22">
            <v>302</v>
          </cell>
          <cell r="R22">
            <v>21625987.189735401</v>
          </cell>
        </row>
        <row r="23">
          <cell r="B23">
            <v>303</v>
          </cell>
          <cell r="R23">
            <v>14696026.132432904</v>
          </cell>
        </row>
        <row r="24">
          <cell r="B24">
            <v>304</v>
          </cell>
          <cell r="R24">
            <v>25953945.224596709</v>
          </cell>
        </row>
        <row r="25">
          <cell r="B25">
            <v>305</v>
          </cell>
          <cell r="R25">
            <v>20673297.326787718</v>
          </cell>
        </row>
        <row r="26">
          <cell r="B26">
            <v>306</v>
          </cell>
          <cell r="R26">
            <v>27359993.428959522</v>
          </cell>
        </row>
        <row r="27">
          <cell r="B27">
            <v>307</v>
          </cell>
          <cell r="R27">
            <v>24602555.986506972</v>
          </cell>
        </row>
        <row r="28">
          <cell r="B28">
            <v>308</v>
          </cell>
          <cell r="R28">
            <v>21057171.906844079</v>
          </cell>
        </row>
        <row r="29">
          <cell r="B29">
            <v>309</v>
          </cell>
          <cell r="R29">
            <v>16458947.773077577</v>
          </cell>
        </row>
        <row r="30">
          <cell r="B30">
            <v>310</v>
          </cell>
          <cell r="R30">
            <v>14670609.103239248</v>
          </cell>
        </row>
        <row r="31">
          <cell r="B31">
            <v>311</v>
          </cell>
          <cell r="R31">
            <v>10603814.177797958</v>
          </cell>
        </row>
        <row r="32">
          <cell r="B32">
            <v>312</v>
          </cell>
          <cell r="R32">
            <v>15937975.040976947</v>
          </cell>
        </row>
        <row r="33">
          <cell r="B33">
            <v>313</v>
          </cell>
          <cell r="R33">
            <v>21161149.328968402</v>
          </cell>
        </row>
        <row r="34">
          <cell r="B34">
            <v>314</v>
          </cell>
          <cell r="R34">
            <v>8976122.3101294581</v>
          </cell>
        </row>
        <row r="35">
          <cell r="B35">
            <v>315</v>
          </cell>
          <cell r="R35">
            <v>15277871.307622733</v>
          </cell>
        </row>
        <row r="36">
          <cell r="B36">
            <v>316</v>
          </cell>
          <cell r="R36">
            <v>22742097.659970224</v>
          </cell>
        </row>
        <row r="37">
          <cell r="B37">
            <v>317</v>
          </cell>
          <cell r="R37">
            <v>19881199.289481558</v>
          </cell>
        </row>
        <row r="38">
          <cell r="B38">
            <v>318</v>
          </cell>
          <cell r="R38">
            <v>11202855.505861316</v>
          </cell>
        </row>
        <row r="39">
          <cell r="B39">
            <v>319</v>
          </cell>
          <cell r="R39">
            <v>16830504.635167155</v>
          </cell>
        </row>
        <row r="40">
          <cell r="B40">
            <v>320</v>
          </cell>
          <cell r="R40">
            <v>15661426.342139134</v>
          </cell>
        </row>
        <row r="41">
          <cell r="B41">
            <v>330</v>
          </cell>
          <cell r="R41">
            <v>64002086.959733739</v>
          </cell>
        </row>
        <row r="42">
          <cell r="B42">
            <v>331</v>
          </cell>
          <cell r="R42">
            <v>15160240.382533431</v>
          </cell>
        </row>
        <row r="43">
          <cell r="B43">
            <v>332</v>
          </cell>
          <cell r="R43">
            <v>12381841.811473716</v>
          </cell>
        </row>
        <row r="44">
          <cell r="B44">
            <v>333</v>
          </cell>
          <cell r="R44">
            <v>17549646.432445642</v>
          </cell>
        </row>
        <row r="45">
          <cell r="B45">
            <v>334</v>
          </cell>
          <cell r="R45">
            <v>11670480.318496289</v>
          </cell>
        </row>
        <row r="46">
          <cell r="B46">
            <v>335</v>
          </cell>
          <cell r="R46">
            <v>13562164.911601396</v>
          </cell>
        </row>
        <row r="47">
          <cell r="B47">
            <v>336</v>
          </cell>
          <cell r="R47">
            <v>14420808.509229552</v>
          </cell>
        </row>
        <row r="48">
          <cell r="B48">
            <v>340</v>
          </cell>
          <cell r="R48">
            <v>8859253.341232596</v>
          </cell>
        </row>
        <row r="49">
          <cell r="B49">
            <v>341</v>
          </cell>
          <cell r="R49">
            <v>19616464.380863205</v>
          </cell>
        </row>
        <row r="50">
          <cell r="B50">
            <v>342</v>
          </cell>
          <cell r="R50">
            <v>9921978.1594597269</v>
          </cell>
        </row>
        <row r="51">
          <cell r="B51">
            <v>343</v>
          </cell>
          <cell r="R51">
            <v>12282357.636888251</v>
          </cell>
        </row>
        <row r="52">
          <cell r="B52">
            <v>344</v>
          </cell>
          <cell r="R52">
            <v>14518417.85787775</v>
          </cell>
        </row>
        <row r="53">
          <cell r="B53">
            <v>350</v>
          </cell>
          <cell r="R53">
            <v>15225443.841654262</v>
          </cell>
        </row>
        <row r="54">
          <cell r="B54">
            <v>351</v>
          </cell>
          <cell r="R54">
            <v>13645658.930881139</v>
          </cell>
        </row>
        <row r="55">
          <cell r="B55">
            <v>352</v>
          </cell>
          <cell r="R55">
            <v>31740265.604387954</v>
          </cell>
        </row>
        <row r="56">
          <cell r="B56">
            <v>353</v>
          </cell>
          <cell r="R56">
            <v>13051513.011100166</v>
          </cell>
        </row>
        <row r="57">
          <cell r="B57">
            <v>354</v>
          </cell>
          <cell r="R57">
            <v>9880293.7918790244</v>
          </cell>
        </row>
        <row r="58">
          <cell r="B58">
            <v>355</v>
          </cell>
          <cell r="R58">
            <v>14295170.259389002</v>
          </cell>
        </row>
        <row r="59">
          <cell r="B59">
            <v>356</v>
          </cell>
          <cell r="R59">
            <v>13727727.665820554</v>
          </cell>
        </row>
        <row r="60">
          <cell r="B60">
            <v>357</v>
          </cell>
          <cell r="R60">
            <v>8655812.6571818385</v>
          </cell>
        </row>
        <row r="61">
          <cell r="B61">
            <v>358</v>
          </cell>
          <cell r="R61">
            <v>11396274.182333272</v>
          </cell>
        </row>
        <row r="62">
          <cell r="B62">
            <v>359</v>
          </cell>
          <cell r="R62">
            <v>12527873.113839479</v>
          </cell>
        </row>
        <row r="63">
          <cell r="B63">
            <v>370</v>
          </cell>
          <cell r="R63">
            <v>9790872.6542681213</v>
          </cell>
        </row>
        <row r="64">
          <cell r="B64">
            <v>371</v>
          </cell>
          <cell r="R64">
            <v>13370279.488845488</v>
          </cell>
        </row>
        <row r="65">
          <cell r="B65">
            <v>372</v>
          </cell>
          <cell r="R65">
            <v>12800815.872625368</v>
          </cell>
        </row>
        <row r="66">
          <cell r="B66">
            <v>373</v>
          </cell>
          <cell r="R66">
            <v>23206114.665483199</v>
          </cell>
        </row>
        <row r="67">
          <cell r="B67">
            <v>380</v>
          </cell>
          <cell r="R67">
            <v>29371530.833876763</v>
          </cell>
        </row>
        <row r="68">
          <cell r="B68">
            <v>381</v>
          </cell>
          <cell r="R68">
            <v>8241303.5069487244</v>
          </cell>
        </row>
        <row r="69">
          <cell r="B69">
            <v>382</v>
          </cell>
          <cell r="R69">
            <v>15415901.418451075</v>
          </cell>
        </row>
        <row r="70">
          <cell r="B70">
            <v>383</v>
          </cell>
          <cell r="R70">
            <v>29213162.364319034</v>
          </cell>
        </row>
        <row r="71">
          <cell r="B71">
            <v>384</v>
          </cell>
          <cell r="R71">
            <v>12587527.165731154</v>
          </cell>
        </row>
        <row r="72">
          <cell r="B72">
            <v>390</v>
          </cell>
          <cell r="R72">
            <v>9741376.9483356941</v>
          </cell>
        </row>
        <row r="73">
          <cell r="B73">
            <v>391</v>
          </cell>
          <cell r="R73">
            <v>15267988.920024313</v>
          </cell>
        </row>
        <row r="74">
          <cell r="B74">
            <v>392</v>
          </cell>
          <cell r="R74">
            <v>8781007.8182467632</v>
          </cell>
        </row>
        <row r="75">
          <cell r="B75">
            <v>393</v>
          </cell>
          <cell r="R75">
            <v>7344924.7471680511</v>
          </cell>
        </row>
        <row r="76">
          <cell r="B76">
            <v>394</v>
          </cell>
          <cell r="R76">
            <v>9905450.3917676583</v>
          </cell>
        </row>
        <row r="77">
          <cell r="B77">
            <v>800</v>
          </cell>
          <cell r="R77">
            <v>10085211.554648781</v>
          </cell>
        </row>
        <row r="78">
          <cell r="B78">
            <v>801</v>
          </cell>
          <cell r="R78">
            <v>22148697.220413171</v>
          </cell>
        </row>
        <row r="79">
          <cell r="B79">
            <v>802</v>
          </cell>
          <cell r="R79">
            <v>10738608.304307595</v>
          </cell>
        </row>
        <row r="80">
          <cell r="B80">
            <v>803</v>
          </cell>
          <cell r="R80">
            <v>14310431.624642802</v>
          </cell>
        </row>
        <row r="81">
          <cell r="B81">
            <v>805</v>
          </cell>
          <cell r="R81">
            <v>4691162.976521736</v>
          </cell>
        </row>
        <row r="82">
          <cell r="B82">
            <v>806</v>
          </cell>
          <cell r="R82">
            <v>9124361.8908118084</v>
          </cell>
        </row>
        <row r="83">
          <cell r="B83">
            <v>807</v>
          </cell>
          <cell r="R83">
            <v>7212513.2113444591</v>
          </cell>
        </row>
        <row r="84">
          <cell r="B84">
            <v>808</v>
          </cell>
          <cell r="R84">
            <v>11114311.345924458</v>
          </cell>
        </row>
        <row r="85">
          <cell r="B85">
            <v>810</v>
          </cell>
          <cell r="R85">
            <v>12464500</v>
          </cell>
        </row>
        <row r="86">
          <cell r="B86">
            <v>811</v>
          </cell>
          <cell r="R86">
            <v>10156248</v>
          </cell>
        </row>
        <row r="87">
          <cell r="B87">
            <v>812</v>
          </cell>
          <cell r="R87">
            <v>7857000</v>
          </cell>
        </row>
        <row r="88">
          <cell r="B88">
            <v>813</v>
          </cell>
          <cell r="R88">
            <v>7245123.4479882503</v>
          </cell>
        </row>
        <row r="89">
          <cell r="B89">
            <v>815</v>
          </cell>
          <cell r="R89">
            <v>22572000</v>
          </cell>
        </row>
        <row r="90">
          <cell r="B90">
            <v>816</v>
          </cell>
          <cell r="R90">
            <v>7994160.7378354371</v>
          </cell>
        </row>
        <row r="91">
          <cell r="B91">
            <v>821</v>
          </cell>
          <cell r="R91">
            <v>12903647.308808958</v>
          </cell>
        </row>
        <row r="92">
          <cell r="B92">
            <v>822</v>
          </cell>
          <cell r="R92">
            <v>9199260.9491955824</v>
          </cell>
        </row>
        <row r="93">
          <cell r="B93">
            <v>823</v>
          </cell>
          <cell r="R93">
            <v>11851259.56958691</v>
          </cell>
        </row>
        <row r="94">
          <cell r="B94">
            <v>825</v>
          </cell>
          <cell r="R94">
            <v>36813932.972700424</v>
          </cell>
        </row>
        <row r="95">
          <cell r="B95">
            <v>826</v>
          </cell>
          <cell r="R95">
            <v>17544195.623370524</v>
          </cell>
        </row>
        <row r="96">
          <cell r="B96">
            <v>830</v>
          </cell>
          <cell r="R96">
            <v>33031554.490738556</v>
          </cell>
        </row>
        <row r="97">
          <cell r="B97">
            <v>831</v>
          </cell>
          <cell r="R97">
            <v>15647028.42574019</v>
          </cell>
        </row>
        <row r="98">
          <cell r="B98">
            <v>835</v>
          </cell>
          <cell r="R98">
            <v>18023243.282020446</v>
          </cell>
        </row>
        <row r="99">
          <cell r="B99">
            <v>836</v>
          </cell>
          <cell r="R99">
            <v>6926999.9999999991</v>
          </cell>
        </row>
        <row r="100">
          <cell r="B100">
            <v>837</v>
          </cell>
          <cell r="R100">
            <v>8222506.1179448385</v>
          </cell>
        </row>
        <row r="101">
          <cell r="B101">
            <v>840</v>
          </cell>
          <cell r="R101">
            <v>21460204.0571297</v>
          </cell>
        </row>
        <row r="102">
          <cell r="B102">
            <v>841</v>
          </cell>
          <cell r="R102">
            <v>5290397.3443746297</v>
          </cell>
        </row>
        <row r="103">
          <cell r="B103">
            <v>845</v>
          </cell>
          <cell r="R103">
            <v>23239407.51847893</v>
          </cell>
        </row>
        <row r="104">
          <cell r="B104">
            <v>846</v>
          </cell>
          <cell r="R104">
            <v>11464348.14856557</v>
          </cell>
        </row>
        <row r="105">
          <cell r="B105">
            <v>850</v>
          </cell>
          <cell r="R105">
            <v>46009539.160244867</v>
          </cell>
        </row>
        <row r="106">
          <cell r="B106">
            <v>851</v>
          </cell>
          <cell r="R106">
            <v>8202241.9512381935</v>
          </cell>
        </row>
        <row r="107">
          <cell r="B107">
            <v>852</v>
          </cell>
          <cell r="R107">
            <v>10168036.733020771</v>
          </cell>
        </row>
        <row r="108">
          <cell r="B108">
            <v>855</v>
          </cell>
          <cell r="R108">
            <v>29719333.011696178</v>
          </cell>
        </row>
        <row r="109">
          <cell r="B109">
            <v>856</v>
          </cell>
          <cell r="R109">
            <v>21035562.052490015</v>
          </cell>
        </row>
        <row r="110">
          <cell r="B110">
            <v>857</v>
          </cell>
          <cell r="R110">
            <v>1894016.5197919146</v>
          </cell>
        </row>
        <row r="111">
          <cell r="B111">
            <v>860</v>
          </cell>
          <cell r="R111">
            <v>30027599.02906616</v>
          </cell>
        </row>
        <row r="112">
          <cell r="B112">
            <v>861</v>
          </cell>
          <cell r="R112">
            <v>13774243.499306515</v>
          </cell>
        </row>
        <row r="113">
          <cell r="B113">
            <v>865</v>
          </cell>
          <cell r="R113">
            <v>21322449.264081258</v>
          </cell>
        </row>
        <row r="114">
          <cell r="B114">
            <v>866</v>
          </cell>
          <cell r="R114">
            <v>13470519.90022547</v>
          </cell>
        </row>
        <row r="115">
          <cell r="B115">
            <v>867</v>
          </cell>
          <cell r="R115">
            <v>7597056.3804125162</v>
          </cell>
        </row>
        <row r="116">
          <cell r="B116">
            <v>868</v>
          </cell>
          <cell r="R116">
            <v>8239494.7129741907</v>
          </cell>
        </row>
        <row r="117">
          <cell r="B117">
            <v>869</v>
          </cell>
          <cell r="R117">
            <v>8419066.0470872577</v>
          </cell>
        </row>
        <row r="118">
          <cell r="B118">
            <v>870</v>
          </cell>
          <cell r="R118">
            <v>9816786.060360305</v>
          </cell>
        </row>
        <row r="119">
          <cell r="B119">
            <v>871</v>
          </cell>
          <cell r="R119">
            <v>10435307.123163173</v>
          </cell>
        </row>
        <row r="120">
          <cell r="B120">
            <v>872</v>
          </cell>
          <cell r="R120">
            <v>8420711.5340594836</v>
          </cell>
        </row>
        <row r="121">
          <cell r="B121">
            <v>873</v>
          </cell>
          <cell r="R121">
            <v>29942833.983290799</v>
          </cell>
        </row>
        <row r="122">
          <cell r="B122">
            <v>874</v>
          </cell>
          <cell r="R122">
            <v>12304297.130860716</v>
          </cell>
        </row>
        <row r="123">
          <cell r="B123">
            <v>876</v>
          </cell>
          <cell r="R123">
            <v>7353513.5727012474</v>
          </cell>
        </row>
        <row r="124">
          <cell r="B124">
            <v>877</v>
          </cell>
          <cell r="R124">
            <v>9013191.7214255389</v>
          </cell>
        </row>
        <row r="125">
          <cell r="B125">
            <v>878</v>
          </cell>
          <cell r="R125">
            <v>30710229.6577699</v>
          </cell>
        </row>
        <row r="126">
          <cell r="B126">
            <v>879</v>
          </cell>
          <cell r="R126">
            <v>12706155.628975254</v>
          </cell>
        </row>
        <row r="127">
          <cell r="B127">
            <v>880</v>
          </cell>
          <cell r="R127">
            <v>7179459.0448755752</v>
          </cell>
        </row>
        <row r="128">
          <cell r="B128">
            <v>881</v>
          </cell>
          <cell r="R128">
            <v>60382948.208275236</v>
          </cell>
        </row>
        <row r="129">
          <cell r="B129">
            <v>882</v>
          </cell>
          <cell r="R129">
            <v>7495531.3969595022</v>
          </cell>
        </row>
        <row r="130">
          <cell r="B130">
            <v>883</v>
          </cell>
          <cell r="R130">
            <v>10295137.86759166</v>
          </cell>
        </row>
        <row r="131">
          <cell r="B131">
            <v>884</v>
          </cell>
          <cell r="R131">
            <v>6405620.5780010112</v>
          </cell>
        </row>
        <row r="132">
          <cell r="B132">
            <v>885</v>
          </cell>
          <cell r="R132">
            <v>21006015.023500308</v>
          </cell>
        </row>
        <row r="133">
          <cell r="B133">
            <v>886</v>
          </cell>
          <cell r="R133">
            <v>87889671.410740748</v>
          </cell>
        </row>
        <row r="134">
          <cell r="B134">
            <v>887</v>
          </cell>
          <cell r="R134">
            <v>16183808.264204444</v>
          </cell>
        </row>
        <row r="135">
          <cell r="B135">
            <v>888</v>
          </cell>
          <cell r="R135">
            <v>48059905.739182912</v>
          </cell>
        </row>
        <row r="136">
          <cell r="B136">
            <v>889</v>
          </cell>
          <cell r="R136">
            <v>8437359.9312952347</v>
          </cell>
        </row>
        <row r="137">
          <cell r="B137">
            <v>890</v>
          </cell>
          <cell r="R137">
            <v>7681927.1899473108</v>
          </cell>
        </row>
        <row r="138">
          <cell r="B138">
            <v>891</v>
          </cell>
          <cell r="R138">
            <v>28901776.957548451</v>
          </cell>
        </row>
        <row r="139">
          <cell r="B139">
            <v>892</v>
          </cell>
          <cell r="R139">
            <v>13068330.089471266</v>
          </cell>
        </row>
        <row r="140">
          <cell r="B140">
            <v>893</v>
          </cell>
          <cell r="R140">
            <v>11933200.237546183</v>
          </cell>
        </row>
        <row r="141">
          <cell r="B141">
            <v>894</v>
          </cell>
          <cell r="R141">
            <v>9156063.4364382438</v>
          </cell>
        </row>
        <row r="142">
          <cell r="B142">
            <v>895</v>
          </cell>
          <cell r="R142">
            <v>16535476.599105094</v>
          </cell>
        </row>
        <row r="143">
          <cell r="B143">
            <v>896</v>
          </cell>
          <cell r="R143">
            <v>16317190.201425629</v>
          </cell>
        </row>
        <row r="144">
          <cell r="B144">
            <v>908</v>
          </cell>
          <cell r="R144">
            <v>18174713.664511234</v>
          </cell>
        </row>
        <row r="145">
          <cell r="B145">
            <v>909</v>
          </cell>
          <cell r="R145">
            <v>19720094.787625886</v>
          </cell>
        </row>
        <row r="146">
          <cell r="B146">
            <v>916</v>
          </cell>
          <cell r="R146">
            <v>25651201.539899588</v>
          </cell>
        </row>
        <row r="147">
          <cell r="B147">
            <v>919</v>
          </cell>
          <cell r="R147">
            <v>45998113.497759625</v>
          </cell>
        </row>
        <row r="148">
          <cell r="B148">
            <v>921</v>
          </cell>
          <cell r="R148">
            <v>6947456.3846826525</v>
          </cell>
        </row>
        <row r="149">
          <cell r="B149">
            <v>925</v>
          </cell>
          <cell r="R149">
            <v>36453765</v>
          </cell>
        </row>
        <row r="150">
          <cell r="B150">
            <v>926</v>
          </cell>
          <cell r="R150">
            <v>34785120.359491892</v>
          </cell>
        </row>
        <row r="151">
          <cell r="B151">
            <v>928</v>
          </cell>
          <cell r="R151">
            <v>30339028.518188607</v>
          </cell>
        </row>
        <row r="152">
          <cell r="B152">
            <v>929</v>
          </cell>
          <cell r="R152">
            <v>14918567.138480818</v>
          </cell>
        </row>
        <row r="153">
          <cell r="B153">
            <v>931</v>
          </cell>
          <cell r="R153">
            <v>25631572.447429925</v>
          </cell>
        </row>
        <row r="154">
          <cell r="B154">
            <v>933</v>
          </cell>
          <cell r="R154">
            <v>22689837.711636487</v>
          </cell>
        </row>
        <row r="155">
          <cell r="B155">
            <v>935</v>
          </cell>
          <cell r="R155">
            <v>26558784.819752611</v>
          </cell>
        </row>
        <row r="156">
          <cell r="B156">
            <v>936</v>
          </cell>
          <cell r="R156">
            <v>64484116.711025029</v>
          </cell>
        </row>
        <row r="157">
          <cell r="B157">
            <v>937</v>
          </cell>
          <cell r="R157">
            <v>26627878.731615312</v>
          </cell>
        </row>
        <row r="158">
          <cell r="B158">
            <v>938</v>
          </cell>
          <cell r="R158">
            <v>34641902.69192607</v>
          </cell>
        </row>
      </sheetData>
      <sheetData sheetId="19">
        <row r="8">
          <cell r="B8">
            <v>9999</v>
          </cell>
          <cell r="F8">
            <v>71745000</v>
          </cell>
          <cell r="J8">
            <v>1</v>
          </cell>
          <cell r="M8">
            <v>28698000</v>
          </cell>
          <cell r="Q8">
            <v>43047000</v>
          </cell>
          <cell r="R8">
            <v>0</v>
          </cell>
          <cell r="T8">
            <v>0</v>
          </cell>
          <cell r="V8">
            <v>0</v>
          </cell>
          <cell r="W8">
            <v>0</v>
          </cell>
          <cell r="Y8">
            <v>0</v>
          </cell>
          <cell r="Z8">
            <v>0</v>
          </cell>
          <cell r="AA8">
            <v>0</v>
          </cell>
          <cell r="AC8">
            <v>0</v>
          </cell>
          <cell r="AD8">
            <v>0</v>
          </cell>
          <cell r="AF8">
            <v>0</v>
          </cell>
          <cell r="AG8">
            <v>0</v>
          </cell>
          <cell r="AI8">
            <v>0</v>
          </cell>
          <cell r="AJ8">
            <v>0</v>
          </cell>
          <cell r="AL8">
            <v>0</v>
          </cell>
          <cell r="AM8">
            <v>0</v>
          </cell>
          <cell r="AO8">
            <v>0</v>
          </cell>
          <cell r="AP8">
            <v>0</v>
          </cell>
          <cell r="AR8">
            <v>0</v>
          </cell>
          <cell r="AS8">
            <v>0</v>
          </cell>
          <cell r="AU8">
            <v>0</v>
          </cell>
          <cell r="AV8">
            <v>0</v>
          </cell>
          <cell r="AX8">
            <v>0</v>
          </cell>
          <cell r="AY8">
            <v>0</v>
          </cell>
          <cell r="BA8">
            <v>0</v>
          </cell>
          <cell r="BB8">
            <v>0</v>
          </cell>
          <cell r="BD8">
            <v>0</v>
          </cell>
          <cell r="BE8">
            <v>0</v>
          </cell>
          <cell r="BR8">
            <v>0</v>
          </cell>
        </row>
        <row r="9">
          <cell r="B9">
            <v>202</v>
          </cell>
          <cell r="F9">
            <v>32623606.790891845</v>
          </cell>
          <cell r="J9">
            <v>1.205632878027378</v>
          </cell>
          <cell r="M9">
            <v>1615548.0565566865</v>
          </cell>
          <cell r="Q9">
            <v>1002000</v>
          </cell>
          <cell r="R9">
            <v>2497249.1249999991</v>
          </cell>
          <cell r="T9">
            <v>14254897.775693763</v>
          </cell>
          <cell r="V9">
            <v>54549.750529045574</v>
          </cell>
          <cell r="W9">
            <v>6377378.4107361147</v>
          </cell>
          <cell r="Y9">
            <v>6936.0059472915054</v>
          </cell>
          <cell r="Z9">
            <v>1643397.7702561233</v>
          </cell>
          <cell r="AA9">
            <v>2086927.9776048535</v>
          </cell>
          <cell r="AC9">
            <v>4869.5511943525798</v>
          </cell>
          <cell r="AD9">
            <v>164554.84011304125</v>
          </cell>
          <cell r="AF9">
            <v>5190.2495399078625</v>
          </cell>
          <cell r="AG9">
            <v>228596.68959386798</v>
          </cell>
          <cell r="AI9">
            <v>4335.4558293864511</v>
          </cell>
          <cell r="AJ9">
            <v>260684.09544816139</v>
          </cell>
          <cell r="AL9">
            <v>5984.7616065279044</v>
          </cell>
          <cell r="AM9">
            <v>384688.97266753385</v>
          </cell>
          <cell r="AO9">
            <v>9933.2092820675662</v>
          </cell>
          <cell r="AP9">
            <v>699863.61509410664</v>
          </cell>
          <cell r="AR9">
            <v>3637.3943930085993</v>
          </cell>
          <cell r="AS9">
            <v>348539.7646881424</v>
          </cell>
          <cell r="AU9">
            <v>417.14897579747276</v>
          </cell>
          <cell r="AV9">
            <v>1265498.0836838807</v>
          </cell>
          <cell r="AX9">
            <v>1338.2524946103895</v>
          </cell>
          <cell r="AY9">
            <v>709827.77087697235</v>
          </cell>
          <cell r="BA9">
            <v>358.07296477413126</v>
          </cell>
          <cell r="BB9">
            <v>569036.8519561498</v>
          </cell>
          <cell r="BD9">
            <v>456.93486077237623</v>
          </cell>
          <cell r="BE9">
            <v>601844.96852729598</v>
          </cell>
          <cell r="BR9">
            <v>1744885.243470747</v>
          </cell>
          <cell r="BS9">
            <v>0</v>
          </cell>
        </row>
        <row r="10">
          <cell r="B10">
            <v>203</v>
          </cell>
          <cell r="F10">
            <v>42861757.545342177</v>
          </cell>
          <cell r="J10">
            <v>1.205632878027378</v>
          </cell>
          <cell r="M10">
            <v>2473958.6657121796</v>
          </cell>
          <cell r="Q10">
            <v>198000</v>
          </cell>
          <cell r="R10">
            <v>465748.15499999997</v>
          </cell>
          <cell r="T10">
            <v>20821049.18214291</v>
          </cell>
          <cell r="V10">
            <v>75105.929747193339</v>
          </cell>
          <cell r="W10">
            <v>8780588.9164053444</v>
          </cell>
          <cell r="Y10">
            <v>8954.2353851093358</v>
          </cell>
          <cell r="Z10">
            <v>2121591.3853106597</v>
          </cell>
          <cell r="AA10">
            <v>2843369.6881408142</v>
          </cell>
          <cell r="AC10">
            <v>11379.96873570042</v>
          </cell>
          <cell r="AD10">
            <v>384558.83531245257</v>
          </cell>
          <cell r="AF10">
            <v>12514.469273924184</v>
          </cell>
          <cell r="AG10">
            <v>551180.8682890475</v>
          </cell>
          <cell r="AI10">
            <v>11965.906314421727</v>
          </cell>
          <cell r="AJ10">
            <v>719491.00314877694</v>
          </cell>
          <cell r="AL10">
            <v>11340.182850725518</v>
          </cell>
          <cell r="AM10">
            <v>728925.15650902968</v>
          </cell>
          <cell r="AO10">
            <v>6517.651338616005</v>
          </cell>
          <cell r="AP10">
            <v>459213.82488150755</v>
          </cell>
          <cell r="AR10">
            <v>0</v>
          </cell>
          <cell r="AS10">
            <v>0</v>
          </cell>
          <cell r="AU10">
            <v>572.67561706300455</v>
          </cell>
          <cell r="AV10">
            <v>1737316.7333810504</v>
          </cell>
          <cell r="AX10">
            <v>2519.7727150772198</v>
          </cell>
          <cell r="AY10">
            <v>1336522.5595791643</v>
          </cell>
          <cell r="BA10">
            <v>648.6304883787293</v>
          </cell>
          <cell r="BB10">
            <v>1030780.5601091196</v>
          </cell>
          <cell r="BD10">
            <v>799.33459813215154</v>
          </cell>
          <cell r="BE10">
            <v>1052831.6995609426</v>
          </cell>
          <cell r="BR10">
            <v>2699412.0611947775</v>
          </cell>
          <cell r="BS10">
            <v>0</v>
          </cell>
        </row>
        <row r="11">
          <cell r="B11">
            <v>204</v>
          </cell>
          <cell r="F11">
            <v>40714619.757255614</v>
          </cell>
          <cell r="J11">
            <v>1.205632878027378</v>
          </cell>
          <cell r="M11">
            <v>2826003.466096174</v>
          </cell>
          <cell r="Q11">
            <v>-822000</v>
          </cell>
          <cell r="R11">
            <v>0</v>
          </cell>
          <cell r="T11">
            <v>19442307.490913831</v>
          </cell>
          <cell r="V11">
            <v>69152.78104036022</v>
          </cell>
          <cell r="W11">
            <v>8084609.894124683</v>
          </cell>
          <cell r="Y11">
            <v>12182.920232466655</v>
          </cell>
          <cell r="Z11">
            <v>2886586.9056906179</v>
          </cell>
          <cell r="AA11">
            <v>3277575.0868839892</v>
          </cell>
          <cell r="AC11">
            <v>7714.8447864971913</v>
          </cell>
          <cell r="AD11">
            <v>260704.73431130248</v>
          </cell>
          <cell r="AF11">
            <v>8289.9316693162509</v>
          </cell>
          <cell r="AG11">
            <v>365117.50003424764</v>
          </cell>
          <cell r="AI11">
            <v>6025.7531243808353</v>
          </cell>
          <cell r="AJ11">
            <v>362318.99584257806</v>
          </cell>
          <cell r="AL11">
            <v>13869.600628826956</v>
          </cell>
          <cell r="AM11">
            <v>891511.26945352729</v>
          </cell>
          <cell r="AO11">
            <v>16699.220993557214</v>
          </cell>
          <cell r="AP11">
            <v>1176576.153983308</v>
          </cell>
          <cell r="AR11">
            <v>2309.9925943004559</v>
          </cell>
          <cell r="AS11">
            <v>221346.43325902577</v>
          </cell>
          <cell r="AU11">
            <v>618.48966642804487</v>
          </cell>
          <cell r="AV11">
            <v>1876302.0720515342</v>
          </cell>
          <cell r="AX11">
            <v>2290.7024682520182</v>
          </cell>
          <cell r="AY11">
            <v>1215020.508708331</v>
          </cell>
          <cell r="BA11">
            <v>637.77979247648295</v>
          </cell>
          <cell r="BB11">
            <v>1013537.0191407516</v>
          </cell>
          <cell r="BD11">
            <v>694.44453774376973</v>
          </cell>
          <cell r="BE11">
            <v>914677.31364570581</v>
          </cell>
          <cell r="BR11">
            <v>969101.25819757581</v>
          </cell>
          <cell r="BS11">
            <v>0</v>
          </cell>
        </row>
        <row r="12">
          <cell r="B12">
            <v>205</v>
          </cell>
          <cell r="F12">
            <v>21131483.236568201</v>
          </cell>
          <cell r="J12">
            <v>1.205632878027378</v>
          </cell>
          <cell r="M12">
            <v>2228009.5585945942</v>
          </cell>
          <cell r="Q12">
            <v>1596000</v>
          </cell>
          <cell r="R12">
            <v>301499.99999999994</v>
          </cell>
          <cell r="T12">
            <v>7977995.2207027022</v>
          </cell>
          <cell r="V12">
            <v>38266.818895043813</v>
          </cell>
          <cell r="W12">
            <v>4473750.7010019887</v>
          </cell>
          <cell r="Y12">
            <v>4611.5457584547203</v>
          </cell>
          <cell r="Z12">
            <v>1092646.701065474</v>
          </cell>
          <cell r="AA12">
            <v>1391799.4692048354</v>
          </cell>
          <cell r="AC12">
            <v>2969.4737785814318</v>
          </cell>
          <cell r="AD12">
            <v>100346.26669928708</v>
          </cell>
          <cell r="AF12">
            <v>2719.9077728297648</v>
          </cell>
          <cell r="AG12">
            <v>119794.22339692593</v>
          </cell>
          <cell r="AI12">
            <v>3243.1524418936465</v>
          </cell>
          <cell r="AJ12">
            <v>195005.62201211182</v>
          </cell>
          <cell r="AL12">
            <v>4489.7768377739558</v>
          </cell>
          <cell r="AM12">
            <v>288594.22526468494</v>
          </cell>
          <cell r="AO12">
            <v>5930.508127016672</v>
          </cell>
          <cell r="AP12">
            <v>417845.50584390224</v>
          </cell>
          <cell r="AR12">
            <v>2819.975301706037</v>
          </cell>
          <cell r="AS12">
            <v>270213.62598792347</v>
          </cell>
          <cell r="AU12">
            <v>267.65049892207793</v>
          </cell>
          <cell r="AV12">
            <v>811966.97854861722</v>
          </cell>
          <cell r="AX12">
            <v>855.99934339943832</v>
          </cell>
          <cell r="AY12">
            <v>454033.97956995526</v>
          </cell>
          <cell r="BA12">
            <v>251.97727150772198</v>
          </cell>
          <cell r="BB12">
            <v>400433.34026543866</v>
          </cell>
          <cell r="BD12">
            <v>306.23075101895398</v>
          </cell>
          <cell r="BE12">
            <v>403347.28761459939</v>
          </cell>
          <cell r="BR12">
            <v>0</v>
          </cell>
          <cell r="BS12">
            <v>-463990.75433658436</v>
          </cell>
        </row>
        <row r="13">
          <cell r="B13">
            <v>206</v>
          </cell>
          <cell r="F13">
            <v>27506559.407660317</v>
          </cell>
          <cell r="J13">
            <v>1.205632878027378</v>
          </cell>
          <cell r="M13">
            <v>1924190.0733316953</v>
          </cell>
          <cell r="Q13">
            <v>-312000</v>
          </cell>
          <cell r="R13">
            <v>0</v>
          </cell>
          <cell r="T13">
            <v>12795221.669986624</v>
          </cell>
          <cell r="V13">
            <v>46052.140157058966</v>
          </cell>
          <cell r="W13">
            <v>5383927.9108974524</v>
          </cell>
          <cell r="Y13">
            <v>7959.5882607367494</v>
          </cell>
          <cell r="Z13">
            <v>1885922.4890024203</v>
          </cell>
          <cell r="AA13">
            <v>2500356.8144496381</v>
          </cell>
          <cell r="AC13">
            <v>2422.1164519570025</v>
          </cell>
          <cell r="AD13">
            <v>81849.63451029954</v>
          </cell>
          <cell r="AF13">
            <v>4877.9906244987715</v>
          </cell>
          <cell r="AG13">
            <v>214843.71802480597</v>
          </cell>
          <cell r="AI13">
            <v>7081.8875255328185</v>
          </cell>
          <cell r="AJ13">
            <v>425822.6853900167</v>
          </cell>
          <cell r="AL13">
            <v>6917.9214541210949</v>
          </cell>
          <cell r="AM13">
            <v>444670.69403027988</v>
          </cell>
          <cell r="AO13">
            <v>12169.658270808353</v>
          </cell>
          <cell r="AP13">
            <v>857436.98637697706</v>
          </cell>
          <cell r="AR13">
            <v>4964.7961917167422</v>
          </cell>
          <cell r="AS13">
            <v>475733.096117259</v>
          </cell>
          <cell r="AU13">
            <v>412.32644428536327</v>
          </cell>
          <cell r="AV13">
            <v>1250868.0480343562</v>
          </cell>
          <cell r="AX13">
            <v>1615.5480565566866</v>
          </cell>
          <cell r="AY13">
            <v>856909.20087850722</v>
          </cell>
          <cell r="BA13">
            <v>443.67289911407511</v>
          </cell>
          <cell r="BB13">
            <v>705069.23070660979</v>
          </cell>
          <cell r="BD13">
            <v>391.83068535889782</v>
          </cell>
          <cell r="BE13">
            <v>516093.97037301108</v>
          </cell>
          <cell r="BR13">
            <v>244629.06257035956</v>
          </cell>
          <cell r="BS13">
            <v>0</v>
          </cell>
        </row>
        <row r="14">
          <cell r="B14">
            <v>207</v>
          </cell>
          <cell r="F14">
            <v>15270996.371733608</v>
          </cell>
          <cell r="J14">
            <v>1.205632878027378</v>
          </cell>
          <cell r="M14">
            <v>651041.7541347841</v>
          </cell>
          <cell r="Q14">
            <v>192000</v>
          </cell>
          <cell r="R14">
            <v>1472324.9999999998</v>
          </cell>
          <cell r="T14">
            <v>6743805.0384025201</v>
          </cell>
          <cell r="V14">
            <v>31638.483224427619</v>
          </cell>
          <cell r="W14">
            <v>3698835.9782959344</v>
          </cell>
          <cell r="Y14">
            <v>2582.4656247346434</v>
          </cell>
          <cell r="Z14">
            <v>611882.15259666531</v>
          </cell>
          <cell r="AA14">
            <v>700543.08699056914</v>
          </cell>
          <cell r="AC14">
            <v>1691.5029278724112</v>
          </cell>
          <cell r="AD14">
            <v>57160.297271254472</v>
          </cell>
          <cell r="AF14">
            <v>1375.6271138292382</v>
          </cell>
          <cell r="AG14">
            <v>60587.415290732468</v>
          </cell>
          <cell r="AI14">
            <v>2096.5955748896104</v>
          </cell>
          <cell r="AJ14">
            <v>126064.97274314592</v>
          </cell>
          <cell r="AL14">
            <v>1427.4693275844154</v>
          </cell>
          <cell r="AM14">
            <v>91754.984616913775</v>
          </cell>
          <cell r="AO14">
            <v>3729.0224917386799</v>
          </cell>
          <cell r="AP14">
            <v>262735.54575628985</v>
          </cell>
          <cell r="AR14">
            <v>1066.9850970542295</v>
          </cell>
          <cell r="AS14">
            <v>102239.87131223269</v>
          </cell>
          <cell r="AU14">
            <v>191.6956276063531</v>
          </cell>
          <cell r="AV14">
            <v>581543.91706860426</v>
          </cell>
          <cell r="AX14">
            <v>518.42213755177249</v>
          </cell>
          <cell r="AY14">
            <v>274978.32565504336</v>
          </cell>
          <cell r="BA14">
            <v>120.56328780273779</v>
          </cell>
          <cell r="BB14">
            <v>191594.89964853524</v>
          </cell>
          <cell r="BD14">
            <v>115.74075629062828</v>
          </cell>
          <cell r="BE14">
            <v>152446.21894095096</v>
          </cell>
          <cell r="BR14">
            <v>644068.802762907</v>
          </cell>
          <cell r="BS14">
            <v>0</v>
          </cell>
        </row>
        <row r="15">
          <cell r="B15">
            <v>208</v>
          </cell>
          <cell r="F15">
            <v>40091922.758467898</v>
          </cell>
          <cell r="J15">
            <v>1.205632878027378</v>
          </cell>
          <cell r="M15">
            <v>2271412.3422035798</v>
          </cell>
          <cell r="Q15">
            <v>-372000</v>
          </cell>
          <cell r="R15">
            <v>0</v>
          </cell>
          <cell r="T15">
            <v>19484986.659505043</v>
          </cell>
          <cell r="V15">
            <v>70082.507245516768</v>
          </cell>
          <cell r="W15">
            <v>8193303.6236313637</v>
          </cell>
          <cell r="Y15">
            <v>10496.239836106353</v>
          </cell>
          <cell r="Z15">
            <v>2486949.5894054943</v>
          </cell>
          <cell r="AA15">
            <v>3196150.59428391</v>
          </cell>
          <cell r="AC15">
            <v>5350.5987126855034</v>
          </cell>
          <cell r="AD15">
            <v>180810.69086944219</v>
          </cell>
          <cell r="AF15">
            <v>10892.893052977361</v>
          </cell>
          <cell r="AG15">
            <v>479760.99662731634</v>
          </cell>
          <cell r="AI15">
            <v>12317.951114805721</v>
          </cell>
          <cell r="AJ15">
            <v>740658.8996645899</v>
          </cell>
          <cell r="AL15">
            <v>12893.03799762478</v>
          </cell>
          <cell r="AM15">
            <v>828739.70058553724</v>
          </cell>
          <cell r="AO15">
            <v>12596.452309630045</v>
          </cell>
          <cell r="AP15">
            <v>887507.59200184827</v>
          </cell>
          <cell r="AR15">
            <v>821.03598993664434</v>
          </cell>
          <cell r="AS15">
            <v>78672.714535175648</v>
          </cell>
          <cell r="AU15">
            <v>590.76011023341516</v>
          </cell>
          <cell r="AV15">
            <v>1792179.3670667675</v>
          </cell>
          <cell r="AX15">
            <v>2109.8575365479114</v>
          </cell>
          <cell r="AY15">
            <v>1119097.8369681998</v>
          </cell>
          <cell r="BA15">
            <v>624.51783081818178</v>
          </cell>
          <cell r="BB15">
            <v>992461.58017941262</v>
          </cell>
          <cell r="BD15">
            <v>704.08960076798871</v>
          </cell>
          <cell r="BE15">
            <v>927381.16522411839</v>
          </cell>
          <cell r="BR15">
            <v>1346055.4722058475</v>
          </cell>
          <cell r="BS15">
            <v>0</v>
          </cell>
        </row>
        <row r="16">
          <cell r="B16">
            <v>209</v>
          </cell>
          <cell r="F16">
            <v>46410241.813392006</v>
          </cell>
          <cell r="J16">
            <v>1.205632878027378</v>
          </cell>
          <cell r="M16">
            <v>3679591.5437395577</v>
          </cell>
          <cell r="Q16">
            <v>-1251000</v>
          </cell>
          <cell r="R16">
            <v>175233.64046441938</v>
          </cell>
          <cell r="T16">
            <v>23535007.200673085</v>
          </cell>
          <cell r="V16">
            <v>77311.061216294489</v>
          </cell>
          <cell r="W16">
            <v>9038389.5055463072</v>
          </cell>
          <cell r="Y16">
            <v>9295.4294895910843</v>
          </cell>
          <cell r="Z16">
            <v>2202432.9582260926</v>
          </cell>
          <cell r="AA16">
            <v>3403697.1383025786</v>
          </cell>
          <cell r="AC16">
            <v>11712.723410035976</v>
          </cell>
          <cell r="AD16">
            <v>395803.48395597812</v>
          </cell>
          <cell r="AF16">
            <v>15072.82224109828</v>
          </cell>
          <cell r="AG16">
            <v>663859.65465796448</v>
          </cell>
          <cell r="AI16">
            <v>9549.8180268548604</v>
          </cell>
          <cell r="AJ16">
            <v>574215.43938956794</v>
          </cell>
          <cell r="AL16">
            <v>11950.233087007371</v>
          </cell>
          <cell r="AM16">
            <v>768138.01311051485</v>
          </cell>
          <cell r="AO16">
            <v>12613.331169922429</v>
          </cell>
          <cell r="AP16">
            <v>888696.8249926623</v>
          </cell>
          <cell r="AR16">
            <v>1179.1089547107756</v>
          </cell>
          <cell r="AS16">
            <v>112983.72219589104</v>
          </cell>
          <cell r="AU16">
            <v>532.88973208810103</v>
          </cell>
          <cell r="AV16">
            <v>1616618.9392724719</v>
          </cell>
          <cell r="AX16">
            <v>2905.575236045981</v>
          </cell>
          <cell r="AY16">
            <v>1541157.5926247779</v>
          </cell>
          <cell r="BA16">
            <v>752.31491588908386</v>
          </cell>
          <cell r="BB16">
            <v>1195552.1738068601</v>
          </cell>
          <cell r="BD16">
            <v>966.91756817795715</v>
          </cell>
          <cell r="BE16">
            <v>1273561.1207358611</v>
          </cell>
          <cell r="BR16">
            <v>4236575.6912249699</v>
          </cell>
          <cell r="BS16">
            <v>0</v>
          </cell>
        </row>
        <row r="17">
          <cell r="B17">
            <v>210</v>
          </cell>
          <cell r="F17">
            <v>41866560.47983142</v>
          </cell>
          <cell r="J17">
            <v>1.205632878027378</v>
          </cell>
          <cell r="M17">
            <v>2618634.6110754651</v>
          </cell>
          <cell r="Q17">
            <v>-1002000</v>
          </cell>
          <cell r="R17">
            <v>2116437.54</v>
          </cell>
          <cell r="T17">
            <v>19284366.257766299</v>
          </cell>
          <cell r="V17">
            <v>70152.433952442341</v>
          </cell>
          <cell r="W17">
            <v>8201478.7127336236</v>
          </cell>
          <cell r="Y17">
            <v>10564.960910153914</v>
          </cell>
          <cell r="Z17">
            <v>2503232.1676958818</v>
          </cell>
          <cell r="AA17">
            <v>3318128.44739888</v>
          </cell>
          <cell r="AC17">
            <v>3561.4395216928747</v>
          </cell>
          <cell r="AD17">
            <v>120350.33367019653</v>
          </cell>
          <cell r="AF17">
            <v>8289.9316693162509</v>
          </cell>
          <cell r="AG17">
            <v>365117.50003424764</v>
          </cell>
          <cell r="AI17">
            <v>13663.437406684274</v>
          </cell>
          <cell r="AJ17">
            <v>821560.8603209157</v>
          </cell>
          <cell r="AL17">
            <v>18191.794496555107</v>
          </cell>
          <cell r="AM17">
            <v>1169333.5835174089</v>
          </cell>
          <cell r="AO17">
            <v>10992.960581853633</v>
          </cell>
          <cell r="AP17">
            <v>774530.45787450718</v>
          </cell>
          <cell r="AR17">
            <v>701.678335011934</v>
          </cell>
          <cell r="AS17">
            <v>67235.711981603876</v>
          </cell>
          <cell r="AU17">
            <v>525.65593481993676</v>
          </cell>
          <cell r="AV17">
            <v>1594673.8857981851</v>
          </cell>
          <cell r="AX17">
            <v>2338.927783373113</v>
          </cell>
          <cell r="AY17">
            <v>1240599.8878390326</v>
          </cell>
          <cell r="BA17">
            <v>664.3037157930853</v>
          </cell>
          <cell r="BB17">
            <v>1055687.8970634292</v>
          </cell>
          <cell r="BD17">
            <v>710.11776515812562</v>
          </cell>
          <cell r="BE17">
            <v>935321.07246062614</v>
          </cell>
          <cell r="BR17">
            <v>1065196.5828963667</v>
          </cell>
          <cell r="BS17">
            <v>0</v>
          </cell>
        </row>
        <row r="18">
          <cell r="B18">
            <v>211</v>
          </cell>
          <cell r="F18">
            <v>48198056.747221813</v>
          </cell>
          <cell r="J18">
            <v>1.205632878027378</v>
          </cell>
          <cell r="M18">
            <v>2580054.3589785886</v>
          </cell>
          <cell r="Q18">
            <v>690000</v>
          </cell>
          <cell r="R18">
            <v>462299.99999999994</v>
          </cell>
          <cell r="T18">
            <v>21058701.817029938</v>
          </cell>
          <cell r="V18">
            <v>76990.900583002804</v>
          </cell>
          <cell r="W18">
            <v>9000959.7191417888</v>
          </cell>
          <cell r="Y18">
            <v>17727.625838514567</v>
          </cell>
          <cell r="Z18">
            <v>4200333.8803834589</v>
          </cell>
          <cell r="AA18">
            <v>4644018.8389619123</v>
          </cell>
          <cell r="AC18">
            <v>1411.7961001700596</v>
          </cell>
          <cell r="AD18">
            <v>47708.27377379829</v>
          </cell>
          <cell r="AF18">
            <v>2084.5392461093365</v>
          </cell>
          <cell r="AG18">
            <v>91810.37777184615</v>
          </cell>
          <cell r="AI18">
            <v>11062.88728877922</v>
          </cell>
          <cell r="AJ18">
            <v>665193.89872979117</v>
          </cell>
          <cell r="AL18">
            <v>15322.388246849947</v>
          </cell>
          <cell r="AM18">
            <v>984893.66511516669</v>
          </cell>
          <cell r="AO18">
            <v>29773.103922886097</v>
          </cell>
          <cell r="AP18">
            <v>2097722.050582469</v>
          </cell>
          <cell r="AR18">
            <v>7896.8953510793253</v>
          </cell>
          <cell r="AS18">
            <v>756690.57298884075</v>
          </cell>
          <cell r="AU18">
            <v>786.07263647385048</v>
          </cell>
          <cell r="AV18">
            <v>2384695.8108725157</v>
          </cell>
          <cell r="AX18">
            <v>2531.8290438574936</v>
          </cell>
          <cell r="AY18">
            <v>1342917.4043618396</v>
          </cell>
          <cell r="BA18">
            <v>659.48118428097575</v>
          </cell>
          <cell r="BB18">
            <v>1048024.1010774879</v>
          </cell>
          <cell r="BD18">
            <v>596.78827462355207</v>
          </cell>
          <cell r="BE18">
            <v>786050.81641427835</v>
          </cell>
          <cell r="BR18">
            <v>0</v>
          </cell>
          <cell r="BS18">
            <v>0</v>
          </cell>
        </row>
        <row r="19">
          <cell r="B19">
            <v>212</v>
          </cell>
          <cell r="F19">
            <v>39297340.315410674</v>
          </cell>
          <cell r="J19">
            <v>1.205632878027378</v>
          </cell>
          <cell r="M19">
            <v>4258295.3251926992</v>
          </cell>
          <cell r="Q19">
            <v>1536000</v>
          </cell>
          <cell r="R19">
            <v>830106.88499999989</v>
          </cell>
          <cell r="T19">
            <v>17845014.75017057</v>
          </cell>
          <cell r="V19">
            <v>67263.762894979198</v>
          </cell>
          <cell r="W19">
            <v>7863765.9228689903</v>
          </cell>
          <cell r="Y19">
            <v>6180.074132768339</v>
          </cell>
          <cell r="Z19">
            <v>1464289.4090618612</v>
          </cell>
          <cell r="AA19">
            <v>1811047.8094467274</v>
          </cell>
          <cell r="AC19">
            <v>9019.3395605228143</v>
          </cell>
          <cell r="AD19">
            <v>304787.01631236973</v>
          </cell>
          <cell r="AF19">
            <v>7828.1742770317651</v>
          </cell>
          <cell r="AG19">
            <v>344780.09420046094</v>
          </cell>
          <cell r="AI19">
            <v>3948.4476755396627</v>
          </cell>
          <cell r="AJ19">
            <v>237413.90784002462</v>
          </cell>
          <cell r="AL19">
            <v>3260.0313021860302</v>
          </cell>
          <cell r="AM19">
            <v>209548.54594943824</v>
          </cell>
          <cell r="AO19">
            <v>9227.9140484215513</v>
          </cell>
          <cell r="AP19">
            <v>650170.66512080259</v>
          </cell>
          <cell r="AR19">
            <v>671.53751306124957</v>
          </cell>
          <cell r="AS19">
            <v>64347.580023631199</v>
          </cell>
          <cell r="AU19">
            <v>423.17714018760967</v>
          </cell>
          <cell r="AV19">
            <v>1283785.6282457868</v>
          </cell>
          <cell r="AX19">
            <v>1953.1252624043523</v>
          </cell>
          <cell r="AY19">
            <v>1035964.8547934192</v>
          </cell>
          <cell r="BA19">
            <v>432.82220321182871</v>
          </cell>
          <cell r="BB19">
            <v>687825.68973824161</v>
          </cell>
          <cell r="BD19">
            <v>517.21650467374513</v>
          </cell>
          <cell r="BE19">
            <v>681244.04089237459</v>
          </cell>
          <cell r="BR19">
            <v>3712935.26187253</v>
          </cell>
          <cell r="BS19">
            <v>0</v>
          </cell>
        </row>
        <row r="20">
          <cell r="B20">
            <v>213</v>
          </cell>
          <cell r="F20">
            <v>24596886.716618564</v>
          </cell>
          <cell r="J20">
            <v>1.205632878027378</v>
          </cell>
          <cell r="M20">
            <v>1065779.4641762022</v>
          </cell>
          <cell r="Q20">
            <v>-36000</v>
          </cell>
          <cell r="R20">
            <v>449234.99999999994</v>
          </cell>
          <cell r="T20">
            <v>11430465.205362109</v>
          </cell>
          <cell r="V20">
            <v>50568.439712516636</v>
          </cell>
          <cell r="W20">
            <v>5911925.7661040835</v>
          </cell>
          <cell r="Y20">
            <v>5381.9451675142154</v>
          </cell>
          <cell r="Z20">
            <v>1275182.973478765</v>
          </cell>
          <cell r="AA20">
            <v>1974698.9819000873</v>
          </cell>
          <cell r="AC20">
            <v>2723.524671463847</v>
          </cell>
          <cell r="AD20">
            <v>92035.004658420439</v>
          </cell>
          <cell r="AF20">
            <v>3308.256617307125</v>
          </cell>
          <cell r="AG20">
            <v>145707.15824519712</v>
          </cell>
          <cell r="AI20">
            <v>4685.0893640143904</v>
          </cell>
          <cell r="AJ20">
            <v>281707.0063714002</v>
          </cell>
          <cell r="AL20">
            <v>4035.2532427576339</v>
          </cell>
          <cell r="AM20">
            <v>259378.32222365745</v>
          </cell>
          <cell r="AO20">
            <v>10650.560844493857</v>
          </cell>
          <cell r="AP20">
            <v>750406.01720370667</v>
          </cell>
          <cell r="AR20">
            <v>4648.9203776735694</v>
          </cell>
          <cell r="AS20">
            <v>445465.47319770535</v>
          </cell>
          <cell r="AU20">
            <v>379.77435657862407</v>
          </cell>
          <cell r="AV20">
            <v>1152115.3074000648</v>
          </cell>
          <cell r="AX20">
            <v>1036.844275103545</v>
          </cell>
          <cell r="AY20">
            <v>549956.65131008672</v>
          </cell>
          <cell r="BA20">
            <v>295.38005511670758</v>
          </cell>
          <cell r="BB20">
            <v>469407.50413891138</v>
          </cell>
          <cell r="BD20">
            <v>268.85613180010529</v>
          </cell>
          <cell r="BE20">
            <v>354119.86274825066</v>
          </cell>
          <cell r="BR20">
            <v>374816.06072701886</v>
          </cell>
          <cell r="BS20">
            <v>0</v>
          </cell>
        </row>
        <row r="21">
          <cell r="B21">
            <v>301</v>
          </cell>
          <cell r="F21">
            <v>31771064.138449155</v>
          </cell>
          <cell r="J21">
            <v>1.1243577599840504</v>
          </cell>
          <cell r="M21">
            <v>1403198.4844600949</v>
          </cell>
          <cell r="Q21">
            <v>162000</v>
          </cell>
          <cell r="R21">
            <v>0</v>
          </cell>
          <cell r="T21">
            <v>12482620.907457069</v>
          </cell>
          <cell r="V21">
            <v>66851.230544031525</v>
          </cell>
          <cell r="W21">
            <v>7815537.014704451</v>
          </cell>
          <cell r="Y21">
            <v>8361.8486610013824</v>
          </cell>
          <cell r="Z21">
            <v>1981232.9385436843</v>
          </cell>
          <cell r="AA21">
            <v>3221907.8807197707</v>
          </cell>
          <cell r="AC21">
            <v>3971.2316082636662</v>
          </cell>
          <cell r="AD21">
            <v>134198.27747320067</v>
          </cell>
          <cell r="AF21">
            <v>17256.642900235205</v>
          </cell>
          <cell r="AG21">
            <v>760042.73208168731</v>
          </cell>
          <cell r="AI21">
            <v>14550.313771953597</v>
          </cell>
          <cell r="AJ21">
            <v>874887.33212752745</v>
          </cell>
          <cell r="AL21">
            <v>13938.663150522272</v>
          </cell>
          <cell r="AM21">
            <v>895950.47560199292</v>
          </cell>
          <cell r="AO21">
            <v>7903.1106949278901</v>
          </cell>
          <cell r="AP21">
            <v>556829.0634353623</v>
          </cell>
          <cell r="AR21">
            <v>0</v>
          </cell>
          <cell r="AS21">
            <v>0</v>
          </cell>
          <cell r="AU21">
            <v>469.98154367333308</v>
          </cell>
          <cell r="AV21">
            <v>1425775.3881533046</v>
          </cell>
          <cell r="AX21">
            <v>2057.5747007708123</v>
          </cell>
          <cell r="AY21">
            <v>1091366.2923424677</v>
          </cell>
          <cell r="BA21">
            <v>767.93635006910642</v>
          </cell>
          <cell r="BB21">
            <v>1220377.2027906803</v>
          </cell>
          <cell r="BD21">
            <v>734.20561726958488</v>
          </cell>
          <cell r="BE21">
            <v>967048.02927763562</v>
          </cell>
          <cell r="BR21">
            <v>0</v>
          </cell>
          <cell r="BS21">
            <v>-3835630.8500302061</v>
          </cell>
        </row>
        <row r="22">
          <cell r="B22">
            <v>302</v>
          </cell>
          <cell r="F22">
            <v>45076703.430099979</v>
          </cell>
          <cell r="J22">
            <v>1.1116135618035334</v>
          </cell>
          <cell r="M22">
            <v>2667872.5483284802</v>
          </cell>
          <cell r="Q22">
            <v>408000</v>
          </cell>
          <cell r="R22">
            <v>543851.73</v>
          </cell>
          <cell r="T22">
            <v>21625987.189735401</v>
          </cell>
          <cell r="V22">
            <v>97257.153686005971</v>
          </cell>
          <cell r="W22">
            <v>11370275.137674969</v>
          </cell>
          <cell r="Y22">
            <v>7522.288972724511</v>
          </cell>
          <cell r="Z22">
            <v>1782310.0238005221</v>
          </cell>
          <cell r="AA22">
            <v>1679082.4995416407</v>
          </cell>
          <cell r="AC22">
            <v>8282.6326489981275</v>
          </cell>
          <cell r="AD22">
            <v>279891.76761332923</v>
          </cell>
          <cell r="AF22">
            <v>7752.3929800178421</v>
          </cell>
          <cell r="AG22">
            <v>341442.42160932388</v>
          </cell>
          <cell r="AI22">
            <v>7969.1576245695314</v>
          </cell>
          <cell r="AJ22">
            <v>479172.83178473136</v>
          </cell>
          <cell r="AL22">
            <v>5117.868838543468</v>
          </cell>
          <cell r="AM22">
            <v>328966.77180909057</v>
          </cell>
          <cell r="AO22">
            <v>3542.7124214678611</v>
          </cell>
          <cell r="AP22">
            <v>249608.70672516539</v>
          </cell>
          <cell r="AR22">
            <v>0</v>
          </cell>
          <cell r="AS22">
            <v>0</v>
          </cell>
          <cell r="AU22">
            <v>568.03453008160557</v>
          </cell>
          <cell r="AV22">
            <v>1723237.1430621659</v>
          </cell>
          <cell r="AX22">
            <v>2156.5303098988547</v>
          </cell>
          <cell r="AY22">
            <v>1143853.7263102864</v>
          </cell>
          <cell r="BA22">
            <v>663.63329639670951</v>
          </cell>
          <cell r="BB22">
            <v>1054622.4903437553</v>
          </cell>
          <cell r="BD22">
            <v>818.14758148740066</v>
          </cell>
          <cell r="BE22">
            <v>1077610.9413027645</v>
          </cell>
          <cell r="BR22">
            <v>2753636.9618046731</v>
          </cell>
          <cell r="BS22">
            <v>0</v>
          </cell>
        </row>
        <row r="23">
          <cell r="B23">
            <v>303</v>
          </cell>
          <cell r="F23">
            <v>29671130.578657221</v>
          </cell>
          <cell r="J23">
            <v>1.0870826162281</v>
          </cell>
          <cell r="M23">
            <v>2595953.2875527027</v>
          </cell>
          <cell r="Q23">
            <v>-1062000</v>
          </cell>
          <cell r="R23">
            <v>296474.99999999994</v>
          </cell>
          <cell r="T23">
            <v>14693851.967200447</v>
          </cell>
          <cell r="V23">
            <v>60186.589947296648</v>
          </cell>
          <cell r="W23">
            <v>7036377.9049977744</v>
          </cell>
          <cell r="Y23">
            <v>4653.8006800724961</v>
          </cell>
          <cell r="Z23">
            <v>1102658.4635259886</v>
          </cell>
          <cell r="AA23">
            <v>1243121.594509772</v>
          </cell>
          <cell r="AC23">
            <v>6695.341833348868</v>
          </cell>
          <cell r="AD23">
            <v>226253.06951626786</v>
          </cell>
          <cell r="AF23">
            <v>7275.8439504146736</v>
          </cell>
          <cell r="AG23">
            <v>320453.54048543319</v>
          </cell>
          <cell r="AI23">
            <v>5589.7788126448904</v>
          </cell>
          <cell r="AJ23">
            <v>336104.55068016401</v>
          </cell>
          <cell r="AL23">
            <v>4546.1795010659143</v>
          </cell>
          <cell r="AM23">
            <v>292219.68004868663</v>
          </cell>
          <cell r="AO23">
            <v>966.41644582678089</v>
          </cell>
          <cell r="AP23">
            <v>68090.753779220351</v>
          </cell>
          <cell r="AR23">
            <v>0</v>
          </cell>
          <cell r="AS23">
            <v>0</v>
          </cell>
          <cell r="AU23">
            <v>334.82144579825479</v>
          </cell>
          <cell r="AV23">
            <v>1015742.3908902829</v>
          </cell>
          <cell r="AX23">
            <v>2000.232013859704</v>
          </cell>
          <cell r="AY23">
            <v>1060950.9321693054</v>
          </cell>
          <cell r="BA23">
            <v>483.75176422150452</v>
          </cell>
          <cell r="BB23">
            <v>768761.14122292819</v>
          </cell>
          <cell r="BD23">
            <v>697.90703961844019</v>
          </cell>
          <cell r="BE23">
            <v>919237.89658801898</v>
          </cell>
          <cell r="BR23">
            <v>2147674.5519008823</v>
          </cell>
          <cell r="BS23">
            <v>0</v>
          </cell>
        </row>
        <row r="24">
          <cell r="B24">
            <v>304</v>
          </cell>
          <cell r="F24">
            <v>47663756.928771913</v>
          </cell>
          <cell r="J24">
            <v>1.1488887055594839</v>
          </cell>
          <cell r="M24">
            <v>3529386.1034787344</v>
          </cell>
          <cell r="Q24">
            <v>-1770000</v>
          </cell>
          <cell r="R24">
            <v>0</v>
          </cell>
          <cell r="T24">
            <v>25971945.224596709</v>
          </cell>
          <cell r="V24">
            <v>82169.54273256223</v>
          </cell>
          <cell r="W24">
            <v>9606391.6472666152</v>
          </cell>
          <cell r="Y24">
            <v>7725.1276561819695</v>
          </cell>
          <cell r="Z24">
            <v>1830370.0518121538</v>
          </cell>
          <cell r="AA24">
            <v>2794575.4898174615</v>
          </cell>
          <cell r="AC24">
            <v>12726.240191482402</v>
          </cell>
          <cell r="AD24">
            <v>430052.86039054999</v>
          </cell>
          <cell r="AF24">
            <v>7391.9499315697194</v>
          </cell>
          <cell r="AG24">
            <v>325567.25278963248</v>
          </cell>
          <cell r="AI24">
            <v>8239.8297962726174</v>
          </cell>
          <cell r="AJ24">
            <v>495447.92096108542</v>
          </cell>
          <cell r="AL24">
            <v>12054.140298730104</v>
          </cell>
          <cell r="AM24">
            <v>774816.9689584414</v>
          </cell>
          <cell r="AO24">
            <v>9042.903001458697</v>
          </cell>
          <cell r="AP24">
            <v>637135.35130802274</v>
          </cell>
          <cell r="AR24">
            <v>1372.9220031435832</v>
          </cell>
          <cell r="AS24">
            <v>131555.13540972961</v>
          </cell>
          <cell r="AU24">
            <v>641.07989770219194</v>
          </cell>
          <cell r="AV24">
            <v>1944833.6903606928</v>
          </cell>
          <cell r="AX24">
            <v>2148.421879396235</v>
          </cell>
          <cell r="AY24">
            <v>1139552.9017856431</v>
          </cell>
          <cell r="BA24">
            <v>880.04874845856466</v>
          </cell>
          <cell r="BB24">
            <v>1398542.2488031122</v>
          </cell>
          <cell r="BD24">
            <v>924.85540797538454</v>
          </cell>
          <cell r="BE24">
            <v>1218159.5708507933</v>
          </cell>
          <cell r="BR24">
            <v>6992252.3958569393</v>
          </cell>
          <cell r="BS24">
            <v>0</v>
          </cell>
        </row>
        <row r="25">
          <cell r="B25">
            <v>305</v>
          </cell>
          <cell r="F25">
            <v>40076304.37288028</v>
          </cell>
          <cell r="J25">
            <v>1.0870826162281</v>
          </cell>
          <cell r="M25">
            <v>3304731.1533334241</v>
          </cell>
          <cell r="Q25">
            <v>201000</v>
          </cell>
          <cell r="R25">
            <v>703499.99999999988</v>
          </cell>
          <cell r="T25">
            <v>20658861.913706578</v>
          </cell>
          <cell r="V25">
            <v>76637.125275948434</v>
          </cell>
          <cell r="W25">
            <v>8959600.0615158789</v>
          </cell>
          <cell r="Y25">
            <v>4534.2215922874047</v>
          </cell>
          <cell r="Z25">
            <v>1074325.7302889272</v>
          </cell>
          <cell r="AA25">
            <v>1254850.0593297251</v>
          </cell>
          <cell r="AC25">
            <v>2477.4612823838397</v>
          </cell>
          <cell r="AD25">
            <v>83719.880731867903</v>
          </cell>
          <cell r="AF25">
            <v>5174.5132532457555</v>
          </cell>
          <cell r="AG25">
            <v>227903.6086524222</v>
          </cell>
          <cell r="AI25">
            <v>3624.3334425044854</v>
          </cell>
          <cell r="AJ25">
            <v>217925.43212128876</v>
          </cell>
          <cell r="AL25">
            <v>3162.3233306075426</v>
          </cell>
          <cell r="AM25">
            <v>203268.06534233128</v>
          </cell>
          <cell r="AO25">
            <v>6445.3128316164048</v>
          </cell>
          <cell r="AP25">
            <v>454117.07441731996</v>
          </cell>
          <cell r="AR25">
            <v>708.77786578072119</v>
          </cell>
          <cell r="AS25">
            <v>67915.998064494823</v>
          </cell>
          <cell r="AU25">
            <v>311.99271085746471</v>
          </cell>
          <cell r="AV25">
            <v>946487.22787503665</v>
          </cell>
          <cell r="AX25">
            <v>2369.8401033772579</v>
          </cell>
          <cell r="AY25">
            <v>1256996.2131136335</v>
          </cell>
          <cell r="BA25">
            <v>570.7183735197525</v>
          </cell>
          <cell r="BB25">
            <v>906965.39133042085</v>
          </cell>
          <cell r="BD25">
            <v>614.20167816887647</v>
          </cell>
          <cell r="BE25">
            <v>808986.62238665216</v>
          </cell>
          <cell r="BR25">
            <v>6263920.2325421572</v>
          </cell>
          <cell r="BS25">
            <v>0</v>
          </cell>
        </row>
        <row r="26">
          <cell r="B26">
            <v>306</v>
          </cell>
          <cell r="F26">
            <v>54090769.483261205</v>
          </cell>
          <cell r="J26">
            <v>1.0870826162281</v>
          </cell>
          <cell r="M26">
            <v>4413555.4218860865</v>
          </cell>
          <cell r="Q26">
            <v>-1884000</v>
          </cell>
          <cell r="R26">
            <v>386924.99999999994</v>
          </cell>
          <cell r="T26">
            <v>27331468.033088908</v>
          </cell>
          <cell r="V26">
            <v>98407.42331453065</v>
          </cell>
          <cell r="W26">
            <v>11504752.465698177</v>
          </cell>
          <cell r="Y26">
            <v>11638.306489338038</v>
          </cell>
          <cell r="Z26">
            <v>2757547.6548725143</v>
          </cell>
          <cell r="AA26">
            <v>2937543.177186165</v>
          </cell>
          <cell r="AC26">
            <v>14014.669088412666</v>
          </cell>
          <cell r="AD26">
            <v>473592.23448672268</v>
          </cell>
          <cell r="AF26">
            <v>18159.71510409041</v>
          </cell>
          <cell r="AG26">
            <v>799817.18120561191</v>
          </cell>
          <cell r="AI26">
            <v>10755.595404960821</v>
          </cell>
          <cell r="AJ26">
            <v>646716.92423756176</v>
          </cell>
          <cell r="AL26">
            <v>11131.725990175744</v>
          </cell>
          <cell r="AM26">
            <v>715525.9501909496</v>
          </cell>
          <cell r="AO26">
            <v>3683.0359037808025</v>
          </cell>
          <cell r="AP26">
            <v>259495.4710956114</v>
          </cell>
          <cell r="AR26">
            <v>442.44262480483667</v>
          </cell>
          <cell r="AS26">
            <v>42395.415969707654</v>
          </cell>
          <cell r="AU26">
            <v>640.29166095835092</v>
          </cell>
          <cell r="AV26">
            <v>1942442.4293323921</v>
          </cell>
          <cell r="AX26">
            <v>3011.2188469518369</v>
          </cell>
          <cell r="AY26">
            <v>1597192.4359287908</v>
          </cell>
          <cell r="BA26">
            <v>996.85475908116769</v>
          </cell>
          <cell r="BB26">
            <v>1584166.2168571351</v>
          </cell>
          <cell r="BD26">
            <v>1153.3946558180141</v>
          </cell>
          <cell r="BE26">
            <v>1519176.6484110409</v>
          </cell>
          <cell r="BR26">
            <v>4489254.8663302362</v>
          </cell>
          <cell r="BS26">
            <v>0</v>
          </cell>
        </row>
        <row r="27">
          <cell r="B27">
            <v>307</v>
          </cell>
          <cell r="F27">
            <v>47550702.776929066</v>
          </cell>
          <cell r="J27">
            <v>1.1488887055594839</v>
          </cell>
          <cell r="M27">
            <v>3828097.1669242005</v>
          </cell>
          <cell r="Q27">
            <v>-996000</v>
          </cell>
          <cell r="R27">
            <v>0</v>
          </cell>
          <cell r="T27">
            <v>24611109.320390295</v>
          </cell>
          <cell r="V27">
            <v>88266.909935154355</v>
          </cell>
          <cell r="W27">
            <v>10319231.166843092</v>
          </cell>
          <cell r="Y27">
            <v>8728.1074961353988</v>
          </cell>
          <cell r="Z27">
            <v>2068013.2783487407</v>
          </cell>
          <cell r="AA27">
            <v>2482274.7077945326</v>
          </cell>
          <cell r="AC27">
            <v>15069.973150823749</v>
          </cell>
          <cell r="AD27">
            <v>509253.71217322774</v>
          </cell>
          <cell r="AF27">
            <v>12004.738084391047</v>
          </cell>
          <cell r="AG27">
            <v>528730.52912633959</v>
          </cell>
          <cell r="AI27">
            <v>8522.4564178402507</v>
          </cell>
          <cell r="AJ27">
            <v>512441.81228239427</v>
          </cell>
          <cell r="AL27">
            <v>6810.6122465566204</v>
          </cell>
          <cell r="AM27">
            <v>437773.06442867336</v>
          </cell>
          <cell r="AO27">
            <v>5703.0835343972776</v>
          </cell>
          <cell r="AP27">
            <v>401821.86302795389</v>
          </cell>
          <cell r="AR27">
            <v>962.76873525884753</v>
          </cell>
          <cell r="AS27">
            <v>92253.726755944299</v>
          </cell>
          <cell r="AU27">
            <v>558.35991090190919</v>
          </cell>
          <cell r="AV27">
            <v>1693887.4077335068</v>
          </cell>
          <cell r="AX27">
            <v>2056.5107829514759</v>
          </cell>
          <cell r="AY27">
            <v>1090801.9755060433</v>
          </cell>
          <cell r="BA27">
            <v>846.73097599733956</v>
          </cell>
          <cell r="BB27">
            <v>1345594.8268510362</v>
          </cell>
          <cell r="BD27">
            <v>840.98653246954223</v>
          </cell>
          <cell r="BE27">
            <v>1107692.9265376157</v>
          </cell>
          <cell r="BR27">
            <v>5239398.2956649736</v>
          </cell>
          <cell r="BS27">
            <v>0</v>
          </cell>
        </row>
        <row r="28">
          <cell r="B28">
            <v>308</v>
          </cell>
          <cell r="F28">
            <v>45640897.456678897</v>
          </cell>
          <cell r="J28">
            <v>1.0870826162281</v>
          </cell>
          <cell r="M28">
            <v>3148191.2565965778</v>
          </cell>
          <cell r="Q28">
            <v>-1452000</v>
          </cell>
          <cell r="R28">
            <v>390794.24999999994</v>
          </cell>
          <cell r="T28">
            <v>21031081.924054604</v>
          </cell>
          <cell r="V28">
            <v>87465.735671910807</v>
          </cell>
          <cell r="W28">
            <v>10225566.367277669</v>
          </cell>
          <cell r="Y28">
            <v>10108.781248305102</v>
          </cell>
          <cell r="Z28">
            <v>2395146.2397402865</v>
          </cell>
          <cell r="AA28">
            <v>3883730.1223592972</v>
          </cell>
          <cell r="AC28">
            <v>6810.5725906690468</v>
          </cell>
          <cell r="AD28">
            <v>230147.01745728496</v>
          </cell>
          <cell r="AF28">
            <v>8091.1559125857484</v>
          </cell>
          <cell r="AG28">
            <v>356362.72252100386</v>
          </cell>
          <cell r="AI28">
            <v>8024.8438729958343</v>
          </cell>
          <cell r="AJ28">
            <v>482521.15774425719</v>
          </cell>
          <cell r="AL28">
            <v>16517.133270969753</v>
          </cell>
          <cell r="AM28">
            <v>1061689.578828251</v>
          </cell>
          <cell r="AO28">
            <v>23227.694260945813</v>
          </cell>
          <cell r="AP28">
            <v>1636552.4589433086</v>
          </cell>
          <cell r="AR28">
            <v>1215.3583649430159</v>
          </cell>
          <cell r="AS28">
            <v>116457.18686519204</v>
          </cell>
          <cell r="AU28">
            <v>625.07250433115746</v>
          </cell>
          <cell r="AV28">
            <v>1896272.3206555611</v>
          </cell>
          <cell r="AX28">
            <v>2108.9402754825142</v>
          </cell>
          <cell r="AY28">
            <v>1118611.3089176372</v>
          </cell>
          <cell r="BA28">
            <v>1008.8126678596768</v>
          </cell>
          <cell r="BB28">
            <v>1603169.3012469152</v>
          </cell>
          <cell r="BD28">
            <v>1063.1667986710818</v>
          </cell>
          <cell r="BE28">
            <v>1400334.3658303467</v>
          </cell>
          <cell r="BR28">
            <v>0</v>
          </cell>
          <cell r="BS28">
            <v>0</v>
          </cell>
        </row>
        <row r="29">
          <cell r="B29">
            <v>309</v>
          </cell>
          <cell r="F29">
            <v>35821505.009968452</v>
          </cell>
          <cell r="J29">
            <v>1.1243577599840504</v>
          </cell>
          <cell r="M29">
            <v>1785480.1228546721</v>
          </cell>
          <cell r="Q29">
            <v>444000</v>
          </cell>
          <cell r="R29">
            <v>321599.99999999994</v>
          </cell>
          <cell r="T29">
            <v>16458947.773077577</v>
          </cell>
          <cell r="V29">
            <v>62481.144263991111</v>
          </cell>
          <cell r="W29">
            <v>7304632.8652795274</v>
          </cell>
          <cell r="Y29">
            <v>7962.7016562070448</v>
          </cell>
          <cell r="Z29">
            <v>1886660.1681815751</v>
          </cell>
          <cell r="AA29">
            <v>2711532.3438470019</v>
          </cell>
          <cell r="AC29">
            <v>3772.2202847464891</v>
          </cell>
          <cell r="AD29">
            <v>127473.1656066218</v>
          </cell>
          <cell r="AF29">
            <v>5027.0035448886892</v>
          </cell>
          <cell r="AG29">
            <v>221406.76668863851</v>
          </cell>
          <cell r="AI29">
            <v>8610.331725957858</v>
          </cell>
          <cell r="AJ29">
            <v>517725.61544182093</v>
          </cell>
          <cell r="AL29">
            <v>12924.49245101666</v>
          </cell>
          <cell r="AM29">
            <v>830761.53239049052</v>
          </cell>
          <cell r="AO29">
            <v>11560.646488156006</v>
          </cell>
          <cell r="AP29">
            <v>814527.87455433141</v>
          </cell>
          <cell r="AR29">
            <v>2083.4349292504453</v>
          </cell>
          <cell r="AS29">
            <v>199637.38916509898</v>
          </cell>
          <cell r="AU29">
            <v>557.681448952089</v>
          </cell>
          <cell r="AV29">
            <v>1691829.1687177967</v>
          </cell>
          <cell r="AX29">
            <v>1787.7288383746402</v>
          </cell>
          <cell r="AY29">
            <v>948236.28678935731</v>
          </cell>
          <cell r="BA29">
            <v>734.20561726958488</v>
          </cell>
          <cell r="BB29">
            <v>1166773.5189199329</v>
          </cell>
          <cell r="BD29">
            <v>836.52217342813356</v>
          </cell>
          <cell r="BE29">
            <v>1101812.7623010122</v>
          </cell>
          <cell r="BR29">
            <v>0</v>
          </cell>
          <cell r="BS29">
            <v>0</v>
          </cell>
        </row>
        <row r="30">
          <cell r="B30">
            <v>310</v>
          </cell>
          <cell r="F30">
            <v>29301198.258326769</v>
          </cell>
          <cell r="J30">
            <v>1.1116135618035334</v>
          </cell>
          <cell r="M30">
            <v>2334388.4797874205</v>
          </cell>
          <cell r="Q30">
            <v>-72000</v>
          </cell>
          <cell r="R30">
            <v>92459.999999999985</v>
          </cell>
          <cell r="T30">
            <v>14670609.103239248</v>
          </cell>
          <cell r="V30">
            <v>61692.931947523</v>
          </cell>
          <cell r="W30">
            <v>7212483.4390884116</v>
          </cell>
          <cell r="Y30">
            <v>3847.2945374020292</v>
          </cell>
          <cell r="Z30">
            <v>911567.16305210674</v>
          </cell>
          <cell r="AA30">
            <v>785768.56987229316</v>
          </cell>
          <cell r="AC30">
            <v>6132.7720204700936</v>
          </cell>
          <cell r="AD30">
            <v>207242.36772550494</v>
          </cell>
          <cell r="AF30">
            <v>7649.0129187701132</v>
          </cell>
          <cell r="AG30">
            <v>336889.20319669589</v>
          </cell>
          <cell r="AI30">
            <v>1209.4355552422444</v>
          </cell>
          <cell r="AJ30">
            <v>72721.445247843178</v>
          </cell>
          <cell r="AL30">
            <v>1347.2756369058825</v>
          </cell>
          <cell r="AM30">
            <v>86600.288321593776</v>
          </cell>
          <cell r="AO30">
            <v>1168.3058534555137</v>
          </cell>
          <cell r="AP30">
            <v>82315.265380655415</v>
          </cell>
          <cell r="AR30">
            <v>0</v>
          </cell>
          <cell r="AS30">
            <v>0</v>
          </cell>
          <cell r="AU30">
            <v>366.83247539516606</v>
          </cell>
          <cell r="AV30">
            <v>1112853.7323102052</v>
          </cell>
          <cell r="AX30">
            <v>1433.9814947265581</v>
          </cell>
          <cell r="AY30">
            <v>760603.76646405645</v>
          </cell>
          <cell r="BA30">
            <v>534.68612322749959</v>
          </cell>
          <cell r="BB30">
            <v>849704.21751314274</v>
          </cell>
          <cell r="BD30">
            <v>487.99835363175117</v>
          </cell>
          <cell r="BE30">
            <v>642759.78699988255</v>
          </cell>
          <cell r="BR30">
            <v>2957815.3315388262</v>
          </cell>
          <cell r="BS30">
            <v>0</v>
          </cell>
        </row>
        <row r="31">
          <cell r="B31">
            <v>311</v>
          </cell>
          <cell r="F31">
            <v>24443581.362914413</v>
          </cell>
          <cell r="J31">
            <v>1.0870826162281</v>
          </cell>
          <cell r="M31">
            <v>1361027.4355175812</v>
          </cell>
          <cell r="Q31">
            <v>-270000</v>
          </cell>
          <cell r="R31">
            <v>78540.749999999985</v>
          </cell>
          <cell r="T31">
            <v>10603814.177797958</v>
          </cell>
          <cell r="V31">
            <v>58257.565106047732</v>
          </cell>
          <cell r="W31">
            <v>6810856.775074291</v>
          </cell>
          <cell r="Y31">
            <v>4926.6584167457495</v>
          </cell>
          <cell r="Z31">
            <v>1167308.6093669189</v>
          </cell>
          <cell r="AA31">
            <v>1329245.5689973882</v>
          </cell>
          <cell r="AC31">
            <v>8349.8815752480368</v>
          </cell>
          <cell r="AD31">
            <v>282164.28429200413</v>
          </cell>
          <cell r="AF31">
            <v>6226.8092257545568</v>
          </cell>
          <cell r="AG31">
            <v>274250.39293299883</v>
          </cell>
          <cell r="AI31">
            <v>4789.6860071010087</v>
          </cell>
          <cell r="AJ31">
            <v>287996.23693053337</v>
          </cell>
          <cell r="AL31">
            <v>4263.5380208466086</v>
          </cell>
          <cell r="AM31">
            <v>274052.0289696196</v>
          </cell>
          <cell r="AO31">
            <v>2991.6513598597312</v>
          </cell>
          <cell r="AP31">
            <v>210782.62587223217</v>
          </cell>
          <cell r="AR31">
            <v>0</v>
          </cell>
          <cell r="AS31">
            <v>0</v>
          </cell>
          <cell r="AU31">
            <v>297.8606368464994</v>
          </cell>
          <cell r="AV31">
            <v>903614.98410369339</v>
          </cell>
          <cell r="AX31">
            <v>1663.2364028289931</v>
          </cell>
          <cell r="AY31">
            <v>882203.76424947672</v>
          </cell>
          <cell r="BA31">
            <v>459.8359466644863</v>
          </cell>
          <cell r="BB31">
            <v>730754.9724433677</v>
          </cell>
          <cell r="BD31">
            <v>642.46582619080709</v>
          </cell>
          <cell r="BE31">
            <v>846214.32536373707</v>
          </cell>
          <cell r="BR31">
            <v>0</v>
          </cell>
          <cell r="BS31">
            <v>-1054316.1890949383</v>
          </cell>
        </row>
        <row r="32">
          <cell r="B32">
            <v>312</v>
          </cell>
          <cell r="F32">
            <v>36101218.42618157</v>
          </cell>
          <cell r="J32">
            <v>1.1116135618035334</v>
          </cell>
          <cell r="M32">
            <v>3045821.1593416817</v>
          </cell>
          <cell r="Q32">
            <v>-456000</v>
          </cell>
          <cell r="R32">
            <v>75374.999999999985</v>
          </cell>
          <cell r="T32">
            <v>15941751.81385334</v>
          </cell>
          <cell r="V32">
            <v>77052.392220169844</v>
          </cell>
          <cell r="W32">
            <v>9008148.6693295818</v>
          </cell>
          <cell r="Y32">
            <v>7073.1970937558835</v>
          </cell>
          <cell r="Z32">
            <v>1675903.4552154162</v>
          </cell>
          <cell r="AA32">
            <v>1928048.0687091146</v>
          </cell>
          <cell r="AC32">
            <v>14046.348966949448</v>
          </cell>
          <cell r="AD32">
            <v>474662.78023916634</v>
          </cell>
          <cell r="AF32">
            <v>12565.679702627142</v>
          </cell>
          <cell r="AG32">
            <v>553436.35415425827</v>
          </cell>
          <cell r="AI32">
            <v>9170.811884879151</v>
          </cell>
          <cell r="AJ32">
            <v>551426.40008704609</v>
          </cell>
          <cell r="AL32">
            <v>4411.9942267982242</v>
          </cell>
          <cell r="AM32">
            <v>283594.50853828853</v>
          </cell>
          <cell r="AO32">
            <v>921.52764273512923</v>
          </cell>
          <cell r="AP32">
            <v>64928.025690355222</v>
          </cell>
          <cell r="AR32">
            <v>0</v>
          </cell>
          <cell r="AS32">
            <v>0</v>
          </cell>
          <cell r="AU32">
            <v>446.86865184502045</v>
          </cell>
          <cell r="AV32">
            <v>1355658.1829960679</v>
          </cell>
          <cell r="AX32">
            <v>2556.7111921481269</v>
          </cell>
          <cell r="AY32">
            <v>1356115.2425328137</v>
          </cell>
          <cell r="BA32">
            <v>674.7494320147448</v>
          </cell>
          <cell r="BB32">
            <v>1072287.8586912218</v>
          </cell>
          <cell r="BD32">
            <v>833.71017135265004</v>
          </cell>
          <cell r="BE32">
            <v>1098108.9755123279</v>
          </cell>
          <cell r="BR32">
            <v>0</v>
          </cell>
          <cell r="BS32">
            <v>0</v>
          </cell>
        </row>
        <row r="33">
          <cell r="B33">
            <v>313</v>
          </cell>
          <cell r="F33">
            <v>38704929.737634182</v>
          </cell>
          <cell r="J33">
            <v>1.1116135618035334</v>
          </cell>
          <cell r="M33">
            <v>2685658.3653173367</v>
          </cell>
          <cell r="Q33">
            <v>-1308000</v>
          </cell>
          <cell r="R33">
            <v>1165799.9999999998</v>
          </cell>
          <cell r="T33">
            <v>21167149.328968402</v>
          </cell>
          <cell r="V33">
            <v>66523.112973044583</v>
          </cell>
          <cell r="W33">
            <v>7777176.9875164051</v>
          </cell>
          <cell r="Y33">
            <v>6609.6542384838094</v>
          </cell>
          <cell r="Z33">
            <v>1566072.9128887104</v>
          </cell>
          <cell r="AA33">
            <v>1676416.049325113</v>
          </cell>
          <cell r="AC33">
            <v>13691.74424073412</v>
          </cell>
          <cell r="AD33">
            <v>462679.7613331601</v>
          </cell>
          <cell r="AF33">
            <v>7841.3220649621253</v>
          </cell>
          <cell r="AG33">
            <v>345359.16863093927</v>
          </cell>
          <cell r="AI33">
            <v>7512.2844506682786</v>
          </cell>
          <cell r="AJ33">
            <v>451701.77112584939</v>
          </cell>
          <cell r="AL33">
            <v>2584.5015311932152</v>
          </cell>
          <cell r="AM33">
            <v>166126.79071592866</v>
          </cell>
          <cell r="AO33">
            <v>3556.0517842095032</v>
          </cell>
          <cell r="AP33">
            <v>250548.55751923565</v>
          </cell>
          <cell r="AR33">
            <v>0</v>
          </cell>
          <cell r="AS33">
            <v>0</v>
          </cell>
          <cell r="AU33">
            <v>416.85508567632502</v>
          </cell>
          <cell r="AV33">
            <v>1264606.5139888693</v>
          </cell>
          <cell r="AX33">
            <v>1834.1623769758301</v>
          </cell>
          <cell r="AY33">
            <v>972865.2826865837</v>
          </cell>
          <cell r="BA33">
            <v>626.95004885719288</v>
          </cell>
          <cell r="BB33">
            <v>996326.77479711536</v>
          </cell>
          <cell r="BD33">
            <v>562.47646227258792</v>
          </cell>
          <cell r="BE33">
            <v>740857.52214565047</v>
          </cell>
          <cell r="BR33">
            <v>7084090.7780055478</v>
          </cell>
          <cell r="BS33">
            <v>0</v>
          </cell>
        </row>
        <row r="34">
          <cell r="B34">
            <v>314</v>
          </cell>
          <cell r="F34">
            <v>18351836.097335543</v>
          </cell>
          <cell r="J34">
            <v>1.1116135618035334</v>
          </cell>
          <cell r="M34">
            <v>1916421.7805492918</v>
          </cell>
          <cell r="Q34">
            <v>-54000</v>
          </cell>
          <cell r="R34">
            <v>0</v>
          </cell>
          <cell r="T34">
            <v>8976122.3101294581</v>
          </cell>
          <cell r="V34">
            <v>41754.592015657916</v>
          </cell>
          <cell r="W34">
            <v>4881504.1514803125</v>
          </cell>
          <cell r="Y34">
            <v>2012.0205468643956</v>
          </cell>
          <cell r="Z34">
            <v>476722.49786891456</v>
          </cell>
          <cell r="AA34">
            <v>244803.08125281523</v>
          </cell>
          <cell r="AC34">
            <v>3186.9960816907305</v>
          </cell>
          <cell r="AD34">
            <v>107696.91286369815</v>
          </cell>
          <cell r="AF34">
            <v>1382.8472708835957</v>
          </cell>
          <cell r="AG34">
            <v>60905.416186119721</v>
          </cell>
          <cell r="AI34">
            <v>767.01335764443809</v>
          </cell>
          <cell r="AJ34">
            <v>46119.298916371132</v>
          </cell>
          <cell r="AL34">
            <v>467.98930951928759</v>
          </cell>
          <cell r="AM34">
            <v>30081.453286626223</v>
          </cell>
          <cell r="AO34">
            <v>0</v>
          </cell>
          <cell r="AP34">
            <v>0</v>
          </cell>
          <cell r="AR34">
            <v>0</v>
          </cell>
          <cell r="AS34">
            <v>0</v>
          </cell>
          <cell r="AU34">
            <v>164.51880714692294</v>
          </cell>
          <cell r="AV34">
            <v>499098.03752094047</v>
          </cell>
          <cell r="AX34">
            <v>1067.1490193313921</v>
          </cell>
          <cell r="AY34">
            <v>566030.70992673968</v>
          </cell>
          <cell r="BA34">
            <v>275.68016332727632</v>
          </cell>
          <cell r="BB34">
            <v>438101.13501717133</v>
          </cell>
          <cell r="BD34">
            <v>309.02857018138229</v>
          </cell>
          <cell r="BE34">
            <v>407032.39358990284</v>
          </cell>
          <cell r="BR34">
            <v>1955773.1071927566</v>
          </cell>
          <cell r="BS34">
            <v>0</v>
          </cell>
        </row>
        <row r="35">
          <cell r="B35">
            <v>315</v>
          </cell>
          <cell r="F35">
            <v>27027789.343855735</v>
          </cell>
          <cell r="J35">
            <v>1.1488887055594839</v>
          </cell>
          <cell r="M35">
            <v>2054213.0055403572</v>
          </cell>
          <cell r="Q35">
            <v>-846000</v>
          </cell>
          <cell r="R35">
            <v>50249.999999999993</v>
          </cell>
          <cell r="T35">
            <v>15277871.307622733</v>
          </cell>
          <cell r="V35">
            <v>50480.038533734914</v>
          </cell>
          <cell r="W35">
            <v>5901590.8376474269</v>
          </cell>
          <cell r="Y35">
            <v>4396.7970761761444</v>
          </cell>
          <cell r="Z35">
            <v>1041764.7513808912</v>
          </cell>
          <cell r="AA35">
            <v>935672.28324563312</v>
          </cell>
          <cell r="AC35">
            <v>5302.1213761570179</v>
          </cell>
          <cell r="AD35">
            <v>179172.51518483239</v>
          </cell>
          <cell r="AF35">
            <v>5606.5768831302812</v>
          </cell>
          <cell r="AG35">
            <v>246933.19763963419</v>
          </cell>
          <cell r="AI35">
            <v>3738.4838478905604</v>
          </cell>
          <cell r="AJ35">
            <v>224789.11528267877</v>
          </cell>
          <cell r="AL35">
            <v>2676.9106839535975</v>
          </cell>
          <cell r="AM35">
            <v>172066.673434347</v>
          </cell>
          <cell r="AO35">
            <v>912.21763221423021</v>
          </cell>
          <cell r="AP35">
            <v>64272.070758298833</v>
          </cell>
          <cell r="AR35">
            <v>505.51103044617292</v>
          </cell>
          <cell r="AS35">
            <v>48438.710945841878</v>
          </cell>
          <cell r="AU35">
            <v>255.05329263420541</v>
          </cell>
          <cell r="AV35">
            <v>773751.0381004907</v>
          </cell>
          <cell r="AX35">
            <v>1229.3109149486477</v>
          </cell>
          <cell r="AY35">
            <v>652043.63898964599</v>
          </cell>
          <cell r="BA35">
            <v>345.81550037340463</v>
          </cell>
          <cell r="BB35">
            <v>549557.72439913417</v>
          </cell>
          <cell r="BD35">
            <v>483.68214504054271</v>
          </cell>
          <cell r="BE35">
            <v>637074.75692942098</v>
          </cell>
          <cell r="BR35">
            <v>5476356.1215380281</v>
          </cell>
          <cell r="BS35">
            <v>0</v>
          </cell>
        </row>
        <row r="36">
          <cell r="B36">
            <v>316</v>
          </cell>
          <cell r="F36">
            <v>46686682.977684639</v>
          </cell>
          <cell r="J36">
            <v>1.1243577599840504</v>
          </cell>
          <cell r="M36">
            <v>805040.15614858014</v>
          </cell>
          <cell r="Q36">
            <v>-330000</v>
          </cell>
          <cell r="R36">
            <v>0</v>
          </cell>
          <cell r="T36">
            <v>22660019.543491386</v>
          </cell>
          <cell r="V36">
            <v>88005.835154743269</v>
          </cell>
          <cell r="W36">
            <v>10288709.071837453</v>
          </cell>
          <cell r="Y36">
            <v>12451.137834063375</v>
          </cell>
          <cell r="Z36">
            <v>2950137.6309577469</v>
          </cell>
          <cell r="AA36">
            <v>3912022.9265061817</v>
          </cell>
          <cell r="AC36">
            <v>23148.27756255163</v>
          </cell>
          <cell r="AD36">
            <v>782240.69553178234</v>
          </cell>
          <cell r="AF36">
            <v>22714.275467197785</v>
          </cell>
          <cell r="AG36">
            <v>1000415.9026266776</v>
          </cell>
          <cell r="AI36">
            <v>16232.352980889737</v>
          </cell>
          <cell r="AJ36">
            <v>976025.68688085256</v>
          </cell>
          <cell r="AL36">
            <v>9424.3667441863108</v>
          </cell>
          <cell r="AM36">
            <v>605780.1795995729</v>
          </cell>
          <cell r="AO36">
            <v>7771.5608370097561</v>
          </cell>
          <cell r="AP36">
            <v>547560.46186729614</v>
          </cell>
          <cell r="AR36">
            <v>0</v>
          </cell>
          <cell r="AS36">
            <v>0</v>
          </cell>
          <cell r="AU36">
            <v>796.04529406870768</v>
          </cell>
          <cell r="AV36">
            <v>2414949.7005084679</v>
          </cell>
          <cell r="AX36">
            <v>2372.3948735663462</v>
          </cell>
          <cell r="AY36">
            <v>1258351.2988210965</v>
          </cell>
          <cell r="BA36">
            <v>983.81303998604415</v>
          </cell>
          <cell r="BB36">
            <v>1563440.7795634631</v>
          </cell>
          <cell r="BD36">
            <v>883.74519934746365</v>
          </cell>
          <cell r="BE36">
            <v>1164011.8698502628</v>
          </cell>
          <cell r="BR36">
            <v>0</v>
          </cell>
          <cell r="BS36">
            <v>0</v>
          </cell>
        </row>
        <row r="37">
          <cell r="B37">
            <v>317</v>
          </cell>
          <cell r="F37">
            <v>38077653.180019006</v>
          </cell>
          <cell r="J37">
            <v>1.0870826162281</v>
          </cell>
          <cell r="M37">
            <v>2504638.3477895427</v>
          </cell>
          <cell r="Q37">
            <v>-1014000</v>
          </cell>
          <cell r="R37">
            <v>0</v>
          </cell>
          <cell r="T37">
            <v>19852631.802389454</v>
          </cell>
          <cell r="V37">
            <v>80067.008989640337</v>
          </cell>
          <cell r="W37">
            <v>9360585.6963701993</v>
          </cell>
          <cell r="Y37">
            <v>7707.4157490572288</v>
          </cell>
          <cell r="Z37">
            <v>1826173.4422796681</v>
          </cell>
          <cell r="AA37">
            <v>1459902.0508565516</v>
          </cell>
          <cell r="AC37">
            <v>11988.347091763486</v>
          </cell>
          <cell r="AD37">
            <v>405117.52729751612</v>
          </cell>
          <cell r="AF37">
            <v>12805.833219167018</v>
          </cell>
          <cell r="AG37">
            <v>564013.55250536418</v>
          </cell>
          <cell r="AI37">
            <v>2979.6934510812221</v>
          </cell>
          <cell r="AJ37">
            <v>179164.24998333908</v>
          </cell>
          <cell r="AL37">
            <v>4371.1591998531903</v>
          </cell>
          <cell r="AM37">
            <v>280969.71149587975</v>
          </cell>
          <cell r="AO37">
            <v>434.83304649124</v>
          </cell>
          <cell r="AP37">
            <v>30637.00957445235</v>
          </cell>
          <cell r="AR37">
            <v>0</v>
          </cell>
          <cell r="AS37">
            <v>0</v>
          </cell>
          <cell r="AU37">
            <v>409.83014631799369</v>
          </cell>
          <cell r="AV37">
            <v>1243295.0693689503</v>
          </cell>
          <cell r="AX37">
            <v>1565.3989673684639</v>
          </cell>
          <cell r="AY37">
            <v>830309.42517597799</v>
          </cell>
          <cell r="BA37">
            <v>677.25246991010624</v>
          </cell>
          <cell r="BB37">
            <v>1076265.5977120993</v>
          </cell>
          <cell r="BD37">
            <v>712.03911362940551</v>
          </cell>
          <cell r="BE37">
            <v>937851.74807656137</v>
          </cell>
          <cell r="BR37">
            <v>4012280.3346913308</v>
          </cell>
          <cell r="BS37">
            <v>0</v>
          </cell>
        </row>
        <row r="38">
          <cell r="B38">
            <v>318</v>
          </cell>
          <cell r="F38">
            <v>21133314.641564615</v>
          </cell>
          <cell r="J38">
            <v>1.1116135618035334</v>
          </cell>
          <cell r="M38">
            <v>1591830.6205026598</v>
          </cell>
          <cell r="Q38">
            <v>456000</v>
          </cell>
          <cell r="R38">
            <v>0</v>
          </cell>
          <cell r="T38">
            <v>11202855.505861316</v>
          </cell>
          <cell r="V38">
            <v>48207.753296911018</v>
          </cell>
          <cell r="W38">
            <v>5635939.3420527931</v>
          </cell>
          <cell r="Y38">
            <v>1817.4881735487772</v>
          </cell>
          <cell r="Z38">
            <v>430630.5436550692</v>
          </cell>
          <cell r="AA38">
            <v>185557.23209347855</v>
          </cell>
          <cell r="AC38">
            <v>1727.4474750426909</v>
          </cell>
          <cell r="AD38">
            <v>58374.957303867079</v>
          </cell>
          <cell r="AF38">
            <v>1820.8230142341877</v>
          </cell>
          <cell r="AG38">
            <v>80195.39526757563</v>
          </cell>
          <cell r="AI38">
            <v>420.18992636173562</v>
          </cell>
          <cell r="AJ38">
            <v>25265.355058533747</v>
          </cell>
          <cell r="AL38">
            <v>337.93052278827417</v>
          </cell>
          <cell r="AM38">
            <v>21721.524463502068</v>
          </cell>
          <cell r="AO38">
            <v>0</v>
          </cell>
          <cell r="AP38">
            <v>0</v>
          </cell>
          <cell r="AR38">
            <v>0</v>
          </cell>
          <cell r="AS38">
            <v>0</v>
          </cell>
          <cell r="AU38">
            <v>153.40267152888762</v>
          </cell>
          <cell r="AV38">
            <v>465375.19714790402</v>
          </cell>
          <cell r="AX38">
            <v>911.52312067889739</v>
          </cell>
          <cell r="AY38">
            <v>483484.56472909008</v>
          </cell>
          <cell r="BA38">
            <v>196.75560043922542</v>
          </cell>
          <cell r="BB38">
            <v>312677.01975015859</v>
          </cell>
          <cell r="BD38">
            <v>280.12661757449041</v>
          </cell>
          <cell r="BE38">
            <v>368964.61577214213</v>
          </cell>
          <cell r="BR38">
            <v>3801942.9173607752</v>
          </cell>
          <cell r="BS38">
            <v>0</v>
          </cell>
        </row>
        <row r="39">
          <cell r="B39">
            <v>319</v>
          </cell>
          <cell r="F39">
            <v>28606413.537120212</v>
          </cell>
          <cell r="J39">
            <v>1.1116135618035334</v>
          </cell>
          <cell r="M39">
            <v>2067601.2249545723</v>
          </cell>
          <cell r="Q39">
            <v>-474000</v>
          </cell>
          <cell r="R39">
            <v>267330</v>
          </cell>
          <cell r="T39">
            <v>16824946.567358136</v>
          </cell>
          <cell r="V39">
            <v>50212.438305881064</v>
          </cell>
          <cell r="W39">
            <v>5870305.8565197028</v>
          </cell>
          <cell r="Y39">
            <v>4102.9656566168424</v>
          </cell>
          <cell r="Z39">
            <v>972145.16001887491</v>
          </cell>
          <cell r="AA39">
            <v>632701.16115869489</v>
          </cell>
          <cell r="AC39">
            <v>2592.2828261258401</v>
          </cell>
          <cell r="AD39">
            <v>87600.000278389984</v>
          </cell>
          <cell r="AF39">
            <v>5914.8957623566012</v>
          </cell>
          <cell r="AG39">
            <v>260512.63627519531</v>
          </cell>
          <cell r="AI39">
            <v>1168.3058534555137</v>
          </cell>
          <cell r="AJ39">
            <v>70248.381392907322</v>
          </cell>
          <cell r="AL39">
            <v>1246.1188027817609</v>
          </cell>
          <cell r="AM39">
            <v>80098.121459163871</v>
          </cell>
          <cell r="AO39">
            <v>1905.3056449312562</v>
          </cell>
          <cell r="AP39">
            <v>134242.02175303843</v>
          </cell>
          <cell r="AR39">
            <v>0</v>
          </cell>
          <cell r="AS39">
            <v>0</v>
          </cell>
          <cell r="AU39">
            <v>202.31366824824309</v>
          </cell>
          <cell r="AV39">
            <v>613755.69478926458</v>
          </cell>
          <cell r="AX39">
            <v>1522.9105796708409</v>
          </cell>
          <cell r="AY39">
            <v>807772.99229128473</v>
          </cell>
          <cell r="BA39">
            <v>286.79629894531161</v>
          </cell>
          <cell r="BB39">
            <v>455766.50336463784</v>
          </cell>
          <cell r="BD39">
            <v>431.30606197977096</v>
          </cell>
          <cell r="BE39">
            <v>568088.37666504423</v>
          </cell>
          <cell r="BR39">
            <v>7697585.8507474326</v>
          </cell>
          <cell r="BS39">
            <v>0</v>
          </cell>
        </row>
        <row r="40">
          <cell r="B40">
            <v>320</v>
          </cell>
          <cell r="F40">
            <v>36263016.899561606</v>
          </cell>
          <cell r="J40">
            <v>1.0870826162281</v>
          </cell>
          <cell r="M40">
            <v>3252551.1877544755</v>
          </cell>
          <cell r="Q40">
            <v>378000</v>
          </cell>
          <cell r="R40">
            <v>364814.99999999994</v>
          </cell>
          <cell r="T40">
            <v>15664165.09429045</v>
          </cell>
          <cell r="V40">
            <v>67067.855520499012</v>
          </cell>
          <cell r="W40">
            <v>7840862.509958812</v>
          </cell>
          <cell r="Y40">
            <v>7002.9862137414202</v>
          </cell>
          <cell r="Z40">
            <v>1659267.8864831624</v>
          </cell>
          <cell r="AA40">
            <v>2493595.5483821672</v>
          </cell>
          <cell r="AC40">
            <v>15701.821308798677</v>
          </cell>
          <cell r="AD40">
            <v>530605.51000048267</v>
          </cell>
          <cell r="AF40">
            <v>11228.476343020046</v>
          </cell>
          <cell r="AG40">
            <v>494541.25499388005</v>
          </cell>
          <cell r="AI40">
            <v>12161.193227743755</v>
          </cell>
          <cell r="AJ40">
            <v>731233.29608304054</v>
          </cell>
          <cell r="AL40">
            <v>4727.7222979760072</v>
          </cell>
          <cell r="AM40">
            <v>303888.90208793362</v>
          </cell>
          <cell r="AO40">
            <v>4492.9124528707371</v>
          </cell>
          <cell r="AP40">
            <v>316556.90142802888</v>
          </cell>
          <cell r="AR40">
            <v>1218.6196127917001</v>
          </cell>
          <cell r="AS40">
            <v>116769.68378880169</v>
          </cell>
          <cell r="AU40">
            <v>563.10879520615583</v>
          </cell>
          <cell r="AV40">
            <v>1708294.0210427491</v>
          </cell>
          <cell r="AX40">
            <v>1695.848881315836</v>
          </cell>
          <cell r="AY40">
            <v>899501.87727397622</v>
          </cell>
          <cell r="BA40">
            <v>795.74447507896923</v>
          </cell>
          <cell r="BB40">
            <v>1264568.8884835583</v>
          </cell>
          <cell r="BD40">
            <v>559.84754735747151</v>
          </cell>
          <cell r="BE40">
            <v>737394.88589225826</v>
          </cell>
          <cell r="BR40">
            <v>3.7252902984619141E-9</v>
          </cell>
          <cell r="BS40">
            <v>0</v>
          </cell>
        </row>
        <row r="41">
          <cell r="B41">
            <v>330</v>
          </cell>
          <cell r="F41">
            <v>163843533.04191285</v>
          </cell>
          <cell r="J41">
            <v>1.0050794999200126</v>
          </cell>
          <cell r="M41">
            <v>18272345.308545828</v>
          </cell>
          <cell r="Q41">
            <v>-2451000</v>
          </cell>
          <cell r="R41">
            <v>3403934.9999999995</v>
          </cell>
          <cell r="T41">
            <v>64600055.159765735</v>
          </cell>
          <cell r="V41">
            <v>272004.17659471609</v>
          </cell>
          <cell r="W41">
            <v>31799844.117005654</v>
          </cell>
          <cell r="Y41">
            <v>50659.022034468391</v>
          </cell>
          <cell r="Z41">
            <v>12003006.41139318</v>
          </cell>
          <cell r="AA41">
            <v>12244655.115819788</v>
          </cell>
          <cell r="AC41">
            <v>24145.024826578461</v>
          </cell>
          <cell r="AD41">
            <v>815923.38621901989</v>
          </cell>
          <cell r="AF41">
            <v>28463.851437734756</v>
          </cell>
          <cell r="AG41">
            <v>1253647.2787536399</v>
          </cell>
          <cell r="AI41">
            <v>44144.096715986874</v>
          </cell>
          <cell r="AJ41">
            <v>2654314.6498650275</v>
          </cell>
          <cell r="AL41">
            <v>37802.045071491593</v>
          </cell>
          <cell r="AM41">
            <v>2429842.797317462</v>
          </cell>
          <cell r="AO41">
            <v>53389.823035751069</v>
          </cell>
          <cell r="AP41">
            <v>3761684.0134931523</v>
          </cell>
          <cell r="AR41">
            <v>13872.107257896014</v>
          </cell>
          <cell r="AS41">
            <v>1329242.9901714863</v>
          </cell>
          <cell r="AU41">
            <v>2465.4600133037907</v>
          </cell>
          <cell r="AV41">
            <v>7479426.0642029475</v>
          </cell>
          <cell r="AX41">
            <v>11126.230064114539</v>
          </cell>
          <cell r="AY41">
            <v>5901507.4632639233</v>
          </cell>
          <cell r="BA41">
            <v>3748.9465347016467</v>
          </cell>
          <cell r="BB41">
            <v>5957692.8283435144</v>
          </cell>
          <cell r="BD41">
            <v>3516.773170220124</v>
          </cell>
          <cell r="BE41">
            <v>4632065.5735722855</v>
          </cell>
          <cell r="BR41">
            <v>0</v>
          </cell>
          <cell r="BS41">
            <v>-10627911.706138387</v>
          </cell>
        </row>
        <row r="42">
          <cell r="B42">
            <v>331</v>
          </cell>
          <cell r="F42">
            <v>39170579.401130721</v>
          </cell>
          <cell r="J42">
            <v>1.0050794999200126</v>
          </cell>
          <cell r="M42">
            <v>3606225.2457130053</v>
          </cell>
          <cell r="Q42">
            <v>756000</v>
          </cell>
          <cell r="R42">
            <v>495464.99999999994</v>
          </cell>
          <cell r="T42">
            <v>15153204.826033991</v>
          </cell>
          <cell r="V42">
            <v>74222.464643974643</v>
          </cell>
          <cell r="W42">
            <v>8677303.544405235</v>
          </cell>
          <cell r="Y42">
            <v>8683.8868793089077</v>
          </cell>
          <cell r="Z42">
            <v>2057535.7695858793</v>
          </cell>
          <cell r="AA42">
            <v>2421893.0449463259</v>
          </cell>
          <cell r="AC42">
            <v>7900.9299488712186</v>
          </cell>
          <cell r="AD42">
            <v>266993.03746691567</v>
          </cell>
          <cell r="AF42">
            <v>5247.5200690823858</v>
          </cell>
          <cell r="AG42">
            <v>231119.08341711704</v>
          </cell>
          <cell r="AI42">
            <v>8074.8087023573808</v>
          </cell>
          <cell r="AJ42">
            <v>485525.4638331465</v>
          </cell>
          <cell r="AL42">
            <v>7529.0505339008141</v>
          </cell>
          <cell r="AM42">
            <v>483952.89661814651</v>
          </cell>
          <cell r="AO42">
            <v>5973.1874680246347</v>
          </cell>
          <cell r="AP42">
            <v>420852.56197646464</v>
          </cell>
          <cell r="AR42">
            <v>5567.1353500569494</v>
          </cell>
          <cell r="AS42">
            <v>533450.00163453573</v>
          </cell>
          <cell r="AU42">
            <v>499.52451146024623</v>
          </cell>
          <cell r="AV42">
            <v>1515399.410480581</v>
          </cell>
          <cell r="AX42">
            <v>2914.7305497680363</v>
          </cell>
          <cell r="AY42">
            <v>1546013.6985966917</v>
          </cell>
          <cell r="BA42">
            <v>1046.287759416733</v>
          </cell>
          <cell r="BB42">
            <v>1662723.3872132972</v>
          </cell>
          <cell r="BD42">
            <v>970.90679692273216</v>
          </cell>
          <cell r="BE42">
            <v>1278815.4741557096</v>
          </cell>
          <cell r="BR42">
            <v>0</v>
          </cell>
          <cell r="BS42">
            <v>-2544950.1009424999</v>
          </cell>
        </row>
        <row r="43">
          <cell r="B43">
            <v>332</v>
          </cell>
          <cell r="F43">
            <v>33621634.722149402</v>
          </cell>
          <cell r="J43">
            <v>1.0050794999200126</v>
          </cell>
          <cell r="M43">
            <v>3373046.8017315622</v>
          </cell>
          <cell r="Q43">
            <v>432000</v>
          </cell>
          <cell r="R43">
            <v>1237154.9999999998</v>
          </cell>
          <cell r="T43">
            <v>12375811.334474195</v>
          </cell>
          <cell r="V43">
            <v>64898.36524004519</v>
          </cell>
          <cell r="W43">
            <v>7587228.7106712973</v>
          </cell>
          <cell r="Y43">
            <v>7039.5768174397681</v>
          </cell>
          <cell r="Z43">
            <v>1667937.5613633681</v>
          </cell>
          <cell r="AA43">
            <v>1943442.1461286892</v>
          </cell>
          <cell r="AC43">
            <v>7581.314667896655</v>
          </cell>
          <cell r="AD43">
            <v>256192.40320734578</v>
          </cell>
          <cell r="AF43">
            <v>11590.576793077586</v>
          </cell>
          <cell r="AG43">
            <v>510489.42156027461</v>
          </cell>
          <cell r="AI43">
            <v>5215.3575250849453</v>
          </cell>
          <cell r="AJ43">
            <v>313591.19141525985</v>
          </cell>
          <cell r="AL43">
            <v>5653.5721870500702</v>
          </cell>
          <cell r="AM43">
            <v>363400.75336765108</v>
          </cell>
          <cell r="AO43">
            <v>5261.5911820812653</v>
          </cell>
          <cell r="AP43">
            <v>370715.65908578032</v>
          </cell>
          <cell r="AR43">
            <v>1346.8065298928168</v>
          </cell>
          <cell r="AS43">
            <v>129052.71749237731</v>
          </cell>
          <cell r="AU43">
            <v>393.99116396864491</v>
          </cell>
          <cell r="AV43">
            <v>1195244.6054494723</v>
          </cell>
          <cell r="AX43">
            <v>2422.2415948072303</v>
          </cell>
          <cell r="AY43">
            <v>1284790.6943510438</v>
          </cell>
          <cell r="BA43">
            <v>882.45980092977106</v>
          </cell>
          <cell r="BB43">
            <v>1402373.8078513688</v>
          </cell>
          <cell r="BD43">
            <v>852.30741593217067</v>
          </cell>
          <cell r="BE43">
            <v>1122604.0601284076</v>
          </cell>
          <cell r="BR43">
            <v>0</v>
          </cell>
          <cell r="BS43">
            <v>-2977559.4811908342</v>
          </cell>
        </row>
        <row r="44">
          <cell r="B44">
            <v>333</v>
          </cell>
          <cell r="F44">
            <v>41312112.793692946</v>
          </cell>
          <cell r="J44">
            <v>1.0050794999200126</v>
          </cell>
          <cell r="M44">
            <v>2263439.0338198682</v>
          </cell>
          <cell r="Q44">
            <v>-636000</v>
          </cell>
          <cell r="R44">
            <v>988919.99999999988</v>
          </cell>
          <cell r="T44">
            <v>17549646.432445642</v>
          </cell>
          <cell r="V44">
            <v>75748.615549674185</v>
          </cell>
          <cell r="W44">
            <v>8855724.9256790373</v>
          </cell>
          <cell r="Y44">
            <v>12427.808016510955</v>
          </cell>
          <cell r="Z44">
            <v>2944609.9295057175</v>
          </cell>
          <cell r="AA44">
            <v>3368727.3450076608</v>
          </cell>
          <cell r="AC44">
            <v>8320.0481003378645</v>
          </cell>
          <cell r="AD44">
            <v>281156.133335597</v>
          </cell>
          <cell r="AF44">
            <v>11649.876483572865</v>
          </cell>
          <cell r="AG44">
            <v>513101.18672434462</v>
          </cell>
          <cell r="AI44">
            <v>13277.100193943366</v>
          </cell>
          <cell r="AJ44">
            <v>798331.01533929131</v>
          </cell>
          <cell r="AL44">
            <v>10125.170882194207</v>
          </cell>
          <cell r="AM44">
            <v>650826.52256457193</v>
          </cell>
          <cell r="AO44">
            <v>13002.713490465203</v>
          </cell>
          <cell r="AP44">
            <v>916131.51510845078</v>
          </cell>
          <cell r="AR44">
            <v>2183.0326738262675</v>
          </cell>
          <cell r="AS44">
            <v>209180.9719354056</v>
          </cell>
          <cell r="AU44">
            <v>545.75816845656686</v>
          </cell>
          <cell r="AV44">
            <v>1655657.7060180192</v>
          </cell>
          <cell r="AX44">
            <v>2301.6320548168287</v>
          </cell>
          <cell r="AY44">
            <v>1220817.7137194567</v>
          </cell>
          <cell r="BA44">
            <v>973.92203542249217</v>
          </cell>
          <cell r="BB44">
            <v>1547722.3460227521</v>
          </cell>
          <cell r="BD44">
            <v>1178.9582534061747</v>
          </cell>
          <cell r="BE44">
            <v>1552847.3614747901</v>
          </cell>
          <cell r="BR44">
            <v>0</v>
          </cell>
          <cell r="BS44">
            <v>-2130492.3541287854</v>
          </cell>
        </row>
        <row r="45">
          <cell r="B45">
            <v>334</v>
          </cell>
          <cell r="F45">
            <v>24656607.670580991</v>
          </cell>
          <cell r="J45">
            <v>1.0050794999200126</v>
          </cell>
          <cell r="M45">
            <v>2866486.733771876</v>
          </cell>
          <cell r="Q45">
            <v>156000</v>
          </cell>
          <cell r="R45">
            <v>0</v>
          </cell>
          <cell r="T45">
            <v>11670480.318496289</v>
          </cell>
          <cell r="V45">
            <v>44624.986048439096</v>
          </cell>
          <cell r="W45">
            <v>5217080.1854205132</v>
          </cell>
          <cell r="Y45">
            <v>4159.0189706690117</v>
          </cell>
          <cell r="Z45">
            <v>985426.27483175567</v>
          </cell>
          <cell r="AA45">
            <v>730927.29634136322</v>
          </cell>
          <cell r="AC45">
            <v>1530.7360783781792</v>
          </cell>
          <cell r="AD45">
            <v>51727.565966430811</v>
          </cell>
          <cell r="AF45">
            <v>1825.2243718547427</v>
          </cell>
          <cell r="AG45">
            <v>80389.246405953745</v>
          </cell>
          <cell r="AI45">
            <v>885.47503942953108</v>
          </cell>
          <cell r="AJ45">
            <v>53242.212302340326</v>
          </cell>
          <cell r="AL45">
            <v>1604.10688187234</v>
          </cell>
          <cell r="AM45">
            <v>103108.90708884818</v>
          </cell>
          <cell r="AO45">
            <v>4582.1574401353373</v>
          </cell>
          <cell r="AP45">
            <v>322844.83090201957</v>
          </cell>
          <cell r="AR45">
            <v>1248.3087389006555</v>
          </cell>
          <cell r="AS45">
            <v>119614.53367577061</v>
          </cell>
          <cell r="AU45">
            <v>220.11241048248274</v>
          </cell>
          <cell r="AV45">
            <v>667751.45049345517</v>
          </cell>
          <cell r="AX45">
            <v>1980.0066148424248</v>
          </cell>
          <cell r="AY45">
            <v>1050223.0987018906</v>
          </cell>
          <cell r="BA45">
            <v>375.8997329700847</v>
          </cell>
          <cell r="BB45">
            <v>597366.5195175535</v>
          </cell>
          <cell r="BD45">
            <v>542.74292995680673</v>
          </cell>
          <cell r="BE45">
            <v>714865.79300629732</v>
          </cell>
          <cell r="BR45">
            <v>1984924.1270877942</v>
          </cell>
          <cell r="BS45">
            <v>0</v>
          </cell>
        </row>
        <row r="46">
          <cell r="B46">
            <v>335</v>
          </cell>
          <cell r="F46">
            <v>33740825.593216233</v>
          </cell>
          <cell r="J46">
            <v>1.0050794999200126</v>
          </cell>
          <cell r="M46">
            <v>2532800.3397984318</v>
          </cell>
          <cell r="Q46">
            <v>-120000</v>
          </cell>
          <cell r="R46">
            <v>0</v>
          </cell>
          <cell r="T46">
            <v>13560154.752601556</v>
          </cell>
          <cell r="V46">
            <v>62356.922221626955</v>
          </cell>
          <cell r="W46">
            <v>7290110.1412812034</v>
          </cell>
          <cell r="Y46">
            <v>10337.242656677328</v>
          </cell>
          <cell r="Z46">
            <v>2449277.2442350425</v>
          </cell>
          <cell r="AA46">
            <v>2575205.0107629444</v>
          </cell>
          <cell r="AC46">
            <v>5464.6172410651079</v>
          </cell>
          <cell r="AD46">
            <v>184663.67443170343</v>
          </cell>
          <cell r="AF46">
            <v>5286.718169579266</v>
          </cell>
          <cell r="AG46">
            <v>232845.50445777352</v>
          </cell>
          <cell r="AI46">
            <v>8629.6125863132274</v>
          </cell>
          <cell r="AJ46">
            <v>518884.94305095793</v>
          </cell>
          <cell r="AL46">
            <v>7959.2245598665795</v>
          </cell>
          <cell r="AM46">
            <v>511603.65616327623</v>
          </cell>
          <cell r="AO46">
            <v>11025.722114122538</v>
          </cell>
          <cell r="AP46">
            <v>776838.73546724173</v>
          </cell>
          <cell r="AR46">
            <v>3656.4792207090059</v>
          </cell>
          <cell r="AS46">
            <v>350368.49719199154</v>
          </cell>
          <cell r="AU46">
            <v>441.22990046488553</v>
          </cell>
          <cell r="AV46">
            <v>1338551.9943681592</v>
          </cell>
          <cell r="AX46">
            <v>2241.3272848216279</v>
          </cell>
          <cell r="AY46">
            <v>1188831.2234036629</v>
          </cell>
          <cell r="BA46">
            <v>828.18550793409031</v>
          </cell>
          <cell r="BB46">
            <v>1316123.02695846</v>
          </cell>
          <cell r="BD46">
            <v>1222.1766719027353</v>
          </cell>
          <cell r="BE46">
            <v>1609771.859806773</v>
          </cell>
          <cell r="BR46">
            <v>0</v>
          </cell>
          <cell r="BS46">
            <v>-3219543.9413758479</v>
          </cell>
        </row>
        <row r="47">
          <cell r="B47">
            <v>336</v>
          </cell>
          <cell r="F47">
            <v>34277007.548165061</v>
          </cell>
          <cell r="J47">
            <v>1.0050794999200126</v>
          </cell>
          <cell r="M47">
            <v>3180071.5377469198</v>
          </cell>
          <cell r="Q47">
            <v>84000</v>
          </cell>
          <cell r="R47">
            <v>439184.99999999994</v>
          </cell>
          <cell r="T47">
            <v>14416788.191229871</v>
          </cell>
          <cell r="V47">
            <v>55467.320351926726</v>
          </cell>
          <cell r="W47">
            <v>6484650.9449279895</v>
          </cell>
          <cell r="Y47">
            <v>8955.258344287311</v>
          </cell>
          <cell r="Z47">
            <v>2121833.7623854382</v>
          </cell>
          <cell r="AA47">
            <v>2637519.6778005469</v>
          </cell>
          <cell r="AC47">
            <v>5553.064237058069</v>
          </cell>
          <cell r="AD47">
            <v>187652.52919535799</v>
          </cell>
          <cell r="AF47">
            <v>3173.0359812474794</v>
          </cell>
          <cell r="AG47">
            <v>139751.56988083478</v>
          </cell>
          <cell r="AI47">
            <v>8280.8499998409843</v>
          </cell>
          <cell r="AJ47">
            <v>497914.40086150047</v>
          </cell>
          <cell r="AL47">
            <v>9287.9396587608353</v>
          </cell>
          <cell r="AM47">
            <v>597010.90877697116</v>
          </cell>
          <cell r="AO47">
            <v>11141.306256613339</v>
          </cell>
          <cell r="AP47">
            <v>784982.44144524832</v>
          </cell>
          <cell r="AR47">
            <v>4489.6901261426965</v>
          </cell>
          <cell r="AS47">
            <v>430207.82764063391</v>
          </cell>
          <cell r="AU47">
            <v>393.99116396864491</v>
          </cell>
          <cell r="AV47">
            <v>1195244.6054494723</v>
          </cell>
          <cell r="AX47">
            <v>1899.6002548488236</v>
          </cell>
          <cell r="AY47">
            <v>1007574.4449474991</v>
          </cell>
          <cell r="BA47">
            <v>769.89089693872961</v>
          </cell>
          <cell r="BB47">
            <v>1223483.299332743</v>
          </cell>
          <cell r="BD47">
            <v>1128.7042784101741</v>
          </cell>
          <cell r="BE47">
            <v>1486656.0843445775</v>
          </cell>
          <cell r="BR47">
            <v>0</v>
          </cell>
          <cell r="BS47">
            <v>-654511.37753461674</v>
          </cell>
        </row>
        <row r="48">
          <cell r="B48">
            <v>340</v>
          </cell>
          <cell r="F48">
            <v>20195462.651370298</v>
          </cell>
          <cell r="J48">
            <v>1.0016847182558959</v>
          </cell>
          <cell r="M48">
            <v>1923234.65905132</v>
          </cell>
          <cell r="Q48">
            <v>-432000</v>
          </cell>
          <cell r="R48">
            <v>114095.63999999998</v>
          </cell>
          <cell r="T48">
            <v>8859253.341232596</v>
          </cell>
          <cell r="V48">
            <v>30180.441023625019</v>
          </cell>
          <cell r="W48">
            <v>3528377.1446044841</v>
          </cell>
          <cell r="Y48">
            <v>6085.234663404568</v>
          </cell>
          <cell r="Z48">
            <v>1441818.4115354593</v>
          </cell>
          <cell r="AA48">
            <v>1486451.8955279454</v>
          </cell>
          <cell r="AC48">
            <v>1866.1386301107341</v>
          </cell>
          <cell r="AD48">
            <v>63061.693295837511</v>
          </cell>
          <cell r="AF48">
            <v>2987.0238298390814</v>
          </cell>
          <cell r="AG48">
            <v>131558.94605624929</v>
          </cell>
          <cell r="AI48">
            <v>1267.1311685937083</v>
          </cell>
          <cell r="AJ48">
            <v>76190.591139241107</v>
          </cell>
          <cell r="AL48">
            <v>2328.9169699449581</v>
          </cell>
          <cell r="AM48">
            <v>149698.30638181069</v>
          </cell>
          <cell r="AO48">
            <v>5973.0459749599067</v>
          </cell>
          <cell r="AP48">
            <v>420842.59280688618</v>
          </cell>
          <cell r="AR48">
            <v>6732.3229913978766</v>
          </cell>
          <cell r="AS48">
            <v>645099.76584792067</v>
          </cell>
          <cell r="AU48">
            <v>255.42960315525346</v>
          </cell>
          <cell r="AV48">
            <v>774892.64522620873</v>
          </cell>
          <cell r="AX48">
            <v>1242.0890506373109</v>
          </cell>
          <cell r="AY48">
            <v>658821.34021447203</v>
          </cell>
          <cell r="BA48">
            <v>339.57111948874871</v>
          </cell>
          <cell r="BB48">
            <v>539634.37583451648</v>
          </cell>
          <cell r="BD48">
            <v>987.66113220031332</v>
          </cell>
          <cell r="BE48">
            <v>1300883.1981432973</v>
          </cell>
          <cell r="BR48">
            <v>0</v>
          </cell>
          <cell r="BS48">
            <v>-340700.99905714765</v>
          </cell>
        </row>
        <row r="49">
          <cell r="B49">
            <v>341</v>
          </cell>
          <cell r="F49">
            <v>52553823.813011721</v>
          </cell>
          <cell r="J49">
            <v>1.0016847182558959</v>
          </cell>
          <cell r="M49">
            <v>5513272.6892804503</v>
          </cell>
          <cell r="Q49">
            <v>-162000</v>
          </cell>
          <cell r="R49">
            <v>615426.82499999995</v>
          </cell>
          <cell r="T49">
            <v>19463201.564815287</v>
          </cell>
          <cell r="V49">
            <v>85758.152328928656</v>
          </cell>
          <cell r="W49">
            <v>10025933.829265079</v>
          </cell>
          <cell r="Y49">
            <v>16767.200498885442</v>
          </cell>
          <cell r="Z49">
            <v>3972773.3976447824</v>
          </cell>
          <cell r="AA49">
            <v>4253041.6891964152</v>
          </cell>
          <cell r="AC49">
            <v>4887.2197403705159</v>
          </cell>
          <cell r="AD49">
            <v>165151.90638238928</v>
          </cell>
          <cell r="AF49">
            <v>6982.7441709618506</v>
          </cell>
          <cell r="AG49">
            <v>307544.40407716762</v>
          </cell>
          <cell r="AI49">
            <v>7299.2765419307134</v>
          </cell>
          <cell r="AJ49">
            <v>438893.94279181812</v>
          </cell>
          <cell r="AL49">
            <v>6904.6127629378907</v>
          </cell>
          <cell r="AM49">
            <v>443815.23694185849</v>
          </cell>
          <cell r="AO49">
            <v>23184.994488750966</v>
          </cell>
          <cell r="AP49">
            <v>1633543.9632916634</v>
          </cell>
          <cell r="AR49">
            <v>13192.187739430148</v>
          </cell>
          <cell r="AS49">
            <v>1264092.2357115182</v>
          </cell>
          <cell r="AU49">
            <v>775.30397193006343</v>
          </cell>
          <cell r="AV49">
            <v>2352027.0878630807</v>
          </cell>
          <cell r="AX49">
            <v>4156.9915807619682</v>
          </cell>
          <cell r="AY49">
            <v>2204926.2595887571</v>
          </cell>
          <cell r="BA49">
            <v>1181.9879675419572</v>
          </cell>
          <cell r="BB49">
            <v>1878373.3436127715</v>
          </cell>
          <cell r="BD49">
            <v>1850.1116746186397</v>
          </cell>
          <cell r="BE49">
            <v>2436847.1267451015</v>
          </cell>
          <cell r="BR49">
            <v>0</v>
          </cell>
          <cell r="BS49">
            <v>-6263795.0931920186</v>
          </cell>
        </row>
        <row r="50">
          <cell r="B50">
            <v>342</v>
          </cell>
          <cell r="F50">
            <v>20562066.692752361</v>
          </cell>
          <cell r="J50">
            <v>1.0016847182558959</v>
          </cell>
          <cell r="M50">
            <v>1570641.6382252448</v>
          </cell>
          <cell r="Q50">
            <v>-84000</v>
          </cell>
          <cell r="R50">
            <v>0</v>
          </cell>
          <cell r="T50">
            <v>9924978.1594597269</v>
          </cell>
          <cell r="V50">
            <v>34448.904086573377</v>
          </cell>
          <cell r="W50">
            <v>4027400.5850540786</v>
          </cell>
          <cell r="Y50">
            <v>4485.5441683499021</v>
          </cell>
          <cell r="Z50">
            <v>1062792.2381655616</v>
          </cell>
          <cell r="AA50">
            <v>1240863.503730346</v>
          </cell>
          <cell r="AC50">
            <v>3618.0852023402958</v>
          </cell>
          <cell r="AD50">
            <v>122264.53901479607</v>
          </cell>
          <cell r="AF50">
            <v>2569.3213023263729</v>
          </cell>
          <cell r="AG50">
            <v>113161.87009868526</v>
          </cell>
          <cell r="AI50">
            <v>3594.0447691021545</v>
          </cell>
          <cell r="AJ50">
            <v>216104.22214039296</v>
          </cell>
          <cell r="AL50">
            <v>1934.2531909521349</v>
          </cell>
          <cell r="AM50">
            <v>124330.07725732318</v>
          </cell>
          <cell r="AO50">
            <v>5663.5253970188351</v>
          </cell>
          <cell r="AP50">
            <v>399034.71737885871</v>
          </cell>
          <cell r="AR50">
            <v>2775.6683542870874</v>
          </cell>
          <cell r="AS50">
            <v>265968.0778402898</v>
          </cell>
          <cell r="AU50">
            <v>226.38074632583246</v>
          </cell>
          <cell r="AV50">
            <v>686767.59929852223</v>
          </cell>
          <cell r="AX50">
            <v>1602.6955492094335</v>
          </cell>
          <cell r="AY50">
            <v>850092.05188964133</v>
          </cell>
          <cell r="BA50">
            <v>320.53910984188667</v>
          </cell>
          <cell r="BB50">
            <v>509389.38131871755</v>
          </cell>
          <cell r="BD50">
            <v>586.98724489795495</v>
          </cell>
          <cell r="BE50">
            <v>773141.53561051947</v>
          </cell>
          <cell r="BR50">
            <v>902472.54505772889</v>
          </cell>
          <cell r="BS50">
            <v>0</v>
          </cell>
        </row>
        <row r="51">
          <cell r="B51">
            <v>343</v>
          </cell>
          <cell r="F51">
            <v>27089209.453274406</v>
          </cell>
          <cell r="J51">
            <v>1.0016847182558959</v>
          </cell>
          <cell r="M51">
            <v>2331922.0240997258</v>
          </cell>
          <cell r="Q51">
            <v>-198000</v>
          </cell>
          <cell r="R51">
            <v>0</v>
          </cell>
          <cell r="T51">
            <v>12282357.636888251</v>
          </cell>
          <cell r="V51">
            <v>50598.744256533908</v>
          </cell>
          <cell r="W51">
            <v>5915468.6520547727</v>
          </cell>
          <cell r="Y51">
            <v>6075.2178162220089</v>
          </cell>
          <cell r="Z51">
            <v>1439445.0478950718</v>
          </cell>
          <cell r="AA51">
            <v>1165865.1865008282</v>
          </cell>
          <cell r="AC51">
            <v>5201.7487419028676</v>
          </cell>
          <cell r="AD51">
            <v>175780.6619888804</v>
          </cell>
          <cell r="AF51">
            <v>2080.4991598174956</v>
          </cell>
          <cell r="AG51">
            <v>91632.438282639094</v>
          </cell>
          <cell r="AI51">
            <v>3000.045731176408</v>
          </cell>
          <cell r="AJ51">
            <v>180388.00036523881</v>
          </cell>
          <cell r="AL51">
            <v>1728.9078237096762</v>
          </cell>
          <cell r="AM51">
            <v>111130.87174838934</v>
          </cell>
          <cell r="AO51">
            <v>5322.952592811831</v>
          </cell>
          <cell r="AP51">
            <v>375038.99684316514</v>
          </cell>
          <cell r="AR51">
            <v>2420.0702793062446</v>
          </cell>
          <cell r="AS51">
            <v>231894.21727251547</v>
          </cell>
          <cell r="AU51">
            <v>320.53910984188667</v>
          </cell>
          <cell r="AV51">
            <v>972414.29989171284</v>
          </cell>
          <cell r="AX51">
            <v>2223.7400745280888</v>
          </cell>
          <cell r="AY51">
            <v>1179502.7219968773</v>
          </cell>
          <cell r="BA51">
            <v>562.94681165981353</v>
          </cell>
          <cell r="BB51">
            <v>894615.10094099795</v>
          </cell>
          <cell r="BD51">
            <v>839.41179389844081</v>
          </cell>
          <cell r="BE51">
            <v>1105618.7830061696</v>
          </cell>
          <cell r="BR51">
            <v>0</v>
          </cell>
          <cell r="BS51">
            <v>0</v>
          </cell>
        </row>
        <row r="52">
          <cell r="B52">
            <v>344</v>
          </cell>
          <cell r="F52">
            <v>36512563.132632382</v>
          </cell>
          <cell r="J52">
            <v>1.0016847182558959</v>
          </cell>
          <cell r="M52">
            <v>3998725.3952775365</v>
          </cell>
          <cell r="Q52">
            <v>-378000</v>
          </cell>
          <cell r="R52">
            <v>1365895.4999999998</v>
          </cell>
          <cell r="T52">
            <v>14458411.119004726</v>
          </cell>
          <cell r="V52">
            <v>64254.717028940133</v>
          </cell>
          <cell r="W52">
            <v>7511980.186786212</v>
          </cell>
          <cell r="Y52">
            <v>8374.0842446192892</v>
          </cell>
          <cell r="Z52">
            <v>1984132.0033640228</v>
          </cell>
          <cell r="AA52">
            <v>1953717.0510370461</v>
          </cell>
          <cell r="AC52">
            <v>4489.5509072229252</v>
          </cell>
          <cell r="AD52">
            <v>151713.63894360908</v>
          </cell>
          <cell r="AF52">
            <v>3298.5477772166651</v>
          </cell>
          <cell r="AG52">
            <v>145279.54707016394</v>
          </cell>
          <cell r="AI52">
            <v>4240.1314123772072</v>
          </cell>
          <cell r="AJ52">
            <v>254952.38916395858</v>
          </cell>
          <cell r="AL52">
            <v>3801.393505781125</v>
          </cell>
          <cell r="AM52">
            <v>244346.26783611678</v>
          </cell>
          <cell r="AO52">
            <v>6271.5480210001642</v>
          </cell>
          <cell r="AP52">
            <v>441874.13609993539</v>
          </cell>
          <cell r="AR52">
            <v>7467.5595745977034</v>
          </cell>
          <cell r="AS52">
            <v>715551.07192326256</v>
          </cell>
          <cell r="AU52">
            <v>460.77497039771208</v>
          </cell>
          <cell r="AV52">
            <v>1397845.5560943373</v>
          </cell>
          <cell r="AX52">
            <v>3616.0818329037843</v>
          </cell>
          <cell r="AY52">
            <v>1918020.1920760032</v>
          </cell>
          <cell r="BA52">
            <v>624.04957947342314</v>
          </cell>
          <cell r="BB52">
            <v>991717.45175487839</v>
          </cell>
          <cell r="BD52">
            <v>994.67292522810465</v>
          </cell>
          <cell r="BE52">
            <v>1310118.677237621</v>
          </cell>
          <cell r="BR52">
            <v>0</v>
          </cell>
          <cell r="BS52">
            <v>-1693470.6946389303</v>
          </cell>
        </row>
        <row r="53">
          <cell r="B53">
            <v>350</v>
          </cell>
          <cell r="F53">
            <v>34113583.474781014</v>
          </cell>
          <cell r="J53">
            <v>1.0082072667712707</v>
          </cell>
          <cell r="M53">
            <v>2907669.7573683448</v>
          </cell>
          <cell r="Q53">
            <v>-96000</v>
          </cell>
          <cell r="R53">
            <v>0</v>
          </cell>
          <cell r="T53">
            <v>15213443.841654262</v>
          </cell>
          <cell r="V53">
            <v>63444.929650517981</v>
          </cell>
          <cell r="W53">
            <v>7417308.4331237227</v>
          </cell>
          <cell r="Y53">
            <v>8054.5678542356818</v>
          </cell>
          <cell r="Z53">
            <v>1908426.6871478865</v>
          </cell>
          <cell r="AA53">
            <v>2017638.1668062881</v>
          </cell>
          <cell r="AC53">
            <v>8560.6879021548593</v>
          </cell>
          <cell r="AD53">
            <v>289287.98009772855</v>
          </cell>
          <cell r="AF53">
            <v>11611.523091404724</v>
          </cell>
          <cell r="AG53">
            <v>511411.96958422079</v>
          </cell>
          <cell r="AI53">
            <v>5189.2428020717307</v>
          </cell>
          <cell r="AJ53">
            <v>312020.95446337224</v>
          </cell>
          <cell r="AL53">
            <v>4327.2255889822936</v>
          </cell>
          <cell r="AM53">
            <v>278145.74343455111</v>
          </cell>
          <cell r="AO53">
            <v>4796.0419680309351</v>
          </cell>
          <cell r="AP53">
            <v>337914.48207467183</v>
          </cell>
          <cell r="AR53">
            <v>3014.5397276460994</v>
          </cell>
          <cell r="AS53">
            <v>288857.03715174348</v>
          </cell>
          <cell r="AU53">
            <v>388.15979770693923</v>
          </cell>
          <cell r="AV53">
            <v>1177554.0841786489</v>
          </cell>
          <cell r="AX53">
            <v>2167.6456235582318</v>
          </cell>
          <cell r="AY53">
            <v>1149749.443560364</v>
          </cell>
          <cell r="BA53">
            <v>725.90923207531489</v>
          </cell>
          <cell r="BB53">
            <v>1153589.1979072003</v>
          </cell>
          <cell r="BD53">
            <v>959.81331796624966</v>
          </cell>
          <cell r="BE53">
            <v>1264203.8630342977</v>
          </cell>
          <cell r="BR53">
            <v>0</v>
          </cell>
          <cell r="BS53">
            <v>0</v>
          </cell>
        </row>
        <row r="54">
          <cell r="B54">
            <v>351</v>
          </cell>
          <cell r="F54">
            <v>24788045.134932987</v>
          </cell>
          <cell r="J54">
            <v>1.0082072667712707</v>
          </cell>
          <cell r="M54">
            <v>1778477.6185845216</v>
          </cell>
          <cell r="Q54">
            <v>-30000</v>
          </cell>
          <cell r="R54">
            <v>168454.08</v>
          </cell>
          <cell r="T54">
            <v>13606314.225676745</v>
          </cell>
          <cell r="V54">
            <v>41174.738139119516</v>
          </cell>
          <cell r="W54">
            <v>4813713.7847462129</v>
          </cell>
          <cell r="Y54">
            <v>4177.0027062333747</v>
          </cell>
          <cell r="Z54">
            <v>989687.29063132976</v>
          </cell>
          <cell r="AA54">
            <v>897127.64911289979</v>
          </cell>
          <cell r="AC54">
            <v>4453.2514973287025</v>
          </cell>
          <cell r="AD54">
            <v>150486.9871736741</v>
          </cell>
          <cell r="AF54">
            <v>3697.0960472502497</v>
          </cell>
          <cell r="AG54">
            <v>162833.00273207761</v>
          </cell>
          <cell r="AI54">
            <v>4634.7288053475313</v>
          </cell>
          <cell r="AJ54">
            <v>278678.90570587176</v>
          </cell>
          <cell r="AL54">
            <v>1532.4750454923314</v>
          </cell>
          <cell r="AM54">
            <v>98504.550330968719</v>
          </cell>
          <cell r="AO54">
            <v>1642.3696375704001</v>
          </cell>
          <cell r="AP54">
            <v>115716.3530165315</v>
          </cell>
          <cell r="AR54">
            <v>948.72303803176578</v>
          </cell>
          <cell r="AS54">
            <v>90907.850153776133</v>
          </cell>
          <cell r="AU54">
            <v>212.73173328873813</v>
          </cell>
          <cell r="AV54">
            <v>645360.80977063614</v>
          </cell>
          <cell r="AX54">
            <v>1421.5722461474918</v>
          </cell>
          <cell r="AY54">
            <v>754021.72810237843</v>
          </cell>
          <cell r="BA54">
            <v>464.78354998155578</v>
          </cell>
          <cell r="BB54">
            <v>738617.52810447139</v>
          </cell>
          <cell r="BD54">
            <v>323.63453263357792</v>
          </cell>
          <cell r="BE54">
            <v>426270.42020379164</v>
          </cell>
          <cell r="BR54">
            <v>4638585.7395876385</v>
          </cell>
          <cell r="BS54">
            <v>0</v>
          </cell>
        </row>
        <row r="55">
          <cell r="B55">
            <v>352</v>
          </cell>
          <cell r="F55">
            <v>73027539.050335571</v>
          </cell>
          <cell r="J55">
            <v>1.0082072667712707</v>
          </cell>
          <cell r="M55">
            <v>5480614.7021686276</v>
          </cell>
          <cell r="Q55">
            <v>-462000</v>
          </cell>
          <cell r="R55">
            <v>1748976.3749999998</v>
          </cell>
          <cell r="T55">
            <v>31739257.397121184</v>
          </cell>
          <cell r="V55">
            <v>112522.03969950316</v>
          </cell>
          <cell r="W55">
            <v>13154883.748359442</v>
          </cell>
          <cell r="Y55">
            <v>20717.651124882843</v>
          </cell>
          <cell r="Z55">
            <v>4908782.0746278539</v>
          </cell>
          <cell r="AA55">
            <v>5920114.7888602028</v>
          </cell>
          <cell r="AC55">
            <v>8318.7181581297555</v>
          </cell>
          <cell r="AD55">
            <v>281111.19111840281</v>
          </cell>
          <cell r="AF55">
            <v>12613.681114575367</v>
          </cell>
          <cell r="AG55">
            <v>555550.5037308489</v>
          </cell>
          <cell r="AI55">
            <v>11397.783150849215</v>
          </cell>
          <cell r="AJ55">
            <v>685330.65673371335</v>
          </cell>
          <cell r="AL55">
            <v>15078.747881831125</v>
          </cell>
          <cell r="AM55">
            <v>969232.93075655797</v>
          </cell>
          <cell r="AO55">
            <v>27876.930926225636</v>
          </cell>
          <cell r="AP55">
            <v>1964123.487358561</v>
          </cell>
          <cell r="AR55">
            <v>15286.438578786006</v>
          </cell>
          <cell r="AS55">
            <v>1464766.0191621184</v>
          </cell>
          <cell r="AU55">
            <v>979.97746330167513</v>
          </cell>
          <cell r="AV55">
            <v>2972941.7397964848</v>
          </cell>
          <cell r="AX55">
            <v>4355.4553924518896</v>
          </cell>
          <cell r="AY55">
            <v>2310194.2307817549</v>
          </cell>
          <cell r="BA55">
            <v>1500.2124129556507</v>
          </cell>
          <cell r="BB55">
            <v>2384084.3423415474</v>
          </cell>
          <cell r="BD55">
            <v>2178.7359034927158</v>
          </cell>
          <cell r="BE55">
            <v>2869689.6512784846</v>
          </cell>
          <cell r="BR55">
            <v>0</v>
          </cell>
          <cell r="BS55">
            <v>-58695.539964579046</v>
          </cell>
        </row>
        <row r="56">
          <cell r="B56">
            <v>353</v>
          </cell>
          <cell r="F56">
            <v>31832473.66449894</v>
          </cell>
          <cell r="J56">
            <v>1.0082072667712707</v>
          </cell>
          <cell r="M56">
            <v>3040753.1165821524</v>
          </cell>
          <cell r="Q56">
            <v>174000</v>
          </cell>
          <cell r="R56">
            <v>447610.91999999993</v>
          </cell>
          <cell r="T56">
            <v>13048152.319538791</v>
          </cell>
          <cell r="V56">
            <v>55232.415037662628</v>
          </cell>
          <cell r="W56">
            <v>6457188.3064149609</v>
          </cell>
          <cell r="Y56">
            <v>7323.6175858265105</v>
          </cell>
          <cell r="Z56">
            <v>1735237.3833323631</v>
          </cell>
          <cell r="AA56">
            <v>2068904.6235954501</v>
          </cell>
          <cell r="AC56">
            <v>6120.8263165683848</v>
          </cell>
          <cell r="AD56">
            <v>206838.69122286065</v>
          </cell>
          <cell r="AF56">
            <v>6516.0435651427224</v>
          </cell>
          <cell r="AG56">
            <v>286989.28188094287</v>
          </cell>
          <cell r="AI56">
            <v>8292.5047691937016</v>
          </cell>
          <cell r="AJ56">
            <v>498615.18369171099</v>
          </cell>
          <cell r="AL56">
            <v>5433.2289606303775</v>
          </cell>
          <cell r="AM56">
            <v>349237.51429841475</v>
          </cell>
          <cell r="AO56">
            <v>7192.5506411462457</v>
          </cell>
          <cell r="AP56">
            <v>506765.17030075856</v>
          </cell>
          <cell r="AR56">
            <v>2300.7289827720397</v>
          </cell>
          <cell r="AS56">
            <v>220458.78220076207</v>
          </cell>
          <cell r="AU56">
            <v>423.4470520439337</v>
          </cell>
          <cell r="AV56">
            <v>1284604.4554676169</v>
          </cell>
          <cell r="AX56">
            <v>2137.3994055550938</v>
          </cell>
          <cell r="AY56">
            <v>1133706.4280688241</v>
          </cell>
          <cell r="BA56">
            <v>674.49066146998007</v>
          </cell>
          <cell r="BB56">
            <v>1071876.629722107</v>
          </cell>
          <cell r="BD56">
            <v>1040.4698993079514</v>
          </cell>
          <cell r="BE56">
            <v>1370439.4817766759</v>
          </cell>
          <cell r="BR56">
            <v>0</v>
          </cell>
          <cell r="BS56">
            <v>-1225243.1825365871</v>
          </cell>
        </row>
        <row r="57">
          <cell r="B57">
            <v>354</v>
          </cell>
          <cell r="F57">
            <v>24739045.319156457</v>
          </cell>
          <cell r="J57">
            <v>1.0082072667712707</v>
          </cell>
          <cell r="M57">
            <v>2097071.1148842431</v>
          </cell>
          <cell r="Q57">
            <v>-438000</v>
          </cell>
          <cell r="R57">
            <v>0</v>
          </cell>
          <cell r="T57">
            <v>9878277.3773454819</v>
          </cell>
          <cell r="V57">
            <v>47873.909447576771</v>
          </cell>
          <cell r="W57">
            <v>5596909.8591192709</v>
          </cell>
          <cell r="Y57">
            <v>7011.0733331274168</v>
          </cell>
          <cell r="Z57">
            <v>1661184.0258388289</v>
          </cell>
          <cell r="AA57">
            <v>1816579.1872947693</v>
          </cell>
          <cell r="AC57">
            <v>4701.2704849544352</v>
          </cell>
          <cell r="AD57">
            <v>158868.195877483</v>
          </cell>
          <cell r="AF57">
            <v>8505.2365024824394</v>
          </cell>
          <cell r="AG57">
            <v>374600.27571524587</v>
          </cell>
          <cell r="AI57">
            <v>5449.3602768987184</v>
          </cell>
          <cell r="AJ57">
            <v>327661.40642598155</v>
          </cell>
          <cell r="AL57">
            <v>3855.3845881333391</v>
          </cell>
          <cell r="AM57">
            <v>247816.7108326476</v>
          </cell>
          <cell r="AO57">
            <v>8121.1095338425857</v>
          </cell>
          <cell r="AP57">
            <v>572188.59640771092</v>
          </cell>
          <cell r="AR57">
            <v>1413.5065880133216</v>
          </cell>
          <cell r="AS57">
            <v>135444.00203570045</v>
          </cell>
          <cell r="AU57">
            <v>343.79867796900334</v>
          </cell>
          <cell r="AV57">
            <v>1042976.474558232</v>
          </cell>
          <cell r="AX57">
            <v>2117.2352602196684</v>
          </cell>
          <cell r="AY57">
            <v>1123011.0844077975</v>
          </cell>
          <cell r="BA57">
            <v>608.95718912984751</v>
          </cell>
          <cell r="BB57">
            <v>967733.1604665959</v>
          </cell>
          <cell r="BD57">
            <v>754.13903554491048</v>
          </cell>
          <cell r="BE57">
            <v>993303.035241234</v>
          </cell>
          <cell r="BR57">
            <v>0</v>
          </cell>
          <cell r="BS57">
            <v>-2714435.245915845</v>
          </cell>
        </row>
        <row r="58">
          <cell r="B58">
            <v>355</v>
          </cell>
          <cell r="F58">
            <v>29929338.076851889</v>
          </cell>
          <cell r="J58">
            <v>1.0082072667712707</v>
          </cell>
          <cell r="M58">
            <v>2427763.0983852199</v>
          </cell>
          <cell r="Q58">
            <v>-366000</v>
          </cell>
          <cell r="R58">
            <v>0</v>
          </cell>
          <cell r="T58">
            <v>14276997.906786805</v>
          </cell>
          <cell r="V58">
            <v>51781.63914879362</v>
          </cell>
          <cell r="W58">
            <v>6053760.1799702002</v>
          </cell>
          <cell r="Y58">
            <v>6909.244399183518</v>
          </cell>
          <cell r="Z58">
            <v>1637056.9642038385</v>
          </cell>
          <cell r="AA58">
            <v>2010627.0455432576</v>
          </cell>
          <cell r="AC58">
            <v>4195.1504370352577</v>
          </cell>
          <cell r="AD58">
            <v>141765.07892905999</v>
          </cell>
          <cell r="AF58">
            <v>4869.6410985052371</v>
          </cell>
          <cell r="AG58">
            <v>214475.97578291103</v>
          </cell>
          <cell r="AI58">
            <v>4671.0242669512972</v>
          </cell>
          <cell r="AJ58">
            <v>280861.29435181728</v>
          </cell>
          <cell r="AL58">
            <v>4353.4389779183466</v>
          </cell>
          <cell r="AM58">
            <v>279830.68969021243</v>
          </cell>
          <cell r="AO58">
            <v>7903.336764219991</v>
          </cell>
          <cell r="AP58">
            <v>556844.99158783932</v>
          </cell>
          <cell r="AR58">
            <v>5602.6077814479513</v>
          </cell>
          <cell r="AS58">
            <v>536849.0152014175</v>
          </cell>
          <cell r="AU58">
            <v>343.79867796900334</v>
          </cell>
          <cell r="AV58">
            <v>1042976.474558232</v>
          </cell>
          <cell r="AX58">
            <v>2117.2352602196684</v>
          </cell>
          <cell r="AY58">
            <v>1123011.0844077975</v>
          </cell>
          <cell r="BA58">
            <v>525.27598598783209</v>
          </cell>
          <cell r="BB58">
            <v>834749.96126340493</v>
          </cell>
          <cell r="BD58">
            <v>674.49066146998007</v>
          </cell>
          <cell r="BE58">
            <v>888395.36173313565</v>
          </cell>
          <cell r="BR58">
            <v>1209359.574226968</v>
          </cell>
          <cell r="BS58">
            <v>0</v>
          </cell>
        </row>
        <row r="59">
          <cell r="B59">
            <v>356</v>
          </cell>
          <cell r="F59">
            <v>28621830.467839755</v>
          </cell>
          <cell r="J59">
            <v>1.0082072667712707</v>
          </cell>
          <cell r="M59">
            <v>2282581.251970157</v>
          </cell>
          <cell r="Q59">
            <v>-516000</v>
          </cell>
          <cell r="R59">
            <v>50249.999999999993</v>
          </cell>
          <cell r="T59">
            <v>13727727.665820554</v>
          </cell>
          <cell r="V59">
            <v>59778.172576339392</v>
          </cell>
          <cell r="W59">
            <v>6988630.076660309</v>
          </cell>
          <cell r="Y59">
            <v>5281.9978706146876</v>
          </cell>
          <cell r="Z59">
            <v>1251501.7416407284</v>
          </cell>
          <cell r="AA59">
            <v>971200.8009697732</v>
          </cell>
          <cell r="AC59">
            <v>5028.9378466550979</v>
          </cell>
          <cell r="AD59">
            <v>169940.93095365327</v>
          </cell>
          <cell r="AF59">
            <v>6064.3667096291929</v>
          </cell>
          <cell r="AG59">
            <v>267095.85804020904</v>
          </cell>
          <cell r="AI59">
            <v>2194.8672197610563</v>
          </cell>
          <cell r="AJ59">
            <v>131973.89117286989</v>
          </cell>
          <cell r="AL59">
            <v>397.23366310788066</v>
          </cell>
          <cell r="AM59">
            <v>25533.416335790578</v>
          </cell>
          <cell r="AO59">
            <v>2411.6317821168795</v>
          </cell>
          <cell r="AP59">
            <v>169916.21633857785</v>
          </cell>
          <cell r="AR59">
            <v>2157.5635508905193</v>
          </cell>
          <cell r="AS59">
            <v>206740.48812867259</v>
          </cell>
          <cell r="AU59">
            <v>293.38831463043977</v>
          </cell>
          <cell r="AV59">
            <v>890047.37271684885</v>
          </cell>
          <cell r="AX59">
            <v>2097.0711148842429</v>
          </cell>
          <cell r="AY59">
            <v>1112315.740746771</v>
          </cell>
          <cell r="BA59">
            <v>548.46475312357131</v>
          </cell>
          <cell r="BB59">
            <v>871600.72730766272</v>
          </cell>
          <cell r="BD59">
            <v>753.13082827813923</v>
          </cell>
          <cell r="BE59">
            <v>991975.09000695427</v>
          </cell>
          <cell r="BR59">
            <v>1026071.2433515489</v>
          </cell>
          <cell r="BS59">
            <v>0</v>
          </cell>
        </row>
        <row r="60">
          <cell r="B60">
            <v>357</v>
          </cell>
          <cell r="F60">
            <v>22019339.089654434</v>
          </cell>
          <cell r="J60">
            <v>1.0082072667712707</v>
          </cell>
          <cell r="M60">
            <v>1653459.9175048841</v>
          </cell>
          <cell r="Q60">
            <v>-336000</v>
          </cell>
          <cell r="R60">
            <v>75374.999999999985</v>
          </cell>
          <cell r="T60">
            <v>8655812.6571818385</v>
          </cell>
          <cell r="V60">
            <v>46605.714764715936</v>
          </cell>
          <cell r="W60">
            <v>5448645.9841675311</v>
          </cell>
          <cell r="Y60">
            <v>6174.2613017072617</v>
          </cell>
          <cell r="Z60">
            <v>1462912.1331948501</v>
          </cell>
          <cell r="AA60">
            <v>1615760.475656477</v>
          </cell>
          <cell r="AC60">
            <v>6463.6167872706164</v>
          </cell>
          <cell r="AD60">
            <v>218422.47561023879</v>
          </cell>
          <cell r="AF60">
            <v>6286.1723083188726</v>
          </cell>
          <cell r="AG60">
            <v>276864.95010485518</v>
          </cell>
          <cell r="AI60">
            <v>8871.215740320411</v>
          </cell>
          <cell r="AJ60">
            <v>533412.15821317502</v>
          </cell>
          <cell r="AL60">
            <v>2613.2732354711338</v>
          </cell>
          <cell r="AM60">
            <v>167976.18056438878</v>
          </cell>
          <cell r="AO60">
            <v>3770.6951777245527</v>
          </cell>
          <cell r="AP60">
            <v>265671.67604777642</v>
          </cell>
          <cell r="AR60">
            <v>1601.0331396327779</v>
          </cell>
          <cell r="AS60">
            <v>153413.035116043</v>
          </cell>
          <cell r="AU60">
            <v>285.32265649626959</v>
          </cell>
          <cell r="AV60">
            <v>865578.71642222744</v>
          </cell>
          <cell r="AX60">
            <v>1451.8184641506298</v>
          </cell>
          <cell r="AY60">
            <v>770064.74359391828</v>
          </cell>
          <cell r="BA60">
            <v>509.14466971949173</v>
          </cell>
          <cell r="BB60">
            <v>809114.64575435594</v>
          </cell>
          <cell r="BD60">
            <v>758.1718646119956</v>
          </cell>
          <cell r="BE60">
            <v>998614.81617835292</v>
          </cell>
          <cell r="BR60">
            <v>0</v>
          </cell>
          <cell r="BS60">
            <v>-2731875.0434192456</v>
          </cell>
        </row>
        <row r="61">
          <cell r="B61">
            <v>358</v>
          </cell>
          <cell r="F61">
            <v>23707030.696389481</v>
          </cell>
          <cell r="J61">
            <v>1.0082072667712707</v>
          </cell>
          <cell r="M61">
            <v>2427763.0983852199</v>
          </cell>
          <cell r="Q61">
            <v>-420000</v>
          </cell>
          <cell r="R61">
            <v>0</v>
          </cell>
          <cell r="T61">
            <v>11372077.207930762</v>
          </cell>
          <cell r="V61">
            <v>53393.729297521066</v>
          </cell>
          <cell r="W61">
            <v>6242228.6662775874</v>
          </cell>
          <cell r="Y61">
            <v>3494.4463866292244</v>
          </cell>
          <cell r="Z61">
            <v>827964.31313738576</v>
          </cell>
          <cell r="AA61">
            <v>705697.42027656431</v>
          </cell>
          <cell r="AC61">
            <v>2619.3224790717613</v>
          </cell>
          <cell r="AD61">
            <v>88513.740701201124</v>
          </cell>
          <cell r="AF61">
            <v>3130.4835633247953</v>
          </cell>
          <cell r="AG61">
            <v>137877.41300329994</v>
          </cell>
          <cell r="AI61">
            <v>2050.6935806127644</v>
          </cell>
          <cell r="AJ61">
            <v>123304.95849591977</v>
          </cell>
          <cell r="AL61">
            <v>1794.6089348528619</v>
          </cell>
          <cell r="AM61">
            <v>115354.01288758179</v>
          </cell>
          <cell r="AO61">
            <v>2658.6425624758408</v>
          </cell>
          <cell r="AP61">
            <v>187319.84217593219</v>
          </cell>
          <cell r="AR61">
            <v>556.53041125774143</v>
          </cell>
          <cell r="AS61">
            <v>53327.453012629565</v>
          </cell>
          <cell r="AU61">
            <v>224.83022048999337</v>
          </cell>
          <cell r="AV61">
            <v>682063.79421256809</v>
          </cell>
          <cell r="AX61">
            <v>1270.3411561318012</v>
          </cell>
          <cell r="AY61">
            <v>673806.65064467862</v>
          </cell>
          <cell r="BA61">
            <v>372.02848143859887</v>
          </cell>
          <cell r="BB61">
            <v>591214.46392744023</v>
          </cell>
          <cell r="BD61">
            <v>458.73430638092816</v>
          </cell>
          <cell r="BE61">
            <v>604215.08159727463</v>
          </cell>
          <cell r="BR61">
            <v>1420136.8632021695</v>
          </cell>
          <cell r="BS61">
            <v>0</v>
          </cell>
        </row>
        <row r="62">
          <cell r="B62">
            <v>359</v>
          </cell>
          <cell r="F62">
            <v>29748908.048117392</v>
          </cell>
          <cell r="J62">
            <v>1.0082072667712707</v>
          </cell>
          <cell r="M62">
            <v>2794750.5434899624</v>
          </cell>
          <cell r="Q62">
            <v>-558000</v>
          </cell>
          <cell r="R62">
            <v>30149.999999999996</v>
          </cell>
          <cell r="T62">
            <v>12511741.797571139</v>
          </cell>
          <cell r="V62">
            <v>64608.5409771821</v>
          </cell>
          <cell r="W62">
            <v>7553345.5310240053</v>
          </cell>
          <cell r="Y62">
            <v>6464.6249945373875</v>
          </cell>
          <cell r="Z62">
            <v>1531710.0911243269</v>
          </cell>
          <cell r="AA62">
            <v>1656433.5145639176</v>
          </cell>
          <cell r="AC62">
            <v>7552.4806353835893</v>
          </cell>
          <cell r="AD62">
            <v>255218.02601720463</v>
          </cell>
          <cell r="AF62">
            <v>6119.8181093016128</v>
          </cell>
          <cell r="AG62">
            <v>269538.13105637062</v>
          </cell>
          <cell r="AI62">
            <v>5651.0017302529723</v>
          </cell>
          <cell r="AJ62">
            <v>339785.78779234528</v>
          </cell>
          <cell r="AL62">
            <v>3405.7241471533525</v>
          </cell>
          <cell r="AM62">
            <v>218913.40198553447</v>
          </cell>
          <cell r="AO62">
            <v>5503.8034693043664</v>
          </cell>
          <cell r="AP62">
            <v>387781.19773925439</v>
          </cell>
          <cell r="AR62">
            <v>1932.733330400526</v>
          </cell>
          <cell r="AS62">
            <v>185196.96997320812</v>
          </cell>
          <cell r="AU62">
            <v>357.91357970380108</v>
          </cell>
          <cell r="AV62">
            <v>1085796.6230738191</v>
          </cell>
          <cell r="AX62">
            <v>2218.0559868967957</v>
          </cell>
          <cell r="AY62">
            <v>1176487.8027129308</v>
          </cell>
          <cell r="BA62">
            <v>594.84228739504977</v>
          </cell>
          <cell r="BB62">
            <v>945302.2593961783</v>
          </cell>
          <cell r="BD62">
            <v>775.31138814710721</v>
          </cell>
          <cell r="BE62">
            <v>1021189.8851611083</v>
          </cell>
          <cell r="BR62">
            <v>0</v>
          </cell>
          <cell r="BS62">
            <v>-1685174.4200477861</v>
          </cell>
        </row>
        <row r="63">
          <cell r="B63">
            <v>370</v>
          </cell>
          <cell r="F63">
            <v>24163229.7386836</v>
          </cell>
          <cell r="J63">
            <v>1</v>
          </cell>
          <cell r="M63">
            <v>1876000</v>
          </cell>
          <cell r="Q63">
            <v>-228000</v>
          </cell>
          <cell r="R63">
            <v>0</v>
          </cell>
          <cell r="T63">
            <v>9775872.6542681213</v>
          </cell>
          <cell r="V63">
            <v>47416.194000000003</v>
          </cell>
          <cell r="W63">
            <v>5543398.6223981744</v>
          </cell>
          <cell r="Y63">
            <v>6176</v>
          </cell>
          <cell r="Z63">
            <v>1463324.0954854172</v>
          </cell>
          <cell r="AA63">
            <v>1554809.9810000779</v>
          </cell>
          <cell r="AC63">
            <v>5454</v>
          </cell>
          <cell r="AD63">
            <v>184304.89015443024</v>
          </cell>
          <cell r="AF63">
            <v>5397</v>
          </cell>
          <cell r="AG63">
            <v>237702.70085318608</v>
          </cell>
          <cell r="AI63">
            <v>4998</v>
          </cell>
          <cell r="AJ63">
            <v>300521.8275362514</v>
          </cell>
          <cell r="AL63">
            <v>2768</v>
          </cell>
          <cell r="AM63">
            <v>177921.71958566867</v>
          </cell>
          <cell r="AO63">
            <v>7722</v>
          </cell>
          <cell r="AP63">
            <v>544068.55652514682</v>
          </cell>
          <cell r="AR63">
            <v>1151</v>
          </cell>
          <cell r="AS63">
            <v>110290.28634539479</v>
          </cell>
          <cell r="AU63">
            <v>308</v>
          </cell>
          <cell r="AV63">
            <v>934374.6056897227</v>
          </cell>
          <cell r="AX63">
            <v>2050</v>
          </cell>
          <cell r="AY63">
            <v>1087348.5655047747</v>
          </cell>
          <cell r="BA63">
            <v>668</v>
          </cell>
          <cell r="BB63">
            <v>1061561.9007888008</v>
          </cell>
          <cell r="BD63">
            <v>831</v>
          </cell>
          <cell r="BE63">
            <v>1094539.3135485151</v>
          </cell>
          <cell r="BR63">
            <v>0</v>
          </cell>
          <cell r="BS63">
            <v>-2261280.9415985644</v>
          </cell>
        </row>
        <row r="64">
          <cell r="B64">
            <v>371</v>
          </cell>
          <cell r="F64">
            <v>31619934.3935901</v>
          </cell>
          <cell r="J64">
            <v>1</v>
          </cell>
          <cell r="M64">
            <v>2416000</v>
          </cell>
          <cell r="Q64">
            <v>-540000</v>
          </cell>
          <cell r="R64">
            <v>257279.99999999997</v>
          </cell>
          <cell r="T64">
            <v>13370279.488845488</v>
          </cell>
          <cell r="V64">
            <v>61347.592000000004</v>
          </cell>
          <cell r="W64">
            <v>7172109.9542541374</v>
          </cell>
          <cell r="Y64">
            <v>7389</v>
          </cell>
          <cell r="Z64">
            <v>1750728.9089283918</v>
          </cell>
          <cell r="AA64">
            <v>2094204.0167669829</v>
          </cell>
          <cell r="AC64">
            <v>8681</v>
          </cell>
          <cell r="AD64">
            <v>293353.63979292428</v>
          </cell>
          <cell r="AF64">
            <v>2635</v>
          </cell>
          <cell r="AG64">
            <v>116054.58898427743</v>
          </cell>
          <cell r="AI64">
            <v>10050</v>
          </cell>
          <cell r="AJ64">
            <v>604290.58958369878</v>
          </cell>
          <cell r="AL64">
            <v>4822</v>
          </cell>
          <cell r="AM64">
            <v>309948.89156145026</v>
          </cell>
          <cell r="AO64">
            <v>8324</v>
          </cell>
          <cell r="AP64">
            <v>586483.6395383738</v>
          </cell>
          <cell r="AR64">
            <v>1921</v>
          </cell>
          <cell r="AS64">
            <v>184072.66730625837</v>
          </cell>
          <cell r="AU64">
            <v>372</v>
          </cell>
          <cell r="AV64">
            <v>1128530.3679109637</v>
          </cell>
          <cell r="AX64">
            <v>2200</v>
          </cell>
          <cell r="AY64">
            <v>1166910.6556636607</v>
          </cell>
          <cell r="BA64">
            <v>885</v>
          </cell>
          <cell r="BB64">
            <v>1406410.6020929469</v>
          </cell>
          <cell r="BD64">
            <v>1061</v>
          </cell>
          <cell r="BE64">
            <v>1397480.3991275262</v>
          </cell>
          <cell r="BR64">
            <v>0</v>
          </cell>
          <cell r="BS64">
            <v>-1930358.6873096265</v>
          </cell>
        </row>
        <row r="65">
          <cell r="B65">
            <v>372</v>
          </cell>
          <cell r="F65">
            <v>30508181.850076891</v>
          </cell>
          <cell r="J65">
            <v>1</v>
          </cell>
          <cell r="M65">
            <v>2692000</v>
          </cell>
          <cell r="Q65">
            <v>177000</v>
          </cell>
          <cell r="R65">
            <v>0</v>
          </cell>
          <cell r="T65">
            <v>12803815.872625368</v>
          </cell>
          <cell r="V65">
            <v>53508.731999999996</v>
          </cell>
          <cell r="W65">
            <v>6255673.5628142804</v>
          </cell>
          <cell r="Y65">
            <v>6557</v>
          </cell>
          <cell r="Z65">
            <v>1553597.1654951232</v>
          </cell>
          <cell r="AA65">
            <v>1708892.8946398825</v>
          </cell>
          <cell r="AC65">
            <v>6862</v>
          </cell>
          <cell r="AD65">
            <v>231884.88379899162</v>
          </cell>
          <cell r="AF65">
            <v>6346</v>
          </cell>
          <cell r="AG65">
            <v>279499.97028243821</v>
          </cell>
          <cell r="AI65">
            <v>4407</v>
          </cell>
          <cell r="AJ65">
            <v>264985.93316371745</v>
          </cell>
          <cell r="AL65">
            <v>4636</v>
          </cell>
          <cell r="AM65">
            <v>297993.16907484102</v>
          </cell>
          <cell r="AO65">
            <v>3570</v>
          </cell>
          <cell r="AP65">
            <v>251531.30624122953</v>
          </cell>
          <cell r="AR65">
            <v>3997</v>
          </cell>
          <cell r="AS65">
            <v>382997.63207866467</v>
          </cell>
          <cell r="AU65">
            <v>413</v>
          </cell>
          <cell r="AV65">
            <v>1252911.4030839463</v>
          </cell>
          <cell r="AX65">
            <v>2530</v>
          </cell>
          <cell r="AY65">
            <v>1341947.2540132098</v>
          </cell>
          <cell r="BA65">
            <v>929</v>
          </cell>
          <cell r="BB65">
            <v>1476333.8410670594</v>
          </cell>
          <cell r="BD65">
            <v>946</v>
          </cell>
          <cell r="BE65">
            <v>1246009.8563380206</v>
          </cell>
          <cell r="BR65">
            <v>0</v>
          </cell>
          <cell r="BS65">
            <v>-1243292.1614408158</v>
          </cell>
        </row>
        <row r="66">
          <cell r="B66">
            <v>373</v>
          </cell>
          <cell r="F66">
            <v>60456309.376967385</v>
          </cell>
          <cell r="J66">
            <v>1</v>
          </cell>
          <cell r="M66">
            <v>4384000</v>
          </cell>
          <cell r="Q66">
            <v>-291000</v>
          </cell>
          <cell r="R66">
            <v>1574834.9999999998</v>
          </cell>
          <cell r="T66">
            <v>23202114.665483199</v>
          </cell>
          <cell r="V66">
            <v>111121.63499999998</v>
          </cell>
          <cell r="W66">
            <v>12991163.280157674</v>
          </cell>
          <cell r="Y66">
            <v>16411</v>
          </cell>
          <cell r="Z66">
            <v>3888376.2517828988</v>
          </cell>
          <cell r="AA66">
            <v>3588826.9883491946</v>
          </cell>
          <cell r="AC66">
            <v>7850</v>
          </cell>
          <cell r="AD66">
            <v>265271.98161207873</v>
          </cell>
          <cell r="AF66">
            <v>8377</v>
          </cell>
          <cell r="AG66">
            <v>368952.29294925695</v>
          </cell>
          <cell r="AI66">
            <v>7168</v>
          </cell>
          <cell r="AJ66">
            <v>431000.49215283111</v>
          </cell>
          <cell r="AL66">
            <v>12558</v>
          </cell>
          <cell r="AM66">
            <v>807204.10207977856</v>
          </cell>
          <cell r="AO66">
            <v>18294</v>
          </cell>
          <cell r="AP66">
            <v>1288939.4163521158</v>
          </cell>
          <cell r="AR66">
            <v>4461</v>
          </cell>
          <cell r="AS66">
            <v>427458.70320313307</v>
          </cell>
          <cell r="AU66">
            <v>828</v>
          </cell>
          <cell r="AV66">
            <v>2511890.1737373066</v>
          </cell>
          <cell r="AX66">
            <v>5330</v>
          </cell>
          <cell r="AY66">
            <v>2827106.2703124145</v>
          </cell>
          <cell r="BA66">
            <v>1891</v>
          </cell>
          <cell r="BB66">
            <v>3005110.1113647036</v>
          </cell>
          <cell r="BD66">
            <v>2106</v>
          </cell>
          <cell r="BE66">
            <v>2773886.6357799908</v>
          </cell>
          <cell r="BR66">
            <v>0</v>
          </cell>
          <cell r="BS66">
            <v>-6723083.5393134058</v>
          </cell>
        </row>
        <row r="67">
          <cell r="B67">
            <v>380</v>
          </cell>
          <cell r="F67">
            <v>71308968.556150034</v>
          </cell>
          <cell r="J67">
            <v>1.0002429734488885</v>
          </cell>
          <cell r="M67">
            <v>4321049.6452991981</v>
          </cell>
          <cell r="Q67">
            <v>-864000</v>
          </cell>
          <cell r="R67">
            <v>1652219.9999999998</v>
          </cell>
          <cell r="T67">
            <v>29369530.347929865</v>
          </cell>
          <cell r="V67">
            <v>131606.4911153962</v>
          </cell>
          <cell r="W67">
            <v>15386035.444931427</v>
          </cell>
          <cell r="Y67">
            <v>18332.453217371229</v>
          </cell>
          <cell r="Z67">
            <v>4343639.9809485879</v>
          </cell>
          <cell r="AA67">
            <v>4617842.6629834473</v>
          </cell>
          <cell r="AC67">
            <v>17127.160434365316</v>
          </cell>
          <cell r="AD67">
            <v>578771.43793784443</v>
          </cell>
          <cell r="AF67">
            <v>22046.355377786949</v>
          </cell>
          <cell r="AG67">
            <v>970998.37266428035</v>
          </cell>
          <cell r="AI67">
            <v>17379.221663674438</v>
          </cell>
          <cell r="AJ67">
            <v>1044985.0851390663</v>
          </cell>
          <cell r="AL67">
            <v>8065.9593378918362</v>
          </cell>
          <cell r="AM67">
            <v>518464.36253822141</v>
          </cell>
          <cell r="AO67">
            <v>15486.761957909141</v>
          </cell>
          <cell r="AP67">
            <v>1091149.99011761</v>
          </cell>
          <cell r="AR67">
            <v>4315.0481874585048</v>
          </cell>
          <cell r="AS67">
            <v>413473.41458642512</v>
          </cell>
          <cell r="AU67">
            <v>1133.2752889175906</v>
          </cell>
          <cell r="AV67">
            <v>3437998.8675983124</v>
          </cell>
          <cell r="AX67">
            <v>4411.0715129095979</v>
          </cell>
          <cell r="AY67">
            <v>2339693.7960493793</v>
          </cell>
          <cell r="BA67">
            <v>2224.5403729503278</v>
          </cell>
          <cell r="BB67">
            <v>3535160.6387583492</v>
          </cell>
          <cell r="BD67">
            <v>2406.5845941180255</v>
          </cell>
          <cell r="BE67">
            <v>3169797.1716514742</v>
          </cell>
          <cell r="BR67">
            <v>0</v>
          </cell>
          <cell r="BS67">
            <v>-5665975.6656344533</v>
          </cell>
        </row>
        <row r="68">
          <cell r="B68">
            <v>381</v>
          </cell>
          <cell r="F68">
            <v>19569376.689761095</v>
          </cell>
          <cell r="J68">
            <v>1.0002429734488885</v>
          </cell>
          <cell r="M68">
            <v>1332323.6406339195</v>
          </cell>
          <cell r="Q68">
            <v>-234000</v>
          </cell>
          <cell r="R68">
            <v>0</v>
          </cell>
          <cell r="T68">
            <v>8239303.021001826</v>
          </cell>
          <cell r="V68">
            <v>43479.66383763303</v>
          </cell>
          <cell r="W68">
            <v>5083181.2570167622</v>
          </cell>
          <cell r="Y68">
            <v>4696.1407603425314</v>
          </cell>
          <cell r="Z68">
            <v>1112690.4032384122</v>
          </cell>
          <cell r="AA68">
            <v>1185440.6415577193</v>
          </cell>
          <cell r="AC68">
            <v>5416.3157012257307</v>
          </cell>
          <cell r="AD68">
            <v>183031.43937589371</v>
          </cell>
          <cell r="AF68">
            <v>3262.7925793902741</v>
          </cell>
          <cell r="AG68">
            <v>143704.76346948335</v>
          </cell>
          <cell r="AI68">
            <v>5241.2731808721755</v>
          </cell>
          <cell r="AJ68">
            <v>315149.45876999752</v>
          </cell>
          <cell r="AL68">
            <v>2328.5656421890121</v>
          </cell>
          <cell r="AM68">
            <v>149675.72370895083</v>
          </cell>
          <cell r="AO68">
            <v>3209.7797017974831</v>
          </cell>
          <cell r="AP68">
            <v>226151.28323241038</v>
          </cell>
          <cell r="AR68">
            <v>1750.4252035355548</v>
          </cell>
          <cell r="AS68">
            <v>167727.97300098377</v>
          </cell>
          <cell r="AU68">
            <v>247.06001444187544</v>
          </cell>
          <cell r="AV68">
            <v>749501.95966176805</v>
          </cell>
          <cell r="AX68">
            <v>1280.3110060145773</v>
          </cell>
          <cell r="AY68">
            <v>679094.79794630513</v>
          </cell>
          <cell r="BA68">
            <v>495.12027185719978</v>
          </cell>
          <cell r="BB68">
            <v>786827.57022724056</v>
          </cell>
          <cell r="BD68">
            <v>482.11711320236424</v>
          </cell>
          <cell r="BE68">
            <v>635013.39847714501</v>
          </cell>
          <cell r="BR68">
            <v>0</v>
          </cell>
          <cell r="BS68">
            <v>-1460318.8938213922</v>
          </cell>
        </row>
        <row r="69">
          <cell r="B69">
            <v>382</v>
          </cell>
          <cell r="F69">
            <v>40647881.259445302</v>
          </cell>
          <cell r="J69">
            <v>1.0002429734488885</v>
          </cell>
          <cell r="M69">
            <v>3020733.7798156431</v>
          </cell>
          <cell r="Q69">
            <v>-234000</v>
          </cell>
          <cell r="R69">
            <v>0</v>
          </cell>
          <cell r="T69">
            <v>15418901.418451075</v>
          </cell>
          <cell r="V69">
            <v>94158.087357850396</v>
          </cell>
          <cell r="W69">
            <v>11007965.163698183</v>
          </cell>
          <cell r="Y69">
            <v>12871.126582340297</v>
          </cell>
          <cell r="Z69">
            <v>3049648.5854892205</v>
          </cell>
          <cell r="AA69">
            <v>1933484.2490771185</v>
          </cell>
          <cell r="AC69">
            <v>14478.517040672661</v>
          </cell>
          <cell r="AD69">
            <v>489266.86702974356</v>
          </cell>
          <cell r="AF69">
            <v>8810.1401101378087</v>
          </cell>
          <cell r="AG69">
            <v>388029.29388081218</v>
          </cell>
          <cell r="AI69">
            <v>5489.3334382875</v>
          </cell>
          <cell r="AJ69">
            <v>330064.92933773785</v>
          </cell>
          <cell r="AL69">
            <v>4661.1322562718206</v>
          </cell>
          <cell r="AM69">
            <v>299608.62220090674</v>
          </cell>
          <cell r="AO69">
            <v>4825.1721039174381</v>
          </cell>
          <cell r="AP69">
            <v>339966.90255941037</v>
          </cell>
          <cell r="AR69">
            <v>903.21940502434632</v>
          </cell>
          <cell r="AS69">
            <v>86547.634068507614</v>
          </cell>
          <cell r="AU69">
            <v>604.14675596312861</v>
          </cell>
          <cell r="AV69">
            <v>1832790.217148615</v>
          </cell>
          <cell r="AX69">
            <v>2410.5855660118214</v>
          </cell>
          <cell r="AY69">
            <v>1278608.1742582778</v>
          </cell>
          <cell r="BA69">
            <v>1225.2976424748883</v>
          </cell>
          <cell r="BB69">
            <v>1947199.5424815551</v>
          </cell>
          <cell r="BD69">
            <v>1057.2568229354752</v>
          </cell>
          <cell r="BE69">
            <v>1392550.1290256064</v>
          </cell>
          <cell r="BR69">
            <v>0</v>
          </cell>
          <cell r="BS69">
            <v>-5963923.6706857868</v>
          </cell>
        </row>
        <row r="70">
          <cell r="B70">
            <v>383</v>
          </cell>
          <cell r="F70">
            <v>73433527.620192796</v>
          </cell>
          <cell r="J70">
            <v>1.0002429734488885</v>
          </cell>
          <cell r="M70">
            <v>4757155.5817229133</v>
          </cell>
          <cell r="Q70">
            <v>-162000</v>
          </cell>
          <cell r="R70">
            <v>992437.49999999988</v>
          </cell>
          <cell r="T70">
            <v>29200159.934584543</v>
          </cell>
          <cell r="V70">
            <v>156013.18285293784</v>
          </cell>
          <cell r="W70">
            <v>18239407.045258209</v>
          </cell>
          <cell r="Y70">
            <v>18849.578834644304</v>
          </cell>
          <cell r="Z70">
            <v>4466166.2724234033</v>
          </cell>
          <cell r="AA70">
            <v>4569499.0857370272</v>
          </cell>
          <cell r="AC70">
            <v>10023.434836931312</v>
          </cell>
          <cell r="AD70">
            <v>338718.01550984877</v>
          </cell>
          <cell r="AF70">
            <v>15695.812739359957</v>
          </cell>
          <cell r="AG70">
            <v>691298.3287440628</v>
          </cell>
          <cell r="AI70">
            <v>8772.130877146752</v>
          </cell>
          <cell r="AJ70">
            <v>527454.34225436603</v>
          </cell>
          <cell r="AL70">
            <v>10163.468853214155</v>
          </cell>
          <cell r="AM70">
            <v>653288.24252862937</v>
          </cell>
          <cell r="AO70">
            <v>21746.282485752283</v>
          </cell>
          <cell r="AP70">
            <v>1532176.7057512728</v>
          </cell>
          <cell r="AR70">
            <v>8626.0954030232133</v>
          </cell>
          <cell r="AS70">
            <v>826563.45094884792</v>
          </cell>
          <cell r="AU70">
            <v>827.20093904223074</v>
          </cell>
          <cell r="AV70">
            <v>2509466.0754667292</v>
          </cell>
          <cell r="AX70">
            <v>4060.9864722024872</v>
          </cell>
          <cell r="AY70">
            <v>2154003.812235937</v>
          </cell>
          <cell r="BA70">
            <v>2029.4929931277948</v>
          </cell>
          <cell r="BB70">
            <v>3225198.2626082245</v>
          </cell>
          <cell r="BD70">
            <v>2643.6421788254124</v>
          </cell>
          <cell r="BE70">
            <v>3482034.050155797</v>
          </cell>
          <cell r="BR70">
            <v>0</v>
          </cell>
          <cell r="BS70">
            <v>-7095707.4748091698</v>
          </cell>
        </row>
        <row r="71">
          <cell r="B71">
            <v>384</v>
          </cell>
          <cell r="F71">
            <v>31774778.838656668</v>
          </cell>
          <cell r="J71">
            <v>1.0002429734488885</v>
          </cell>
          <cell r="M71">
            <v>1932469.4247032525</v>
          </cell>
          <cell r="Q71">
            <v>-9000</v>
          </cell>
          <cell r="R71">
            <v>685287.3899999999</v>
          </cell>
          <cell r="T71">
            <v>12578524.978970114</v>
          </cell>
          <cell r="V71">
            <v>66094.253247664397</v>
          </cell>
          <cell r="W71">
            <v>7727039.2558613811</v>
          </cell>
          <cell r="Y71">
            <v>6637.6123718068238</v>
          </cell>
          <cell r="Z71">
            <v>1572697.2344813854</v>
          </cell>
          <cell r="AA71">
            <v>1854534.861451745</v>
          </cell>
          <cell r="AC71">
            <v>7667.8626344591794</v>
          </cell>
          <cell r="AD71">
            <v>259117.08481174539</v>
          </cell>
          <cell r="AF71">
            <v>8105.969056829792</v>
          </cell>
          <cell r="AG71">
            <v>357015.14505110151</v>
          </cell>
          <cell r="AI71">
            <v>4801.1662725546648</v>
          </cell>
          <cell r="AJ71">
            <v>288686.52711755503</v>
          </cell>
          <cell r="AL71">
            <v>5391.3096268895088</v>
          </cell>
          <cell r="AM71">
            <v>346543.02009933209</v>
          </cell>
          <cell r="AO71">
            <v>5731.392237862131</v>
          </cell>
          <cell r="AP71">
            <v>403816.40789084189</v>
          </cell>
          <cell r="AR71">
            <v>2080.5053847736881</v>
          </cell>
          <cell r="AS71">
            <v>199356.67648116927</v>
          </cell>
          <cell r="AU71">
            <v>364.08844233539543</v>
          </cell>
          <cell r="AV71">
            <v>1104529.2037120794</v>
          </cell>
          <cell r="AX71">
            <v>2630.6390201705767</v>
          </cell>
          <cell r="AY71">
            <v>1395327.592655299</v>
          </cell>
          <cell r="BA71">
            <v>971.23592721887064</v>
          </cell>
          <cell r="BB71">
            <v>1543453.6781629305</v>
          </cell>
          <cell r="BD71">
            <v>1055.2563369885772</v>
          </cell>
          <cell r="BE71">
            <v>1389915.218658481</v>
          </cell>
          <cell r="BR71">
            <v>0</v>
          </cell>
          <cell r="BS71">
            <v>-3140381.499734886</v>
          </cell>
        </row>
        <row r="72">
          <cell r="B72">
            <v>390</v>
          </cell>
          <cell r="F72">
            <v>21280991.683103755</v>
          </cell>
          <cell r="J72">
            <v>1</v>
          </cell>
          <cell r="M72">
            <v>2372000</v>
          </cell>
          <cell r="Q72">
            <v>-300000</v>
          </cell>
          <cell r="R72">
            <v>0</v>
          </cell>
          <cell r="T72">
            <v>9735376.9483356941</v>
          </cell>
          <cell r="V72">
            <v>37930.044000000002</v>
          </cell>
          <cell r="W72">
            <v>4434378.5512836007</v>
          </cell>
          <cell r="Y72">
            <v>4379</v>
          </cell>
          <cell r="Z72">
            <v>1037547.9621325522</v>
          </cell>
          <cell r="AA72">
            <v>1075442.1449055108</v>
          </cell>
          <cell r="AC72">
            <v>4365</v>
          </cell>
          <cell r="AD72">
            <v>147504.73881996481</v>
          </cell>
          <cell r="AF72">
            <v>4780</v>
          </cell>
          <cell r="AG72">
            <v>210527.86920108015</v>
          </cell>
          <cell r="AI72">
            <v>4972</v>
          </cell>
          <cell r="AJ72">
            <v>298958.48869752738</v>
          </cell>
          <cell r="AL72">
            <v>1540</v>
          </cell>
          <cell r="AM72">
            <v>98988.239942893691</v>
          </cell>
          <cell r="AO72">
            <v>2452</v>
          </cell>
          <cell r="AP72">
            <v>172760.43778809378</v>
          </cell>
          <cell r="AR72">
            <v>1531</v>
          </cell>
          <cell r="AS72">
            <v>146702.37045595085</v>
          </cell>
          <cell r="AU72">
            <v>250</v>
          </cell>
          <cell r="AV72">
            <v>758420.946176723</v>
          </cell>
          <cell r="AX72">
            <v>1380</v>
          </cell>
          <cell r="AY72">
            <v>731971.22946175083</v>
          </cell>
          <cell r="BA72">
            <v>388</v>
          </cell>
          <cell r="BB72">
            <v>616595.8345899022</v>
          </cell>
          <cell r="BD72">
            <v>622</v>
          </cell>
          <cell r="BE72">
            <v>819258.06621802202</v>
          </cell>
          <cell r="BR72">
            <v>369187.92018343136</v>
          </cell>
          <cell r="BS72">
            <v>0</v>
          </cell>
        </row>
        <row r="73">
          <cell r="B73">
            <v>391</v>
          </cell>
          <cell r="F73">
            <v>35399730.961051881</v>
          </cell>
          <cell r="J73">
            <v>1</v>
          </cell>
          <cell r="M73">
            <v>2584000</v>
          </cell>
          <cell r="Q73">
            <v>-42000</v>
          </cell>
          <cell r="R73">
            <v>2829075</v>
          </cell>
          <cell r="T73">
            <v>14840988.920024313</v>
          </cell>
          <cell r="V73">
            <v>55175.802000000003</v>
          </cell>
          <cell r="W73">
            <v>6450569.7103507398</v>
          </cell>
          <cell r="Y73">
            <v>8811</v>
          </cell>
          <cell r="Z73">
            <v>2087653.59542131</v>
          </cell>
          <cell r="AA73">
            <v>2117342.6245593489</v>
          </cell>
          <cell r="AC73">
            <v>4530</v>
          </cell>
          <cell r="AD73">
            <v>153080.51932518685</v>
          </cell>
          <cell r="AF73">
            <v>3275</v>
          </cell>
          <cell r="AG73">
            <v>144242.42084383627</v>
          </cell>
          <cell r="AI73">
            <v>5095</v>
          </cell>
          <cell r="AJ73">
            <v>306354.28397302935</v>
          </cell>
          <cell r="AL73">
            <v>3575</v>
          </cell>
          <cell r="AM73">
            <v>229794.12843886038</v>
          </cell>
          <cell r="AO73">
            <v>11418</v>
          </cell>
          <cell r="AP73">
            <v>804477.43828077277</v>
          </cell>
          <cell r="AR73">
            <v>5003</v>
          </cell>
          <cell r="AS73">
            <v>479393.83369766304</v>
          </cell>
          <cell r="AU73">
            <v>454</v>
          </cell>
          <cell r="AV73">
            <v>1377292.4382569289</v>
          </cell>
          <cell r="AX73">
            <v>2000</v>
          </cell>
          <cell r="AY73">
            <v>1060827.8687851462</v>
          </cell>
          <cell r="BA73">
            <v>643</v>
          </cell>
          <cell r="BB73">
            <v>1021832.7877353275</v>
          </cell>
          <cell r="BD73">
            <v>814</v>
          </cell>
          <cell r="BE73">
            <v>1072148.015918762</v>
          </cell>
          <cell r="BR73">
            <v>143192.28854863346</v>
          </cell>
          <cell r="BS73">
            <v>0</v>
          </cell>
        </row>
        <row r="74">
          <cell r="B74">
            <v>392</v>
          </cell>
          <cell r="F74">
            <v>20059313.970324475</v>
          </cell>
          <cell r="J74">
            <v>1</v>
          </cell>
          <cell r="M74">
            <v>2252000</v>
          </cell>
          <cell r="Q74">
            <v>-102000</v>
          </cell>
          <cell r="R74">
            <v>0</v>
          </cell>
          <cell r="T74">
            <v>8710007.8182467632</v>
          </cell>
          <cell r="V74">
            <v>38370.874000000003</v>
          </cell>
          <cell r="W74">
            <v>4485915.7205197439</v>
          </cell>
          <cell r="Y74">
            <v>3935</v>
          </cell>
          <cell r="Z74">
            <v>932347.84905037517</v>
          </cell>
          <cell r="AA74">
            <v>1040825.9099839431</v>
          </cell>
          <cell r="AC74">
            <v>3538</v>
          </cell>
          <cell r="AD74">
            <v>119558.25107560951</v>
          </cell>
          <cell r="AF74">
            <v>3340</v>
          </cell>
          <cell r="AG74">
            <v>147105.24751707274</v>
          </cell>
          <cell r="AI74">
            <v>3717</v>
          </cell>
          <cell r="AJ74">
            <v>223497.32552065753</v>
          </cell>
          <cell r="AL74">
            <v>4398</v>
          </cell>
          <cell r="AM74">
            <v>282694.98653821199</v>
          </cell>
          <cell r="AO74">
            <v>2087</v>
          </cell>
          <cell r="AP74">
            <v>147043.65157575518</v>
          </cell>
          <cell r="AR74">
            <v>1262</v>
          </cell>
          <cell r="AS74">
            <v>120926.44775663617</v>
          </cell>
          <cell r="AU74">
            <v>222</v>
          </cell>
          <cell r="AV74">
            <v>673477.8002049299</v>
          </cell>
          <cell r="AX74">
            <v>1550</v>
          </cell>
          <cell r="AY74">
            <v>822141.59830848826</v>
          </cell>
          <cell r="BA74">
            <v>387</v>
          </cell>
          <cell r="BB74">
            <v>615006.67006776319</v>
          </cell>
          <cell r="BD74">
            <v>478</v>
          </cell>
          <cell r="BE74">
            <v>629590.60394246713</v>
          </cell>
          <cell r="BR74">
            <v>0</v>
          </cell>
          <cell r="BS74">
            <v>0</v>
          </cell>
        </row>
        <row r="75">
          <cell r="B75">
            <v>393</v>
          </cell>
          <cell r="F75">
            <v>16810325.832629085</v>
          </cell>
          <cell r="J75">
            <v>1</v>
          </cell>
          <cell r="M75">
            <v>1908000</v>
          </cell>
          <cell r="Q75">
            <v>-42000</v>
          </cell>
          <cell r="R75">
            <v>0</v>
          </cell>
          <cell r="T75">
            <v>7344924.7471680511</v>
          </cell>
          <cell r="V75">
            <v>27659.008999999998</v>
          </cell>
          <cell r="W75">
            <v>3233598.0485379887</v>
          </cell>
          <cell r="Y75">
            <v>4316</v>
          </cell>
          <cell r="Z75">
            <v>1022620.919060081</v>
          </cell>
          <cell r="AA75">
            <v>1131740.2365124659</v>
          </cell>
          <cell r="AC75">
            <v>2959</v>
          </cell>
          <cell r="AD75">
            <v>99992.330393648532</v>
          </cell>
          <cell r="AF75">
            <v>2153</v>
          </cell>
          <cell r="AG75">
            <v>94825.628115047177</v>
          </cell>
          <cell r="AI75">
            <v>3840</v>
          </cell>
          <cell r="AJ75">
            <v>230893.12079615952</v>
          </cell>
          <cell r="AL75">
            <v>4308</v>
          </cell>
          <cell r="AM75">
            <v>276909.95952856238</v>
          </cell>
          <cell r="AO75">
            <v>4109</v>
          </cell>
          <cell r="AP75">
            <v>289507.60149725835</v>
          </cell>
          <cell r="AR75">
            <v>1457</v>
          </cell>
          <cell r="AS75">
            <v>139611.59618178994</v>
          </cell>
          <cell r="AU75">
            <v>178</v>
          </cell>
          <cell r="AV75">
            <v>539995.7136778268</v>
          </cell>
          <cell r="AX75">
            <v>1230</v>
          </cell>
          <cell r="AY75">
            <v>652409.1393028649</v>
          </cell>
          <cell r="BA75">
            <v>318</v>
          </cell>
          <cell r="BB75">
            <v>505354.31804017752</v>
          </cell>
          <cell r="BD75">
            <v>390</v>
          </cell>
          <cell r="BE75">
            <v>513682.71032962803</v>
          </cell>
          <cell r="BR75">
            <v>0</v>
          </cell>
          <cell r="BS75">
            <v>0</v>
          </cell>
        </row>
        <row r="76">
          <cell r="B76">
            <v>394</v>
          </cell>
          <cell r="F76">
            <v>26714355.203316435</v>
          </cell>
          <cell r="J76">
            <v>1</v>
          </cell>
          <cell r="M76">
            <v>2760000</v>
          </cell>
          <cell r="Q76">
            <v>-228000</v>
          </cell>
          <cell r="R76">
            <v>0</v>
          </cell>
          <cell r="T76">
            <v>9897450.3917676583</v>
          </cell>
          <cell r="V76">
            <v>51323.520999999993</v>
          </cell>
          <cell r="W76">
            <v>6000201.8636928918</v>
          </cell>
          <cell r="Y76">
            <v>8480</v>
          </cell>
          <cell r="Z76">
            <v>2009227.3849929306</v>
          </cell>
          <cell r="AA76">
            <v>1911340.8520596258</v>
          </cell>
          <cell r="AC76">
            <v>5839</v>
          </cell>
          <cell r="AD76">
            <v>197315.04466661499</v>
          </cell>
          <cell r="AF76">
            <v>4179</v>
          </cell>
          <cell r="AG76">
            <v>184057.73334546317</v>
          </cell>
          <cell r="AI76">
            <v>6630</v>
          </cell>
          <cell r="AJ76">
            <v>398651.40387461917</v>
          </cell>
          <cell r="AL76">
            <v>6473</v>
          </cell>
          <cell r="AM76">
            <v>416071.99814957846</v>
          </cell>
          <cell r="AO76">
            <v>6674</v>
          </cell>
          <cell r="AP76">
            <v>470229.67446889804</v>
          </cell>
          <cell r="AR76">
            <v>2557</v>
          </cell>
          <cell r="AS76">
            <v>245014.99755445219</v>
          </cell>
          <cell r="AU76">
            <v>328</v>
          </cell>
          <cell r="AV76">
            <v>995048.28138386062</v>
          </cell>
          <cell r="AX76">
            <v>2350</v>
          </cell>
          <cell r="AY76">
            <v>1246472.7458225468</v>
          </cell>
          <cell r="BA76">
            <v>603</v>
          </cell>
          <cell r="BB76">
            <v>958266.20684977062</v>
          </cell>
          <cell r="BD76">
            <v>884</v>
          </cell>
          <cell r="BE76">
            <v>1164347.4767471568</v>
          </cell>
          <cell r="BR76">
            <v>0</v>
          </cell>
          <cell r="BS76">
            <v>-3782347.2213131338</v>
          </cell>
        </row>
        <row r="77">
          <cell r="B77">
            <v>800</v>
          </cell>
          <cell r="F77">
            <v>19668132.925583731</v>
          </cell>
          <cell r="J77">
            <v>1.021975426906069</v>
          </cell>
          <cell r="M77">
            <v>1986720.2299053983</v>
          </cell>
          <cell r="Q77">
            <v>252000</v>
          </cell>
          <cell r="R77">
            <v>309539.99999999994</v>
          </cell>
          <cell r="T77">
            <v>10077035.751233533</v>
          </cell>
          <cell r="V77">
            <v>34768.995953875914</v>
          </cell>
          <cell r="W77">
            <v>4064822.3320683106</v>
          </cell>
          <cell r="Y77">
            <v>2172.7197576023027</v>
          </cell>
          <cell r="Z77">
            <v>514798.11755775334</v>
          </cell>
          <cell r="AA77">
            <v>289629.86059160938</v>
          </cell>
          <cell r="AC77">
            <v>1537.0510420667279</v>
          </cell>
          <cell r="AD77">
            <v>51940.965065981087</v>
          </cell>
          <cell r="AF77">
            <v>2551.8726409844544</v>
          </cell>
          <cell r="AG77">
            <v>112393.37020480965</v>
          </cell>
          <cell r="AI77">
            <v>402.65831820099118</v>
          </cell>
          <cell r="AJ77">
            <v>24211.207214572889</v>
          </cell>
          <cell r="AL77">
            <v>992.33813952579305</v>
          </cell>
          <cell r="AM77">
            <v>63785.58822069085</v>
          </cell>
          <cell r="AO77">
            <v>529.38327113734374</v>
          </cell>
          <cell r="AP77">
            <v>37298.729885554916</v>
          </cell>
          <cell r="AR77">
            <v>0</v>
          </cell>
          <cell r="AS77">
            <v>0</v>
          </cell>
          <cell r="AU77">
            <v>146.14248604756787</v>
          </cell>
          <cell r="AV77">
            <v>443350.09017925983</v>
          </cell>
          <cell r="AX77">
            <v>1103.7334610585544</v>
          </cell>
          <cell r="AY77">
            <v>585435.60760079965</v>
          </cell>
          <cell r="BA77">
            <v>323.96621032922388</v>
          </cell>
          <cell r="BB77">
            <v>514835.60782699892</v>
          </cell>
          <cell r="BD77">
            <v>478.28449979204032</v>
          </cell>
          <cell r="BE77">
            <v>629965.32862006582</v>
          </cell>
          <cell r="BR77">
            <v>3281230.5838114657</v>
          </cell>
          <cell r="BS77">
            <v>0</v>
          </cell>
        </row>
        <row r="78">
          <cell r="B78">
            <v>801</v>
          </cell>
          <cell r="F78">
            <v>50741211.508812226</v>
          </cell>
          <cell r="J78">
            <v>1.021975426906069</v>
          </cell>
          <cell r="M78">
            <v>3409310.0241586464</v>
          </cell>
          <cell r="Q78">
            <v>-30000</v>
          </cell>
          <cell r="R78">
            <v>2015738.5499999998</v>
          </cell>
          <cell r="T78">
            <v>22142565.367851734</v>
          </cell>
          <cell r="V78">
            <v>90461.656194492811</v>
          </cell>
          <cell r="W78">
            <v>10575817.627378711</v>
          </cell>
          <cell r="Y78">
            <v>11001.565470643833</v>
          </cell>
          <cell r="Z78">
            <v>2606680.0261096964</v>
          </cell>
          <cell r="AA78">
            <v>2940399.0663582394</v>
          </cell>
          <cell r="AC78">
            <v>10873.818542280575</v>
          </cell>
          <cell r="AD78">
            <v>367454.69966890872</v>
          </cell>
          <cell r="AF78">
            <v>8720.5163177894865</v>
          </cell>
          <cell r="AG78">
            <v>384081.94952248328</v>
          </cell>
          <cell r="AI78">
            <v>4830.8778429849881</v>
          </cell>
          <cell r="AJ78">
            <v>290473.03681037069</v>
          </cell>
          <cell r="AL78">
            <v>7536.0467980053527</v>
          </cell>
          <cell r="AM78">
            <v>484402.60302716203</v>
          </cell>
          <cell r="AO78">
            <v>13330.647468562764</v>
          </cell>
          <cell r="AP78">
            <v>939236.74252351036</v>
          </cell>
          <cell r="AR78">
            <v>4954.5368696406222</v>
          </cell>
          <cell r="AS78">
            <v>474750.03480580379</v>
          </cell>
          <cell r="AU78">
            <v>628.51488754723243</v>
          </cell>
          <cell r="AV78">
            <v>1906715.4227989146</v>
          </cell>
          <cell r="AX78">
            <v>3035.2670179110251</v>
          </cell>
          <cell r="AY78">
            <v>1609947.9209021993</v>
          </cell>
          <cell r="BA78">
            <v>1082.2719770935271</v>
          </cell>
          <cell r="BB78">
            <v>1719908.2293021826</v>
          </cell>
          <cell r="BD78">
            <v>1400.1063348613145</v>
          </cell>
          <cell r="BE78">
            <v>1844129.2739519018</v>
          </cell>
          <cell r="BR78">
            <v>0</v>
          </cell>
          <cell r="BS78">
            <v>0</v>
          </cell>
        </row>
        <row r="79">
          <cell r="B79">
            <v>802</v>
          </cell>
          <cell r="F79">
            <v>20967004.411933638</v>
          </cell>
          <cell r="J79">
            <v>1.021975426906069</v>
          </cell>
          <cell r="M79">
            <v>1402150.2857151267</v>
          </cell>
          <cell r="Q79">
            <v>108000</v>
          </cell>
          <cell r="R79">
            <v>0</v>
          </cell>
          <cell r="T79">
            <v>10735542.378026877</v>
          </cell>
          <cell r="V79">
            <v>42349.65197926572</v>
          </cell>
          <cell r="W79">
            <v>4951072.2526760316</v>
          </cell>
          <cell r="Y79">
            <v>2639.7625276983763</v>
          </cell>
          <cell r="Z79">
            <v>625457.91987378977</v>
          </cell>
          <cell r="AA79">
            <v>526182.09977779316</v>
          </cell>
          <cell r="AC79">
            <v>1678.0836509797653</v>
          </cell>
          <cell r="AD79">
            <v>56706.824892513912</v>
          </cell>
          <cell r="AF79">
            <v>2091.9836988767233</v>
          </cell>
          <cell r="AG79">
            <v>92138.257432617276</v>
          </cell>
          <cell r="AI79">
            <v>1732.248348605787</v>
          </cell>
          <cell r="AJ79">
            <v>104157.35083426662</v>
          </cell>
          <cell r="AL79">
            <v>158.40619117044071</v>
          </cell>
          <cell r="AM79">
            <v>10182.045493519137</v>
          </cell>
          <cell r="AO79">
            <v>2283.0931037081582</v>
          </cell>
          <cell r="AP79">
            <v>160859.77329021174</v>
          </cell>
          <cell r="AR79">
            <v>1065.92037026303</v>
          </cell>
          <cell r="AS79">
            <v>102137.84783466448</v>
          </cell>
          <cell r="AU79">
            <v>205.41706080811988</v>
          </cell>
          <cell r="AV79">
            <v>623170.40647574293</v>
          </cell>
          <cell r="AX79">
            <v>1144.6124781347974</v>
          </cell>
          <cell r="AY79">
            <v>607118.40788231092</v>
          </cell>
          <cell r="BA79">
            <v>402.65831820099118</v>
          </cell>
          <cell r="BB79">
            <v>639890.3138291405</v>
          </cell>
          <cell r="BD79">
            <v>568.21833735977441</v>
          </cell>
          <cell r="BE79">
            <v>748420.34767683037</v>
          </cell>
          <cell r="BR79">
            <v>2261659.656530831</v>
          </cell>
          <cell r="BS79">
            <v>0</v>
          </cell>
        </row>
        <row r="80">
          <cell r="B80">
            <v>803</v>
          </cell>
          <cell r="F80">
            <v>27708571.297880344</v>
          </cell>
          <cell r="J80">
            <v>1.021975426906069</v>
          </cell>
          <cell r="M80">
            <v>1925401.704291034</v>
          </cell>
          <cell r="Q80">
            <v>111000</v>
          </cell>
          <cell r="R80">
            <v>10049.999999999998</v>
          </cell>
          <cell r="T80">
            <v>14308387.673788991</v>
          </cell>
          <cell r="V80">
            <v>56434.591917091333</v>
          </cell>
          <cell r="W80">
            <v>6597734.0798126319</v>
          </cell>
          <cell r="Y80">
            <v>3033.223067057213</v>
          </cell>
          <cell r="Z80">
            <v>718683.3550853302</v>
          </cell>
          <cell r="AA80">
            <v>441808.01269662142</v>
          </cell>
          <cell r="AC80">
            <v>6105.2812003368563</v>
          </cell>
          <cell r="AD80">
            <v>206313.38118628392</v>
          </cell>
          <cell r="AF80">
            <v>3150.7502411514106</v>
          </cell>
          <cell r="AG80">
            <v>138770.02817037571</v>
          </cell>
          <cell r="AI80">
            <v>1402.1502857151268</v>
          </cell>
          <cell r="AJ80">
            <v>84309.076899477179</v>
          </cell>
          <cell r="AL80">
            <v>193.15335568524705</v>
          </cell>
          <cell r="AM80">
            <v>12415.526440484626</v>
          </cell>
          <cell r="AO80">
            <v>0</v>
          </cell>
          <cell r="AP80">
            <v>0</v>
          </cell>
          <cell r="AR80">
            <v>0</v>
          </cell>
          <cell r="AS80">
            <v>0</v>
          </cell>
          <cell r="AU80">
            <v>275.93336526463861</v>
          </cell>
          <cell r="AV80">
            <v>837094.57586293807</v>
          </cell>
          <cell r="AX80">
            <v>1757.7977342784386</v>
          </cell>
          <cell r="AY80">
            <v>932360.41210497729</v>
          </cell>
          <cell r="BA80">
            <v>527.33932028353161</v>
          </cell>
          <cell r="BB80">
            <v>838028.93892344309</v>
          </cell>
          <cell r="BD80">
            <v>750.12996334905461</v>
          </cell>
          <cell r="BE80">
            <v>988022.54531437648</v>
          </cell>
          <cell r="BR80">
            <v>3332515.9548399709</v>
          </cell>
          <cell r="BS80">
            <v>0</v>
          </cell>
        </row>
        <row r="81">
          <cell r="B81">
            <v>805</v>
          </cell>
          <cell r="F81">
            <v>10878677.959750986</v>
          </cell>
          <cell r="J81">
            <v>1</v>
          </cell>
          <cell r="M81">
            <v>932000</v>
          </cell>
          <cell r="Q81">
            <v>-48000</v>
          </cell>
          <cell r="R81">
            <v>0</v>
          </cell>
          <cell r="T81">
            <v>4677162.976521736</v>
          </cell>
          <cell r="V81">
            <v>18804.484</v>
          </cell>
          <cell r="W81">
            <v>2198420.8749548416</v>
          </cell>
          <cell r="Y81">
            <v>3338</v>
          </cell>
          <cell r="Z81">
            <v>790896.34564933984</v>
          </cell>
          <cell r="AA81">
            <v>815626.69342538016</v>
          </cell>
          <cell r="AC81">
            <v>325</v>
          </cell>
          <cell r="AD81">
            <v>10982.597964831286</v>
          </cell>
          <cell r="AF81">
            <v>1189</v>
          </cell>
          <cell r="AG81">
            <v>52367.70637658667</v>
          </cell>
          <cell r="AI81">
            <v>1380</v>
          </cell>
          <cell r="AJ81">
            <v>82977.215286119826</v>
          </cell>
          <cell r="AL81">
            <v>1261</v>
          </cell>
          <cell r="AM81">
            <v>81054.65621297984</v>
          </cell>
          <cell r="AO81">
            <v>4133</v>
          </cell>
          <cell r="AP81">
            <v>291198.56826190522</v>
          </cell>
          <cell r="AR81">
            <v>3100</v>
          </cell>
          <cell r="AS81">
            <v>297045.94932295731</v>
          </cell>
          <cell r="AU81">
            <v>110</v>
          </cell>
          <cell r="AV81">
            <v>333705.21631775808</v>
          </cell>
          <cell r="AX81">
            <v>800</v>
          </cell>
          <cell r="AY81">
            <v>424331.14751405839</v>
          </cell>
          <cell r="BA81">
            <v>193</v>
          </cell>
          <cell r="BB81">
            <v>306708.75277281215</v>
          </cell>
          <cell r="BD81">
            <v>340</v>
          </cell>
          <cell r="BE81">
            <v>447825.95259506028</v>
          </cell>
          <cell r="BR81">
            <v>0</v>
          </cell>
          <cell r="BS81">
            <v>-366898.84513211064</v>
          </cell>
        </row>
        <row r="82">
          <cell r="B82">
            <v>806</v>
          </cell>
          <cell r="F82">
            <v>22342960.361524343</v>
          </cell>
          <cell r="J82">
            <v>1</v>
          </cell>
          <cell r="M82">
            <v>2044000</v>
          </cell>
          <cell r="Q82">
            <v>330000</v>
          </cell>
          <cell r="R82">
            <v>1172834.9999999998</v>
          </cell>
          <cell r="T82">
            <v>9120361.8908118084</v>
          </cell>
          <cell r="V82">
            <v>30156.215</v>
          </cell>
          <cell r="W82">
            <v>3525544.8948041494</v>
          </cell>
          <cell r="Y82">
            <v>6216</v>
          </cell>
          <cell r="Z82">
            <v>1472801.5831504781</v>
          </cell>
          <cell r="AA82">
            <v>1564450.4478608991</v>
          </cell>
          <cell r="AC82">
            <v>2175</v>
          </cell>
          <cell r="AD82">
            <v>73498.924841563232</v>
          </cell>
          <cell r="AF82">
            <v>1497</v>
          </cell>
          <cell r="AG82">
            <v>65933.100458999354</v>
          </cell>
          <cell r="AI82">
            <v>1205</v>
          </cell>
          <cell r="AJ82">
            <v>72454.742333169852</v>
          </cell>
          <cell r="AL82">
            <v>685</v>
          </cell>
          <cell r="AM82">
            <v>44030.483351222196</v>
          </cell>
          <cell r="AO82">
            <v>5391</v>
          </cell>
          <cell r="AP82">
            <v>379833.40950881469</v>
          </cell>
          <cell r="AR82">
            <v>9692</v>
          </cell>
          <cell r="AS82">
            <v>928699.78736712981</v>
          </cell>
          <cell r="AU82">
            <v>260</v>
          </cell>
          <cell r="AV82">
            <v>788757.7840237919</v>
          </cell>
          <cell r="AX82">
            <v>1320</v>
          </cell>
          <cell r="AY82">
            <v>700146.39339819644</v>
          </cell>
          <cell r="BA82">
            <v>494</v>
          </cell>
          <cell r="BB82">
            <v>785047.27393662801</v>
          </cell>
          <cell r="BD82">
            <v>637</v>
          </cell>
          <cell r="BE82">
            <v>839015.09353839234</v>
          </cell>
          <cell r="BR82">
            <v>0</v>
          </cell>
          <cell r="BS82">
            <v>0</v>
          </cell>
        </row>
        <row r="83">
          <cell r="B83">
            <v>807</v>
          </cell>
          <cell r="F83">
            <v>16019568.14834236</v>
          </cell>
          <cell r="J83">
            <v>1</v>
          </cell>
          <cell r="M83">
            <v>1568000</v>
          </cell>
          <cell r="Q83">
            <v>-174000</v>
          </cell>
          <cell r="R83">
            <v>134670</v>
          </cell>
          <cell r="T83">
            <v>7210513.2113444591</v>
          </cell>
          <cell r="V83">
            <v>25562.677</v>
          </cell>
          <cell r="W83">
            <v>2988517.1396634979</v>
          </cell>
          <cell r="Y83">
            <v>3802</v>
          </cell>
          <cell r="Z83">
            <v>900835.2025640473</v>
          </cell>
          <cell r="AA83">
            <v>961328.58031030814</v>
          </cell>
          <cell r="AC83">
            <v>3042</v>
          </cell>
          <cell r="AD83">
            <v>102797.11695082083</v>
          </cell>
          <cell r="AF83">
            <v>1776</v>
          </cell>
          <cell r="AG83">
            <v>78221.233410275803</v>
          </cell>
          <cell r="AI83">
            <v>1679</v>
          </cell>
          <cell r="AJ83">
            <v>100955.61193144578</v>
          </cell>
          <cell r="AL83">
            <v>2207</v>
          </cell>
          <cell r="AM83">
            <v>141861.71789218596</v>
          </cell>
          <cell r="AO83">
            <v>2885</v>
          </cell>
          <cell r="AP83">
            <v>203268.29650026531</v>
          </cell>
          <cell r="AR83">
            <v>3488</v>
          </cell>
          <cell r="AS83">
            <v>334224.60362531454</v>
          </cell>
          <cell r="AU83">
            <v>196</v>
          </cell>
          <cell r="AV83">
            <v>594602.02180255076</v>
          </cell>
          <cell r="AX83">
            <v>1130</v>
          </cell>
          <cell r="AY83">
            <v>599367.74586360762</v>
          </cell>
          <cell r="BA83">
            <v>306</v>
          </cell>
          <cell r="BB83">
            <v>486284.34377451049</v>
          </cell>
          <cell r="BD83">
            <v>569</v>
          </cell>
          <cell r="BE83">
            <v>749449.90301938029</v>
          </cell>
          <cell r="BR83">
            <v>0</v>
          </cell>
          <cell r="BS83">
            <v>-1.862645149230957E-9</v>
          </cell>
        </row>
        <row r="84">
          <cell r="B84">
            <v>808</v>
          </cell>
          <cell r="F84">
            <v>23445509.290585488</v>
          </cell>
          <cell r="J84">
            <v>1</v>
          </cell>
          <cell r="M84">
            <v>2220000</v>
          </cell>
          <cell r="Q84">
            <v>-624000</v>
          </cell>
          <cell r="R84">
            <v>25124.999999999996</v>
          </cell>
          <cell r="T84">
            <v>11105311.345924458</v>
          </cell>
          <cell r="V84">
            <v>40731.982999999993</v>
          </cell>
          <cell r="W84">
            <v>4761951.5486575281</v>
          </cell>
          <cell r="Y84">
            <v>5221</v>
          </cell>
          <cell r="Z84">
            <v>1237049.0774820861</v>
          </cell>
          <cell r="AA84">
            <v>1218062.9937744094</v>
          </cell>
          <cell r="AC84">
            <v>1834</v>
          </cell>
          <cell r="AD84">
            <v>61975.645130771009</v>
          </cell>
          <cell r="AF84">
            <v>3265</v>
          </cell>
          <cell r="AG84">
            <v>143801.98597103069</v>
          </cell>
          <cell r="AI84">
            <v>3004</v>
          </cell>
          <cell r="AJ84">
            <v>180625.76428949562</v>
          </cell>
          <cell r="AL84">
            <v>3346</v>
          </cell>
          <cell r="AM84">
            <v>215074.44860319627</v>
          </cell>
          <cell r="AO84">
            <v>4761</v>
          </cell>
          <cell r="AP84">
            <v>335445.53193683299</v>
          </cell>
          <cell r="AR84">
            <v>2934</v>
          </cell>
          <cell r="AS84">
            <v>281139.61784308281</v>
          </cell>
          <cell r="AU84">
            <v>289</v>
          </cell>
          <cell r="AV84">
            <v>876734.61378029175</v>
          </cell>
          <cell r="AX84">
            <v>1690</v>
          </cell>
          <cell r="AY84">
            <v>896399.54912344844</v>
          </cell>
          <cell r="BA84">
            <v>521</v>
          </cell>
          <cell r="BB84">
            <v>827954.71603437886</v>
          </cell>
          <cell r="BD84">
            <v>684</v>
          </cell>
          <cell r="BE84">
            <v>900920.44580888608</v>
          </cell>
          <cell r="BR84">
            <v>602367.81866874173</v>
          </cell>
          <cell r="BS84">
            <v>0</v>
          </cell>
        </row>
        <row r="85">
          <cell r="B85">
            <v>810</v>
          </cell>
          <cell r="F85">
            <v>30219099.458898026</v>
          </cell>
          <cell r="J85">
            <v>1</v>
          </cell>
          <cell r="M85">
            <v>2412000</v>
          </cell>
          <cell r="Q85">
            <v>48000</v>
          </cell>
          <cell r="R85">
            <v>0</v>
          </cell>
          <cell r="T85">
            <v>12454500</v>
          </cell>
          <cell r="V85">
            <v>52039.491000000002</v>
          </cell>
          <cell r="W85">
            <v>6083905.484267721</v>
          </cell>
          <cell r="Y85">
            <v>9390</v>
          </cell>
          <cell r="Z85">
            <v>2224840.2293730681</v>
          </cell>
          <cell r="AA85">
            <v>2620317.6316025341</v>
          </cell>
          <cell r="AC85">
            <v>3489</v>
          </cell>
          <cell r="AD85">
            <v>117902.41322860417</v>
          </cell>
          <cell r="AF85">
            <v>3403</v>
          </cell>
          <cell r="AG85">
            <v>149879.98721574806</v>
          </cell>
          <cell r="AI85">
            <v>3454</v>
          </cell>
          <cell r="AJ85">
            <v>207683.55188279558</v>
          </cell>
          <cell r="AL85">
            <v>3626</v>
          </cell>
          <cell r="AM85">
            <v>233072.31041099515</v>
          </cell>
          <cell r="AO85">
            <v>9435</v>
          </cell>
          <cell r="AP85">
            <v>664761.30935182096</v>
          </cell>
          <cell r="AR85">
            <v>13014</v>
          </cell>
          <cell r="AS85">
            <v>1247018.0595125698</v>
          </cell>
          <cell r="AU85">
            <v>355</v>
          </cell>
          <cell r="AV85">
            <v>1076957.7435709466</v>
          </cell>
          <cell r="AX85">
            <v>1980</v>
          </cell>
          <cell r="AY85">
            <v>1050219.5900972947</v>
          </cell>
          <cell r="BA85">
            <v>736</v>
          </cell>
          <cell r="BB85">
            <v>1169625.0882942474</v>
          </cell>
          <cell r="BD85">
            <v>819</v>
          </cell>
          <cell r="BE85">
            <v>1078733.6916922189</v>
          </cell>
          <cell r="BR85">
            <v>0</v>
          </cell>
          <cell r="BS85">
            <v>-1954330.5863050297</v>
          </cell>
        </row>
        <row r="86">
          <cell r="B86">
            <v>811</v>
          </cell>
          <cell r="F86">
            <v>23752642.052749533</v>
          </cell>
          <cell r="J86">
            <v>1</v>
          </cell>
          <cell r="M86">
            <v>1560000</v>
          </cell>
          <cell r="Q86">
            <v>-342000</v>
          </cell>
          <cell r="R86">
            <v>0</v>
          </cell>
          <cell r="T86">
            <v>10154248</v>
          </cell>
          <cell r="V86">
            <v>60607.030999999995</v>
          </cell>
          <cell r="W86">
            <v>7085531.4147112565</v>
          </cell>
          <cell r="Y86">
            <v>4916</v>
          </cell>
          <cell r="Z86">
            <v>1164783.234035996</v>
          </cell>
          <cell r="AA86">
            <v>649513.36597515014</v>
          </cell>
          <cell r="AC86">
            <v>5538</v>
          </cell>
          <cell r="AD86">
            <v>187143.4693207251</v>
          </cell>
          <cell r="AF86">
            <v>2308</v>
          </cell>
          <cell r="AG86">
            <v>101652.36864353409</v>
          </cell>
          <cell r="AI86">
            <v>1889</v>
          </cell>
          <cell r="AJ86">
            <v>113582.57947498576</v>
          </cell>
          <cell r="AL86">
            <v>1990</v>
          </cell>
          <cell r="AM86">
            <v>127913.37499114184</v>
          </cell>
          <cell r="AO86">
            <v>1397</v>
          </cell>
          <cell r="AP86">
            <v>98428.357092156206</v>
          </cell>
          <cell r="AR86">
            <v>217</v>
          </cell>
          <cell r="AS86">
            <v>20793.216452607012</v>
          </cell>
          <cell r="AU86">
            <v>254</v>
          </cell>
          <cell r="AV86">
            <v>770555.68131555046</v>
          </cell>
          <cell r="AX86">
            <v>1620</v>
          </cell>
          <cell r="AY86">
            <v>859270.57371596829</v>
          </cell>
          <cell r="BA86">
            <v>601</v>
          </cell>
          <cell r="BB86">
            <v>955087.87780549284</v>
          </cell>
          <cell r="BD86">
            <v>680</v>
          </cell>
          <cell r="BE86">
            <v>895651.90519012057</v>
          </cell>
          <cell r="BR86">
            <v>0</v>
          </cell>
          <cell r="BS86">
            <v>-1628269.3361849897</v>
          </cell>
        </row>
        <row r="87">
          <cell r="B87">
            <v>812</v>
          </cell>
          <cell r="F87">
            <v>18090205.750665918</v>
          </cell>
          <cell r="J87">
            <v>1</v>
          </cell>
          <cell r="M87">
            <v>1364000</v>
          </cell>
          <cell r="Q87">
            <v>42000</v>
          </cell>
          <cell r="R87">
            <v>0</v>
          </cell>
          <cell r="T87">
            <v>7852000</v>
          </cell>
          <cell r="V87">
            <v>32284.743000000002</v>
          </cell>
          <cell r="W87">
            <v>3774389.8186066793</v>
          </cell>
          <cell r="Y87">
            <v>3789</v>
          </cell>
          <cell r="Z87">
            <v>897755.01907290262</v>
          </cell>
          <cell r="AA87">
            <v>1304263.6218318124</v>
          </cell>
          <cell r="AC87">
            <v>3277</v>
          </cell>
          <cell r="AD87">
            <v>110738.38009462193</v>
          </cell>
          <cell r="AF87">
            <v>1493</v>
          </cell>
          <cell r="AG87">
            <v>65756.926509877128</v>
          </cell>
          <cell r="AI87">
            <v>2278</v>
          </cell>
          <cell r="AJ87">
            <v>136972.53363897171</v>
          </cell>
          <cell r="AL87">
            <v>2541</v>
          </cell>
          <cell r="AM87">
            <v>163330.59590577459</v>
          </cell>
          <cell r="AO87">
            <v>4437</v>
          </cell>
          <cell r="AP87">
            <v>312617.48061409954</v>
          </cell>
          <cell r="AR87">
            <v>5373</v>
          </cell>
          <cell r="AS87">
            <v>514847.70506846765</v>
          </cell>
          <cell r="AU87">
            <v>237</v>
          </cell>
          <cell r="AV87">
            <v>718983.05697553337</v>
          </cell>
          <cell r="AX87">
            <v>1130</v>
          </cell>
          <cell r="AY87">
            <v>599367.74586360762</v>
          </cell>
          <cell r="BA87">
            <v>500</v>
          </cell>
          <cell r="BB87">
            <v>794582.26106946159</v>
          </cell>
          <cell r="BD87">
            <v>564</v>
          </cell>
          <cell r="BE87">
            <v>742864.2272459236</v>
          </cell>
          <cell r="BR87">
            <v>0</v>
          </cell>
          <cell r="BS87">
            <v>-524015.71273070946</v>
          </cell>
        </row>
        <row r="88">
          <cell r="B88">
            <v>813</v>
          </cell>
          <cell r="F88">
            <v>16507776.165297193</v>
          </cell>
          <cell r="J88">
            <v>1</v>
          </cell>
          <cell r="M88">
            <v>1372000</v>
          </cell>
          <cell r="Q88">
            <v>-120000</v>
          </cell>
          <cell r="R88">
            <v>0</v>
          </cell>
          <cell r="T88">
            <v>7245123.4479882503</v>
          </cell>
          <cell r="V88">
            <v>33490.387999999999</v>
          </cell>
          <cell r="W88">
            <v>3915341.0478871488</v>
          </cell>
          <cell r="Y88">
            <v>3274</v>
          </cell>
          <cell r="Z88">
            <v>775732.36538524227</v>
          </cell>
          <cell r="AA88">
            <v>780556.44360610202</v>
          </cell>
          <cell r="AC88">
            <v>3363</v>
          </cell>
          <cell r="AD88">
            <v>113644.54447916189</v>
          </cell>
          <cell r="AF88">
            <v>3418</v>
          </cell>
          <cell r="AG88">
            <v>150540.63952495647</v>
          </cell>
          <cell r="AI88">
            <v>1120</v>
          </cell>
          <cell r="AJ88">
            <v>67343.826898879852</v>
          </cell>
          <cell r="AL88">
            <v>1663</v>
          </cell>
          <cell r="AM88">
            <v>106894.44352274819</v>
          </cell>
          <cell r="AO88">
            <v>2412</v>
          </cell>
          <cell r="AP88">
            <v>169942.15984701557</v>
          </cell>
          <cell r="AR88">
            <v>1797</v>
          </cell>
          <cell r="AS88">
            <v>172190.82933334008</v>
          </cell>
          <cell r="AU88">
            <v>191</v>
          </cell>
          <cell r="AV88">
            <v>579433.60287901631</v>
          </cell>
          <cell r="AX88">
            <v>1050</v>
          </cell>
          <cell r="AY88">
            <v>556934.63111220172</v>
          </cell>
          <cell r="BA88">
            <v>479</v>
          </cell>
          <cell r="BB88">
            <v>761209.80610454408</v>
          </cell>
          <cell r="BD88">
            <v>487</v>
          </cell>
          <cell r="BE88">
            <v>641444.82033468934</v>
          </cell>
          <cell r="BR88">
            <v>0</v>
          </cell>
          <cell r="BS88">
            <v>-294960.99398289248</v>
          </cell>
        </row>
        <row r="89">
          <cell r="B89">
            <v>815</v>
          </cell>
          <cell r="F89">
            <v>47259034.90023502</v>
          </cell>
          <cell r="J89">
            <v>1</v>
          </cell>
          <cell r="M89">
            <v>3396000</v>
          </cell>
          <cell r="Q89">
            <v>-738000</v>
          </cell>
          <cell r="R89">
            <v>100499.99999999999</v>
          </cell>
          <cell r="T89">
            <v>22572000</v>
          </cell>
          <cell r="V89">
            <v>111542.965</v>
          </cell>
          <cell r="W89">
            <v>13040420.716163084</v>
          </cell>
          <cell r="Y89">
            <v>5780</v>
          </cell>
          <cell r="Z89">
            <v>1369496.9676013135</v>
          </cell>
          <cell r="AA89">
            <v>888028.39258368022</v>
          </cell>
          <cell r="AC89">
            <v>7513</v>
          </cell>
          <cell r="AD89">
            <v>253883.87233777679</v>
          </cell>
          <cell r="AF89">
            <v>2982</v>
          </cell>
          <cell r="AG89">
            <v>131337.679070632</v>
          </cell>
          <cell r="AI89">
            <v>3265</v>
          </cell>
          <cell r="AJ89">
            <v>196319.28109360958</v>
          </cell>
          <cell r="AL89">
            <v>1247</v>
          </cell>
          <cell r="AM89">
            <v>80154.763122589895</v>
          </cell>
          <cell r="AO89">
            <v>1001</v>
          </cell>
          <cell r="AP89">
            <v>70527.405475481995</v>
          </cell>
          <cell r="AR89">
            <v>1626</v>
          </cell>
          <cell r="AS89">
            <v>155805.39148358986</v>
          </cell>
          <cell r="AU89">
            <v>413</v>
          </cell>
          <cell r="AV89">
            <v>1252911.4030839463</v>
          </cell>
          <cell r="AX89">
            <v>3020</v>
          </cell>
          <cell r="AY89">
            <v>1601850.0818655707</v>
          </cell>
          <cell r="BA89">
            <v>1301</v>
          </cell>
          <cell r="BB89">
            <v>2067503.043302739</v>
          </cell>
          <cell r="BD89">
            <v>1297</v>
          </cell>
          <cell r="BE89">
            <v>1708324.295634686</v>
          </cell>
          <cell r="BR89">
            <v>784672.41730887443</v>
          </cell>
          <cell r="BS89">
            <v>0</v>
          </cell>
        </row>
        <row r="90">
          <cell r="B90">
            <v>816</v>
          </cell>
          <cell r="F90">
            <v>17054155.808465451</v>
          </cell>
          <cell r="J90">
            <v>1</v>
          </cell>
          <cell r="M90">
            <v>972000</v>
          </cell>
          <cell r="Q90">
            <v>1116000</v>
          </cell>
          <cell r="R90">
            <v>217306.12499999997</v>
          </cell>
          <cell r="T90">
            <v>7990160.7378354371</v>
          </cell>
          <cell r="V90">
            <v>35901.843000000001</v>
          </cell>
          <cell r="W90">
            <v>4197262.7964985035</v>
          </cell>
          <cell r="Y90">
            <v>1872</v>
          </cell>
          <cell r="Z90">
            <v>443546.42272485443</v>
          </cell>
          <cell r="AA90">
            <v>372494.51792309975</v>
          </cell>
          <cell r="AC90">
            <v>3467</v>
          </cell>
          <cell r="AD90">
            <v>117158.97582790791</v>
          </cell>
          <cell r="AF90">
            <v>625</v>
          </cell>
          <cell r="AG90">
            <v>27527.179550350436</v>
          </cell>
          <cell r="AI90">
            <v>1530</v>
          </cell>
          <cell r="AJ90">
            <v>91996.477817219798</v>
          </cell>
          <cell r="AL90">
            <v>1145</v>
          </cell>
          <cell r="AM90">
            <v>73598.399178320309</v>
          </cell>
          <cell r="AO90">
            <v>883</v>
          </cell>
          <cell r="AP90">
            <v>62213.485549301309</v>
          </cell>
          <cell r="AR90">
            <v>0</v>
          </cell>
          <cell r="AS90">
            <v>0</v>
          </cell>
          <cell r="AU90">
            <v>139</v>
          </cell>
          <cell r="AV90">
            <v>421682.04607425793</v>
          </cell>
          <cell r="AX90">
            <v>770</v>
          </cell>
          <cell r="AY90">
            <v>408418.72948228125</v>
          </cell>
          <cell r="BA90">
            <v>353</v>
          </cell>
          <cell r="BB90">
            <v>560975.07631503989</v>
          </cell>
          <cell r="BD90">
            <v>269</v>
          </cell>
          <cell r="BE90">
            <v>354309.35661197413</v>
          </cell>
          <cell r="BR90">
            <v>1413083.9149284586</v>
          </cell>
          <cell r="BS90">
            <v>0</v>
          </cell>
        </row>
        <row r="91">
          <cell r="B91">
            <v>821</v>
          </cell>
          <cell r="F91">
            <v>27773045.809007768</v>
          </cell>
          <cell r="J91">
            <v>1.023570261471221</v>
          </cell>
          <cell r="M91">
            <v>1895652.1242447014</v>
          </cell>
          <cell r="Q91">
            <v>-810000</v>
          </cell>
          <cell r="R91">
            <v>55547.354999999996</v>
          </cell>
          <cell r="T91">
            <v>12903647.308808958</v>
          </cell>
          <cell r="V91">
            <v>54529.64628465868</v>
          </cell>
          <cell r="W91">
            <v>6375028.0356588019</v>
          </cell>
          <cell r="Y91">
            <v>6265.2735704653433</v>
          </cell>
          <cell r="Z91">
            <v>1484476.3245579484</v>
          </cell>
          <cell r="AA91">
            <v>1604083.8562824801</v>
          </cell>
          <cell r="AC91">
            <v>9389.2100084755093</v>
          </cell>
          <cell r="AD91">
            <v>317285.90378602047</v>
          </cell>
          <cell r="AF91">
            <v>4597.8776145287247</v>
          </cell>
          <cell r="AG91">
            <v>202506.56423307065</v>
          </cell>
          <cell r="AI91">
            <v>10087.284926798882</v>
          </cell>
          <cell r="AJ91">
            <v>606532.47320537851</v>
          </cell>
          <cell r="AL91">
            <v>2803.5589461696741</v>
          </cell>
          <cell r="AM91">
            <v>180207.38029707133</v>
          </cell>
          <cell r="AO91">
            <v>3705.3243465258201</v>
          </cell>
          <cell r="AP91">
            <v>261065.84675884308</v>
          </cell>
          <cell r="AR91">
            <v>380.76813726729421</v>
          </cell>
          <cell r="AS91">
            <v>36485.688002095972</v>
          </cell>
          <cell r="AU91">
            <v>374.62671569846691</v>
          </cell>
          <cell r="AV91">
            <v>1136498.9927324378</v>
          </cell>
          <cell r="AX91">
            <v>1832.1907680334855</v>
          </cell>
          <cell r="AY91">
            <v>971819.51383039111</v>
          </cell>
          <cell r="BA91">
            <v>785.07839054842646</v>
          </cell>
          <cell r="BB91">
            <v>1247618.725357485</v>
          </cell>
          <cell r="BD91">
            <v>689.88635623160292</v>
          </cell>
          <cell r="BE91">
            <v>908673.57253456663</v>
          </cell>
          <cell r="BR91">
            <v>0</v>
          </cell>
          <cell r="BS91">
            <v>0</v>
          </cell>
        </row>
        <row r="92">
          <cell r="B92">
            <v>822</v>
          </cell>
          <cell r="F92">
            <v>20134354.690193895</v>
          </cell>
          <cell r="J92">
            <v>1.023570261471221</v>
          </cell>
          <cell r="M92">
            <v>1531261.1111609465</v>
          </cell>
          <cell r="Q92">
            <v>306000</v>
          </cell>
          <cell r="R92">
            <v>669329.99999999988</v>
          </cell>
          <cell r="T92">
            <v>9198237.3789341114</v>
          </cell>
          <cell r="V92">
            <v>37724.277704414031</v>
          </cell>
          <cell r="W92">
            <v>4410322.5378573174</v>
          </cell>
          <cell r="Y92">
            <v>2911.0338236241523</v>
          </cell>
          <cell r="Z92">
            <v>689732.17889933102</v>
          </cell>
          <cell r="AA92">
            <v>767149.21831708541</v>
          </cell>
          <cell r="AC92">
            <v>4145.4595589584451</v>
          </cell>
          <cell r="AD92">
            <v>140085.89450925362</v>
          </cell>
          <cell r="AF92">
            <v>3001.1080066336199</v>
          </cell>
          <cell r="AG92">
            <v>132179.26231775671</v>
          </cell>
          <cell r="AI92">
            <v>3904.9205475127083</v>
          </cell>
          <cell r="AJ92">
            <v>234796.69054069195</v>
          </cell>
          <cell r="AL92">
            <v>2437.1207925629774</v>
          </cell>
          <cell r="AM92">
            <v>156653.44011950601</v>
          </cell>
          <cell r="AO92">
            <v>933.49607846175354</v>
          </cell>
          <cell r="AP92">
            <v>65771.285150294163</v>
          </cell>
          <cell r="AR92">
            <v>393.05098040494886</v>
          </cell>
          <cell r="AS92">
            <v>37662.645679582944</v>
          </cell>
          <cell r="AU92">
            <v>197.54906046394564</v>
          </cell>
          <cell r="AV92">
            <v>599301.38141355314</v>
          </cell>
          <cell r="AX92">
            <v>1187.3415033066162</v>
          </cell>
          <cell r="AY92">
            <v>629782.47823645466</v>
          </cell>
          <cell r="BA92">
            <v>425.80522877202793</v>
          </cell>
          <cell r="BB92">
            <v>676674.56290575466</v>
          </cell>
          <cell r="BD92">
            <v>498.47871733648464</v>
          </cell>
          <cell r="BE92">
            <v>656563.84246933833</v>
          </cell>
          <cell r="BR92">
            <v>1062135.5867024325</v>
          </cell>
          <cell r="BS92">
            <v>0</v>
          </cell>
        </row>
        <row r="93">
          <cell r="B93">
            <v>823</v>
          </cell>
          <cell r="F93">
            <v>27235487.804510538</v>
          </cell>
          <cell r="J93">
            <v>1.023570261471221</v>
          </cell>
          <cell r="M93">
            <v>2460662.9085768154</v>
          </cell>
          <cell r="Q93">
            <v>228000</v>
          </cell>
          <cell r="R93">
            <v>665807.47499999998</v>
          </cell>
          <cell r="T93">
            <v>11851259.56958691</v>
          </cell>
          <cell r="V93">
            <v>59378.753078443937</v>
          </cell>
          <cell r="W93">
            <v>6941934.1842318149</v>
          </cell>
          <cell r="Y93">
            <v>3154.6435458543033</v>
          </cell>
          <cell r="Z93">
            <v>747452.38233746076</v>
          </cell>
          <cell r="AA93">
            <v>586924.46767133544</v>
          </cell>
          <cell r="AC93">
            <v>3934.6040850953736</v>
          </cell>
          <cell r="AD93">
            <v>132960.53789964711</v>
          </cell>
          <cell r="AF93">
            <v>4140.3417076510887</v>
          </cell>
          <cell r="AG93">
            <v>182355.08733810566</v>
          </cell>
          <cell r="AI93">
            <v>1597.793178156576</v>
          </cell>
          <cell r="AJ93">
            <v>96072.774294631759</v>
          </cell>
          <cell r="AL93">
            <v>2730.8854576052177</v>
          </cell>
          <cell r="AM93">
            <v>175536.06813895085</v>
          </cell>
          <cell r="AO93">
            <v>0</v>
          </cell>
          <cell r="AP93">
            <v>0</v>
          </cell>
          <cell r="AR93">
            <v>0</v>
          </cell>
          <cell r="AS93">
            <v>0</v>
          </cell>
          <cell r="AU93">
            <v>235.42116013838083</v>
          </cell>
          <cell r="AV93">
            <v>714193.35608869046</v>
          </cell>
          <cell r="AX93">
            <v>1883.3692811070466</v>
          </cell>
          <cell r="AY93">
            <v>998965.31030610052</v>
          </cell>
          <cell r="BA93">
            <v>621.3071487130311</v>
          </cell>
          <cell r="BB93">
            <v>987359.27808604087</v>
          </cell>
          <cell r="BD93">
            <v>799.40837420902358</v>
          </cell>
          <cell r="BE93">
            <v>1052928.8726253659</v>
          </cell>
          <cell r="BR93">
            <v>296157.41300452501</v>
          </cell>
          <cell r="BS93">
            <v>0</v>
          </cell>
        </row>
        <row r="94">
          <cell r="B94">
            <v>825</v>
          </cell>
          <cell r="F94">
            <v>64523390.024489775</v>
          </cell>
          <cell r="J94">
            <v>1.0480374594349251</v>
          </cell>
          <cell r="M94">
            <v>6154075.96180188</v>
          </cell>
          <cell r="Q94">
            <v>-1200000</v>
          </cell>
          <cell r="R94">
            <v>238677.44999999998</v>
          </cell>
          <cell r="T94">
            <v>36819932.972700424</v>
          </cell>
          <cell r="V94">
            <v>122712.41825946142</v>
          </cell>
          <cell r="W94">
            <v>14346234.755380135</v>
          </cell>
          <cell r="Y94">
            <v>5169.9687873924859</v>
          </cell>
          <cell r="Z94">
            <v>1224957.8852815654</v>
          </cell>
          <cell r="AA94">
            <v>577890.0415708134</v>
          </cell>
          <cell r="AC94">
            <v>6131.0191376943121</v>
          </cell>
          <cell r="AD94">
            <v>207183.13324302528</v>
          </cell>
          <cell r="AF94">
            <v>6511.4567354691899</v>
          </cell>
          <cell r="AG94">
            <v>286787.26190655853</v>
          </cell>
          <cell r="AI94">
            <v>296.59460102008381</v>
          </cell>
          <cell r="AJ94">
            <v>17833.763812713267</v>
          </cell>
          <cell r="AL94">
            <v>1028.1247477056615</v>
          </cell>
          <cell r="AM94">
            <v>66085.882608516273</v>
          </cell>
          <cell r="AO94">
            <v>0</v>
          </cell>
          <cell r="AP94">
            <v>0</v>
          </cell>
          <cell r="AR94">
            <v>0</v>
          </cell>
          <cell r="AS94">
            <v>0</v>
          </cell>
          <cell r="AU94">
            <v>474.76096912402107</v>
          </cell>
          <cell r="AV94">
            <v>1440274.6536432721</v>
          </cell>
          <cell r="AX94">
            <v>2976.4263847951875</v>
          </cell>
          <cell r="AY94">
            <v>1578738.0291890779</v>
          </cell>
          <cell r="BA94">
            <v>1037.557084840576</v>
          </cell>
          <cell r="BB94">
            <v>1648848.9089225281</v>
          </cell>
          <cell r="BD94">
            <v>1285.9419627266532</v>
          </cell>
          <cell r="BE94">
            <v>1693759.3660000733</v>
          </cell>
          <cell r="BR94">
            <v>15360463.40720509</v>
          </cell>
          <cell r="BS94">
            <v>0</v>
          </cell>
        </row>
        <row r="95">
          <cell r="B95">
            <v>826</v>
          </cell>
          <cell r="F95">
            <v>35535682.6765351</v>
          </cell>
          <cell r="J95">
            <v>1.0431206446350318</v>
          </cell>
          <cell r="M95">
            <v>3433953.1621385245</v>
          </cell>
          <cell r="Q95">
            <v>6000</v>
          </cell>
          <cell r="R95">
            <v>0</v>
          </cell>
          <cell r="T95">
            <v>17542109.382081255</v>
          </cell>
          <cell r="V95">
            <v>67361.257638783718</v>
          </cell>
          <cell r="W95">
            <v>7875163.9745240239</v>
          </cell>
          <cell r="Y95">
            <v>5404.4080598541004</v>
          </cell>
          <cell r="Z95">
            <v>1280505.2681055861</v>
          </cell>
          <cell r="AA95">
            <v>1395912.0774598981</v>
          </cell>
          <cell r="AC95">
            <v>8108.1767707481022</v>
          </cell>
          <cell r="AD95">
            <v>273996.44831049355</v>
          </cell>
          <cell r="AF95">
            <v>5751.7672345175652</v>
          </cell>
          <cell r="AG95">
            <v>253327.88703422016</v>
          </cell>
          <cell r="AI95">
            <v>4232.983575928959</v>
          </cell>
          <cell r="AJ95">
            <v>254522.60107425114</v>
          </cell>
          <cell r="AL95">
            <v>2847.7193598536369</v>
          </cell>
          <cell r="AM95">
            <v>183045.92680728275</v>
          </cell>
          <cell r="AO95">
            <v>5074.7819361494303</v>
          </cell>
          <cell r="AP95">
            <v>357553.64966080175</v>
          </cell>
          <cell r="AR95">
            <v>766.69367380674839</v>
          </cell>
          <cell r="AS95">
            <v>73465.564572848831</v>
          </cell>
          <cell r="AU95">
            <v>297.28938372098406</v>
          </cell>
          <cell r="AV95">
            <v>901881.98275985429</v>
          </cell>
          <cell r="AX95">
            <v>1898.4795732357579</v>
          </cell>
          <cell r="AY95">
            <v>1006980.0198039113</v>
          </cell>
          <cell r="BA95">
            <v>654.03664418616495</v>
          </cell>
          <cell r="BB95">
            <v>1039371.8311194517</v>
          </cell>
          <cell r="BD95">
            <v>800.0735344350694</v>
          </cell>
          <cell r="BE95">
            <v>1053804.9785425933</v>
          </cell>
          <cell r="BR95">
            <v>3684272.480776418</v>
          </cell>
          <cell r="BS95">
            <v>0</v>
          </cell>
        </row>
        <row r="96">
          <cell r="B96">
            <v>830</v>
          </cell>
          <cell r="F96">
            <v>67945497.925401479</v>
          </cell>
          <cell r="J96">
            <v>1</v>
          </cell>
          <cell r="M96">
            <v>3700000</v>
          </cell>
          <cell r="Q96">
            <v>-1446000</v>
          </cell>
          <cell r="R96">
            <v>50249.999999999993</v>
          </cell>
          <cell r="T96">
            <v>33025554.490738556</v>
          </cell>
          <cell r="V96">
            <v>145476.11500000002</v>
          </cell>
          <cell r="W96">
            <v>17007524.802240316</v>
          </cell>
          <cell r="Y96">
            <v>13533</v>
          </cell>
          <cell r="Z96">
            <v>3206471.01428176</v>
          </cell>
          <cell r="AA96">
            <v>2560071.299450757</v>
          </cell>
          <cell r="AC96">
            <v>15368</v>
          </cell>
          <cell r="AD96">
            <v>519324.81699546828</v>
          </cell>
          <cell r="AF96">
            <v>7654</v>
          </cell>
          <cell r="AG96">
            <v>337108.85164541157</v>
          </cell>
          <cell r="AI96">
            <v>8815</v>
          </cell>
          <cell r="AJ96">
            <v>530031.99474430887</v>
          </cell>
          <cell r="AL96">
            <v>8208</v>
          </cell>
          <cell r="AM96">
            <v>527594.46328004636</v>
          </cell>
          <cell r="AO96">
            <v>8138</v>
          </cell>
          <cell r="AP96">
            <v>573378.64711236022</v>
          </cell>
          <cell r="AR96">
            <v>758</v>
          </cell>
          <cell r="AS96">
            <v>72632.525673161828</v>
          </cell>
          <cell r="AU96">
            <v>670</v>
          </cell>
          <cell r="AV96">
            <v>2032568.1357536174</v>
          </cell>
          <cell r="AX96">
            <v>5020</v>
          </cell>
          <cell r="AY96">
            <v>2662677.9506507167</v>
          </cell>
          <cell r="BA96">
            <v>1478</v>
          </cell>
          <cell r="BB96">
            <v>2348785.1637213286</v>
          </cell>
          <cell r="BD96">
            <v>2124</v>
          </cell>
          <cell r="BE96">
            <v>2797595.0685644355</v>
          </cell>
          <cell r="BR96">
            <v>628373.14180824906</v>
          </cell>
          <cell r="BS96">
            <v>0</v>
          </cell>
        </row>
        <row r="97">
          <cell r="B97">
            <v>831</v>
          </cell>
          <cell r="F97">
            <v>33460817.924457218</v>
          </cell>
          <cell r="J97">
            <v>1</v>
          </cell>
          <cell r="M97">
            <v>2608000</v>
          </cell>
          <cell r="Q97">
            <v>30000</v>
          </cell>
          <cell r="R97">
            <v>250965.58499999996</v>
          </cell>
          <cell r="T97">
            <v>15645028.42574019</v>
          </cell>
          <cell r="V97">
            <v>55748.5</v>
          </cell>
          <cell r="W97">
            <v>6517523.4878776781</v>
          </cell>
          <cell r="Y97">
            <v>6528</v>
          </cell>
          <cell r="Z97">
            <v>1546725.9869379541</v>
          </cell>
          <cell r="AA97">
            <v>1970585.4883798992</v>
          </cell>
          <cell r="AC97">
            <v>5446</v>
          </cell>
          <cell r="AD97">
            <v>184034.54928144978</v>
          </cell>
          <cell r="AF97">
            <v>4662</v>
          </cell>
          <cell r="AG97">
            <v>205330.73770197397</v>
          </cell>
          <cell r="AI97">
            <v>5221</v>
          </cell>
          <cell r="AJ97">
            <v>313930.46449915331</v>
          </cell>
          <cell r="AL97">
            <v>6510</v>
          </cell>
          <cell r="AM97">
            <v>418450.2870313233</v>
          </cell>
          <cell r="AO97">
            <v>8173</v>
          </cell>
          <cell r="AP97">
            <v>575844.64031080366</v>
          </cell>
          <cell r="AR97">
            <v>2849</v>
          </cell>
          <cell r="AS97">
            <v>272994.80955519527</v>
          </cell>
          <cell r="AU97">
            <v>341</v>
          </cell>
          <cell r="AV97">
            <v>1034486.1705850501</v>
          </cell>
          <cell r="AX97">
            <v>2060</v>
          </cell>
          <cell r="AY97">
            <v>1092652.7048487004</v>
          </cell>
          <cell r="BA97">
            <v>940</v>
          </cell>
          <cell r="BB97">
            <v>1493814.6508105877</v>
          </cell>
          <cell r="BD97">
            <v>965</v>
          </cell>
          <cell r="BE97">
            <v>1271035.4242771564</v>
          </cell>
          <cell r="BR97">
            <v>1059597.3693107404</v>
          </cell>
          <cell r="BS97">
            <v>0</v>
          </cell>
        </row>
        <row r="98">
          <cell r="B98">
            <v>835</v>
          </cell>
          <cell r="F98">
            <v>35905129.669677667</v>
          </cell>
          <cell r="J98">
            <v>1</v>
          </cell>
          <cell r="M98">
            <v>2872000</v>
          </cell>
          <cell r="Q98">
            <v>-648000</v>
          </cell>
          <cell r="R98">
            <v>0</v>
          </cell>
          <cell r="T98">
            <v>18015243.282020446</v>
          </cell>
          <cell r="V98">
            <v>75162.684999999998</v>
          </cell>
          <cell r="W98">
            <v>8787224.1387562212</v>
          </cell>
          <cell r="Y98">
            <v>6495</v>
          </cell>
          <cell r="Z98">
            <v>1538907.0596142786</v>
          </cell>
          <cell r="AA98">
            <v>487640.15926286997</v>
          </cell>
          <cell r="AC98">
            <v>3666</v>
          </cell>
          <cell r="AD98">
            <v>123883.70504329691</v>
          </cell>
          <cell r="AF98">
            <v>2503</v>
          </cell>
          <cell r="AG98">
            <v>110240.84866324342</v>
          </cell>
          <cell r="AI98">
            <v>1195</v>
          </cell>
          <cell r="AJ98">
            <v>71853.458164429845</v>
          </cell>
          <cell r="AL98">
            <v>1847</v>
          </cell>
          <cell r="AM98">
            <v>118721.60985358743</v>
          </cell>
          <cell r="AO98">
            <v>401</v>
          </cell>
          <cell r="AP98">
            <v>28253.236359308976</v>
          </cell>
          <cell r="AR98">
            <v>362</v>
          </cell>
          <cell r="AS98">
            <v>34687.301179003407</v>
          </cell>
          <cell r="AU98">
            <v>350</v>
          </cell>
          <cell r="AV98">
            <v>1061789.3246474122</v>
          </cell>
          <cell r="AX98">
            <v>2530</v>
          </cell>
          <cell r="AY98">
            <v>1341947.2540132098</v>
          </cell>
          <cell r="BA98">
            <v>837</v>
          </cell>
          <cell r="BB98">
            <v>1330130.7050302785</v>
          </cell>
          <cell r="BD98">
            <v>849</v>
          </cell>
          <cell r="BE98">
            <v>1118247.7463329595</v>
          </cell>
          <cell r="BR98">
            <v>2606193.7334777191</v>
          </cell>
          <cell r="BS98">
            <v>0</v>
          </cell>
        </row>
        <row r="99">
          <cell r="B99">
            <v>836</v>
          </cell>
          <cell r="F99">
            <v>14571727.805031724</v>
          </cell>
          <cell r="J99">
            <v>1</v>
          </cell>
          <cell r="M99">
            <v>1036000</v>
          </cell>
          <cell r="Q99">
            <v>-528000</v>
          </cell>
          <cell r="R99">
            <v>910529.99999999988</v>
          </cell>
          <cell r="T99">
            <v>6923999.9999999991</v>
          </cell>
          <cell r="V99">
            <v>28814.047999999995</v>
          </cell>
          <cell r="W99">
            <v>3368632.9609018145</v>
          </cell>
          <cell r="Y99">
            <v>2106</v>
          </cell>
          <cell r="Z99">
            <v>498989.72556546127</v>
          </cell>
          <cell r="AA99">
            <v>434570.28390182363</v>
          </cell>
          <cell r="AC99">
            <v>4373</v>
          </cell>
          <cell r="AD99">
            <v>147775.07969294526</v>
          </cell>
          <cell r="AF99">
            <v>1849</v>
          </cell>
          <cell r="AG99">
            <v>81436.407981756725</v>
          </cell>
          <cell r="AI99">
            <v>1486</v>
          </cell>
          <cell r="AJ99">
            <v>89350.827474763821</v>
          </cell>
          <cell r="AL99">
            <v>781</v>
          </cell>
          <cell r="AM99">
            <v>50201.178828181801</v>
          </cell>
          <cell r="AO99">
            <v>934</v>
          </cell>
          <cell r="AP99">
            <v>65806.789924176017</v>
          </cell>
          <cell r="AR99">
            <v>0</v>
          </cell>
          <cell r="AS99">
            <v>0</v>
          </cell>
          <cell r="AU99">
            <v>159</v>
          </cell>
          <cell r="AV99">
            <v>482355.7217683958</v>
          </cell>
          <cell r="AX99">
            <v>830</v>
          </cell>
          <cell r="AY99">
            <v>440243.56554583565</v>
          </cell>
          <cell r="BA99">
            <v>332</v>
          </cell>
          <cell r="BB99">
            <v>527602.62135012238</v>
          </cell>
          <cell r="BD99">
            <v>362</v>
          </cell>
          <cell r="BE99">
            <v>476802.92599827005</v>
          </cell>
          <cell r="BR99">
            <v>855448.28829652071</v>
          </cell>
          <cell r="BS99">
            <v>0</v>
          </cell>
        </row>
        <row r="100">
          <cell r="B100">
            <v>837</v>
          </cell>
          <cell r="F100">
            <v>17237881.185264595</v>
          </cell>
          <cell r="J100">
            <v>1</v>
          </cell>
          <cell r="M100">
            <v>1840000</v>
          </cell>
          <cell r="Q100">
            <v>-204000</v>
          </cell>
          <cell r="R100">
            <v>0</v>
          </cell>
          <cell r="T100">
            <v>8168506.1179448385</v>
          </cell>
          <cell r="V100">
            <v>33874.761000000006</v>
          </cell>
          <cell r="W100">
            <v>3960277.8633280313</v>
          </cell>
          <cell r="Y100">
            <v>2709</v>
          </cell>
          <cell r="Z100">
            <v>641862.85211625567</v>
          </cell>
          <cell r="AA100">
            <v>632965.89549783419</v>
          </cell>
          <cell r="AC100">
            <v>4232</v>
          </cell>
          <cell r="AD100">
            <v>143010.32180666461</v>
          </cell>
          <cell r="AF100">
            <v>3378</v>
          </cell>
          <cell r="AG100">
            <v>148778.90003373404</v>
          </cell>
          <cell r="AI100">
            <v>2510</v>
          </cell>
          <cell r="AJ100">
            <v>150922.32635373969</v>
          </cell>
          <cell r="AL100">
            <v>1308</v>
          </cell>
          <cell r="AM100">
            <v>84075.725873574644</v>
          </cell>
          <cell r="AO100">
            <v>1507</v>
          </cell>
          <cell r="AP100">
            <v>106178.62143012126</v>
          </cell>
          <cell r="AR100">
            <v>0</v>
          </cell>
          <cell r="AS100">
            <v>0</v>
          </cell>
          <cell r="AU100">
            <v>193</v>
          </cell>
          <cell r="AV100">
            <v>585500.97044843016</v>
          </cell>
          <cell r="AX100">
            <v>950</v>
          </cell>
          <cell r="AY100">
            <v>503893.23767294438</v>
          </cell>
          <cell r="BA100">
            <v>319</v>
          </cell>
          <cell r="BB100">
            <v>506943.48256231652</v>
          </cell>
          <cell r="BD100">
            <v>457</v>
          </cell>
          <cell r="BE100">
            <v>601930.7656939486</v>
          </cell>
          <cell r="BR100">
            <v>1070609.383865172</v>
          </cell>
          <cell r="BS100">
            <v>0</v>
          </cell>
        </row>
        <row r="101">
          <cell r="B101">
            <v>840</v>
          </cell>
          <cell r="F101">
            <v>52462232.686345488</v>
          </cell>
          <cell r="J101">
            <v>1</v>
          </cell>
          <cell r="M101">
            <v>5424000</v>
          </cell>
          <cell r="Q101">
            <v>-726000</v>
          </cell>
          <cell r="R101">
            <v>970829.99999999988</v>
          </cell>
          <cell r="T101">
            <v>21459204.0571297</v>
          </cell>
          <cell r="V101">
            <v>95754.580999999991</v>
          </cell>
          <cell r="W101">
            <v>11194610.271834858</v>
          </cell>
          <cell r="Y101">
            <v>13324</v>
          </cell>
          <cell r="Z101">
            <v>3156951.1412318167</v>
          </cell>
          <cell r="AA101">
            <v>3040488.2782948157</v>
          </cell>
          <cell r="AC101">
            <v>12140</v>
          </cell>
          <cell r="AD101">
            <v>410242.27474785171</v>
          </cell>
          <cell r="AF101">
            <v>13577</v>
          </cell>
          <cell r="AG101">
            <v>597978.42680817249</v>
          </cell>
          <cell r="AI101">
            <v>10581</v>
          </cell>
          <cell r="AJ101">
            <v>636218.77894379268</v>
          </cell>
          <cell r="AL101">
            <v>6914</v>
          </cell>
          <cell r="AM101">
            <v>444418.63049686165</v>
          </cell>
          <cell r="AO101">
            <v>7052</v>
          </cell>
          <cell r="AP101">
            <v>496862.40101208707</v>
          </cell>
          <cell r="AR101">
            <v>4746</v>
          </cell>
          <cell r="AS101">
            <v>454767.76628605009</v>
          </cell>
          <cell r="AU101">
            <v>659</v>
          </cell>
          <cell r="AV101">
            <v>1999197.6141218417</v>
          </cell>
          <cell r="AX101">
            <v>3980</v>
          </cell>
          <cell r="AY101">
            <v>2111047.4588824408</v>
          </cell>
          <cell r="BA101">
            <v>1144</v>
          </cell>
          <cell r="BB101">
            <v>1818004.213326928</v>
          </cell>
          <cell r="BD101">
            <v>1529</v>
          </cell>
          <cell r="BE101">
            <v>2013899.6515230797</v>
          </cell>
          <cell r="BR101">
            <v>0</v>
          </cell>
          <cell r="BS101">
            <v>-2458700.9773374498</v>
          </cell>
        </row>
        <row r="102">
          <cell r="B102">
            <v>841</v>
          </cell>
          <cell r="F102">
            <v>12029564.90953028</v>
          </cell>
          <cell r="J102">
            <v>1</v>
          </cell>
          <cell r="M102">
            <v>1084000</v>
          </cell>
          <cell r="Q102">
            <v>150000</v>
          </cell>
          <cell r="R102">
            <v>101002.49999999999</v>
          </cell>
          <cell r="T102">
            <v>5290397.3443746297</v>
          </cell>
          <cell r="V102">
            <v>21159.365999999995</v>
          </cell>
          <cell r="W102">
            <v>2473728.7082809457</v>
          </cell>
          <cell r="Y102">
            <v>2653</v>
          </cell>
          <cell r="Z102">
            <v>628594.36938517028</v>
          </cell>
          <cell r="AA102">
            <v>596980.11575969425</v>
          </cell>
          <cell r="AC102">
            <v>3249</v>
          </cell>
          <cell r="AD102">
            <v>109792.18703919031</v>
          </cell>
          <cell r="AF102">
            <v>2055</v>
          </cell>
          <cell r="AG102">
            <v>90509.366361552224</v>
          </cell>
          <cell r="AI102">
            <v>1421</v>
          </cell>
          <cell r="AJ102">
            <v>85442.48037795382</v>
          </cell>
          <cell r="AL102">
            <v>1861</v>
          </cell>
          <cell r="AM102">
            <v>119621.50294397736</v>
          </cell>
          <cell r="AO102">
            <v>1652</v>
          </cell>
          <cell r="AP102">
            <v>116394.87896652975</v>
          </cell>
          <cell r="AR102">
            <v>785</v>
          </cell>
          <cell r="AS102">
            <v>75219.700070490799</v>
          </cell>
          <cell r="AU102">
            <v>133</v>
          </cell>
          <cell r="AV102">
            <v>403479.94336601667</v>
          </cell>
          <cell r="AX102">
            <v>790</v>
          </cell>
          <cell r="AY102">
            <v>419027.0081701327</v>
          </cell>
          <cell r="BA102">
            <v>261</v>
          </cell>
          <cell r="BB102">
            <v>414771.94027825893</v>
          </cell>
          <cell r="BD102">
            <v>355</v>
          </cell>
          <cell r="BE102">
            <v>467582.97991543059</v>
          </cell>
          <cell r="BR102">
            <v>0</v>
          </cell>
          <cell r="BS102">
            <v>0</v>
          </cell>
        </row>
        <row r="103">
          <cell r="B103">
            <v>845</v>
          </cell>
          <cell r="F103">
            <v>50294071.922608212</v>
          </cell>
          <cell r="J103">
            <v>1.0025438138502634</v>
          </cell>
          <cell r="M103">
            <v>4138500.8635738874</v>
          </cell>
          <cell r="Q103">
            <v>-636000</v>
          </cell>
          <cell r="R103">
            <v>0</v>
          </cell>
          <cell r="T103">
            <v>23228394.79940968</v>
          </cell>
          <cell r="V103">
            <v>102602.4733379347</v>
          </cell>
          <cell r="W103">
            <v>11995193.23200324</v>
          </cell>
          <cell r="Y103">
            <v>8272.9915518923735</v>
          </cell>
          <cell r="Z103">
            <v>1960179.3846553443</v>
          </cell>
          <cell r="AA103">
            <v>1741952.6681965408</v>
          </cell>
          <cell r="AC103">
            <v>12296.199876873479</v>
          </cell>
          <cell r="AD103">
            <v>415520.67613202886</v>
          </cell>
          <cell r="AF103">
            <v>5975.1611305475699</v>
          </cell>
          <cell r="AG103">
            <v>263166.93325257255</v>
          </cell>
          <cell r="AI103">
            <v>5368.6221231681602</v>
          </cell>
          <cell r="AJ103">
            <v>322806.74906083342</v>
          </cell>
          <cell r="AL103">
            <v>5315.4873010340962</v>
          </cell>
          <cell r="AM103">
            <v>341669.30673257628</v>
          </cell>
          <cell r="AO103">
            <v>3699.3866731074718</v>
          </cell>
          <cell r="AP103">
            <v>260647.49640843665</v>
          </cell>
          <cell r="AR103">
            <v>1441.6580043166787</v>
          </cell>
          <cell r="AS103">
            <v>138141.50661009288</v>
          </cell>
          <cell r="AU103">
            <v>611.5517264486607</v>
          </cell>
          <cell r="AV103">
            <v>1855254.5560368069</v>
          </cell>
          <cell r="AX103">
            <v>3528.9542247529271</v>
          </cell>
          <cell r="AY103">
            <v>1871806.4946424926</v>
          </cell>
          <cell r="BA103">
            <v>1180.9966127156104</v>
          </cell>
          <cell r="BB103">
            <v>1876797.9176938899</v>
          </cell>
          <cell r="BD103">
            <v>1717.3575531255012</v>
          </cell>
          <cell r="BE103">
            <v>2261992.006396322</v>
          </cell>
          <cell r="BR103">
            <v>130641.97115223855</v>
          </cell>
          <cell r="BS103">
            <v>0</v>
          </cell>
        </row>
        <row r="104">
          <cell r="B104">
            <v>846</v>
          </cell>
          <cell r="F104">
            <v>24099245.45320053</v>
          </cell>
          <cell r="J104">
            <v>1.0025438138502634</v>
          </cell>
          <cell r="M104">
            <v>1856711.1432506877</v>
          </cell>
          <cell r="Q104">
            <v>-186000</v>
          </cell>
          <cell r="R104">
            <v>0</v>
          </cell>
          <cell r="T104">
            <v>11458332.885682467</v>
          </cell>
          <cell r="V104">
            <v>49094.794131517883</v>
          </cell>
          <cell r="W104">
            <v>5739642.750651353</v>
          </cell>
          <cell r="Y104">
            <v>4090.3787605090747</v>
          </cell>
          <cell r="Z104">
            <v>969162.85620380566</v>
          </cell>
          <cell r="AA104">
            <v>918754.10017385066</v>
          </cell>
          <cell r="AC104">
            <v>3799.6410544924984</v>
          </cell>
          <cell r="AD104">
            <v>128399.78496048835</v>
          </cell>
          <cell r="AF104">
            <v>3010.639072992341</v>
          </cell>
          <cell r="AG104">
            <v>132599.0437176972</v>
          </cell>
          <cell r="AI104">
            <v>2210.6091095398306</v>
          </cell>
          <cell r="AJ104">
            <v>132920.42608387259</v>
          </cell>
          <cell r="AL104">
            <v>2339.9372615265147</v>
          </cell>
          <cell r="AM104">
            <v>150406.66954240532</v>
          </cell>
          <cell r="AO104">
            <v>4727.9966261178424</v>
          </cell>
          <cell r="AP104">
            <v>333120.21492200199</v>
          </cell>
          <cell r="AR104">
            <v>431.09383995561325</v>
          </cell>
          <cell r="AS104">
            <v>41307.960947385211</v>
          </cell>
          <cell r="AU104">
            <v>256.65121634566742</v>
          </cell>
          <cell r="AV104">
            <v>778598.63335315161</v>
          </cell>
          <cell r="AX104">
            <v>1584.0192258834161</v>
          </cell>
          <cell r="AY104">
            <v>840185.86975430057</v>
          </cell>
          <cell r="BA104">
            <v>502.27445073898195</v>
          </cell>
          <cell r="BB104">
            <v>798196.7374912044</v>
          </cell>
          <cell r="BD104">
            <v>702.78321350903457</v>
          </cell>
          <cell r="BE104">
            <v>925660.47663970897</v>
          </cell>
          <cell r="BR104">
            <v>703857.72606764734</v>
          </cell>
          <cell r="BS104">
            <v>0</v>
          </cell>
        </row>
        <row r="105">
          <cell r="B105">
            <v>850</v>
          </cell>
          <cell r="F105">
            <v>113846124.50549935</v>
          </cell>
          <cell r="J105">
            <v>1.0213260495386489</v>
          </cell>
          <cell r="M105">
            <v>11614519.835353516</v>
          </cell>
          <cell r="Q105">
            <v>-1266000</v>
          </cell>
          <cell r="R105">
            <v>2786864.9999999995</v>
          </cell>
          <cell r="T105">
            <v>46006475.182096258</v>
          </cell>
          <cell r="V105">
            <v>276696.26229493128</v>
          </cell>
          <cell r="W105">
            <v>32348393.024299797</v>
          </cell>
          <cell r="Y105">
            <v>14869.485955233189</v>
          </cell>
          <cell r="Z105">
            <v>3523134.2431630054</v>
          </cell>
          <cell r="AA105">
            <v>2204888.9531658143</v>
          </cell>
          <cell r="AC105">
            <v>14931.786844255048</v>
          </cell>
          <cell r="AD105">
            <v>504584.03632926173</v>
          </cell>
          <cell r="AF105">
            <v>10095.807999689545</v>
          </cell>
          <cell r="AG105">
            <v>444654.59122130938</v>
          </cell>
          <cell r="AI105">
            <v>10774.989822632746</v>
          </cell>
          <cell r="AJ105">
            <v>647883.07986836776</v>
          </cell>
          <cell r="AL105">
            <v>7069.6189149065276</v>
          </cell>
          <cell r="AM105">
            <v>454421.515229602</v>
          </cell>
          <cell r="AO105">
            <v>2176.4458115668608</v>
          </cell>
          <cell r="AP105">
            <v>153345.73051727322</v>
          </cell>
          <cell r="AR105">
            <v>0</v>
          </cell>
          <cell r="AS105">
            <v>0</v>
          </cell>
          <cell r="AU105">
            <v>1175.5462830189849</v>
          </cell>
          <cell r="AV105">
            <v>3566235.6969671533</v>
          </cell>
          <cell r="AX105">
            <v>7986.7697073922345</v>
          </cell>
          <cell r="AY105">
            <v>4236293.9435853343</v>
          </cell>
          <cell r="BA105">
            <v>2608.4667305217095</v>
          </cell>
          <cell r="BB105">
            <v>4145282.7853248115</v>
          </cell>
          <cell r="BD105">
            <v>3553.1933263449596</v>
          </cell>
          <cell r="BE105">
            <v>4680035.841543654</v>
          </cell>
          <cell r="BR105">
            <v>0</v>
          </cell>
          <cell r="BS105">
            <v>-5696713.7524368912</v>
          </cell>
        </row>
        <row r="106">
          <cell r="B106">
            <v>851</v>
          </cell>
          <cell r="F106">
            <v>22113382.847027853</v>
          </cell>
          <cell r="J106">
            <v>1.0213260495386489</v>
          </cell>
          <cell r="M106">
            <v>2422585.3895056751</v>
          </cell>
          <cell r="Q106">
            <v>54000</v>
          </cell>
          <cell r="R106">
            <v>663299.99999999988</v>
          </cell>
          <cell r="T106">
            <v>8018403.2623212365</v>
          </cell>
          <cell r="V106">
            <v>42622.402549657454</v>
          </cell>
          <cell r="W106">
            <v>4982959.3572413586</v>
          </cell>
          <cell r="Y106">
            <v>4840.0641487636576</v>
          </cell>
          <cell r="Z106">
            <v>1146791.2067002873</v>
          </cell>
          <cell r="AA106">
            <v>1318608.1998850135</v>
          </cell>
          <cell r="AC106">
            <v>6607.9795405150589</v>
          </cell>
          <cell r="AD106">
            <v>223300.86970248449</v>
          </cell>
          <cell r="AF106">
            <v>3281.5205971676792</v>
          </cell>
          <cell r="AG106">
            <v>144529.61068225262</v>
          </cell>
          <cell r="AI106">
            <v>5073.9478141080081</v>
          </cell>
          <cell r="AJ106">
            <v>305088.44936360669</v>
          </cell>
          <cell r="AL106">
            <v>2686.0875102866466</v>
          </cell>
          <cell r="AM106">
            <v>172656.54219211978</v>
          </cell>
          <cell r="AO106">
            <v>3991.34220159704</v>
          </cell>
          <cell r="AP106">
            <v>281217.79205138609</v>
          </cell>
          <cell r="AR106">
            <v>2001.7990570957518</v>
          </cell>
          <cell r="AS106">
            <v>191814.93589316402</v>
          </cell>
          <cell r="AU106">
            <v>253.28886028558492</v>
          </cell>
          <cell r="AV106">
            <v>768398.30829526833</v>
          </cell>
          <cell r="AX106">
            <v>1419.6432088587219</v>
          </cell>
          <cell r="AY106">
            <v>752998.53984445194</v>
          </cell>
          <cell r="BA106">
            <v>538.23882810686803</v>
          </cell>
          <cell r="BB106">
            <v>855350.05006506492</v>
          </cell>
          <cell r="BD106">
            <v>857.91388161246505</v>
          </cell>
          <cell r="BE106">
            <v>1129988.533169494</v>
          </cell>
          <cell r="BR106">
            <v>0</v>
          </cell>
          <cell r="BS106">
            <v>-2313636.0051988456</v>
          </cell>
        </row>
        <row r="107">
          <cell r="B107">
            <v>852</v>
          </cell>
          <cell r="F107">
            <v>24445425.86471422</v>
          </cell>
          <cell r="J107">
            <v>1.0213260495386489</v>
          </cell>
          <cell r="M107">
            <v>2095761.0536533075</v>
          </cell>
          <cell r="Q107">
            <v>60000</v>
          </cell>
          <cell r="R107">
            <v>0</v>
          </cell>
          <cell r="T107">
            <v>10168036.733020771</v>
          </cell>
          <cell r="V107">
            <v>48341.885621332665</v>
          </cell>
          <cell r="W107">
            <v>5651620.6711450871</v>
          </cell>
          <cell r="Y107">
            <v>5691.8500740788904</v>
          </cell>
          <cell r="Z107">
            <v>1348610.9717114796</v>
          </cell>
          <cell r="AA107">
            <v>1526416.4730640987</v>
          </cell>
          <cell r="AC107">
            <v>6935.8252024169651</v>
          </cell>
          <cell r="AD107">
            <v>234379.63000766185</v>
          </cell>
          <cell r="AF107">
            <v>5600.9520556699508</v>
          </cell>
          <cell r="AG107">
            <v>246685.46062292976</v>
          </cell>
          <cell r="AI107">
            <v>3502.1270238680272</v>
          </cell>
          <cell r="AJ107">
            <v>210577.35363683724</v>
          </cell>
          <cell r="AL107">
            <v>3836.1006420671652</v>
          </cell>
          <cell r="AM107">
            <v>246577.17584547601</v>
          </cell>
          <cell r="AO107">
            <v>6507.889587660271</v>
          </cell>
          <cell r="AP107">
            <v>458526.04169688642</v>
          </cell>
          <cell r="AR107">
            <v>1353.2570156387098</v>
          </cell>
          <cell r="AS107">
            <v>129670.81125430731</v>
          </cell>
          <cell r="AU107">
            <v>298.22720646528546</v>
          </cell>
          <cell r="AV107">
            <v>904727.04041217093</v>
          </cell>
          <cell r="AX107">
            <v>1807.7471076834086</v>
          </cell>
          <cell r="AY107">
            <v>958854.25577315106</v>
          </cell>
          <cell r="BA107">
            <v>573.98523984072074</v>
          </cell>
          <cell r="BB107">
            <v>912156.97938627412</v>
          </cell>
          <cell r="BD107">
            <v>621.98756416903723</v>
          </cell>
          <cell r="BE107">
            <v>819241.6865478832</v>
          </cell>
          <cell r="BR107">
            <v>0</v>
          </cell>
          <cell r="BS107">
            <v>-1093619.7863747999</v>
          </cell>
        </row>
        <row r="108">
          <cell r="B108">
            <v>855</v>
          </cell>
          <cell r="F108">
            <v>61642315.296860084</v>
          </cell>
          <cell r="J108">
            <v>1</v>
          </cell>
          <cell r="M108">
            <v>5852000</v>
          </cell>
          <cell r="Q108">
            <v>-840000</v>
          </cell>
          <cell r="R108">
            <v>627879.77999999991</v>
          </cell>
          <cell r="T108">
            <v>29719333.011696178</v>
          </cell>
          <cell r="V108">
            <v>131451.62599999999</v>
          </cell>
          <cell r="W108">
            <v>15367930.257759616</v>
          </cell>
          <cell r="Y108">
            <v>6717</v>
          </cell>
          <cell r="Z108">
            <v>1591507.1161553671</v>
          </cell>
          <cell r="AA108">
            <v>977423.98768989148</v>
          </cell>
          <cell r="AC108">
            <v>8927</v>
          </cell>
          <cell r="AD108">
            <v>301666.62163707346</v>
          </cell>
          <cell r="AF108">
            <v>4056</v>
          </cell>
          <cell r="AG108">
            <v>178640.38440995416</v>
          </cell>
          <cell r="AI108">
            <v>3716</v>
          </cell>
          <cell r="AJ108">
            <v>223437.19710378355</v>
          </cell>
          <cell r="AL108">
            <v>1653</v>
          </cell>
          <cell r="AM108">
            <v>106251.66274389823</v>
          </cell>
          <cell r="AO108">
            <v>1340</v>
          </cell>
          <cell r="AP108">
            <v>94412.311026119758</v>
          </cell>
          <cell r="AR108">
            <v>762</v>
          </cell>
          <cell r="AS108">
            <v>73015.810769062417</v>
          </cell>
          <cell r="AU108">
            <v>580</v>
          </cell>
          <cell r="AV108">
            <v>1759536.5951299975</v>
          </cell>
          <cell r="AX108">
            <v>3960</v>
          </cell>
          <cell r="AY108">
            <v>2100439.1801945893</v>
          </cell>
          <cell r="BA108">
            <v>1390</v>
          </cell>
          <cell r="BB108">
            <v>2208938.685773103</v>
          </cell>
          <cell r="BD108">
            <v>1729</v>
          </cell>
          <cell r="BE108">
            <v>2277326.6824613507</v>
          </cell>
          <cell r="BR108">
            <v>3977663.2454848215</v>
          </cell>
          <cell r="BS108">
            <v>0</v>
          </cell>
        </row>
        <row r="109">
          <cell r="B109">
            <v>856</v>
          </cell>
          <cell r="F109">
            <v>47996051.136559837</v>
          </cell>
          <cell r="J109">
            <v>1</v>
          </cell>
          <cell r="M109">
            <v>4000000</v>
          </cell>
          <cell r="Q109">
            <v>-150000</v>
          </cell>
          <cell r="R109">
            <v>1842164.9999999998</v>
          </cell>
          <cell r="T109">
            <v>21031562.052490015</v>
          </cell>
          <cell r="V109">
            <v>77950.179999999993</v>
          </cell>
          <cell r="W109">
            <v>9113108.4968078565</v>
          </cell>
          <cell r="Y109">
            <v>9632</v>
          </cell>
          <cell r="Z109">
            <v>2282179.029746687</v>
          </cell>
          <cell r="AA109">
            <v>3079240.0772516094</v>
          </cell>
          <cell r="AC109">
            <v>9543</v>
          </cell>
          <cell r="AD109">
            <v>322482.86885656911</v>
          </cell>
          <cell r="AF109">
            <v>9437</v>
          </cell>
          <cell r="AG109">
            <v>415638.38946665131</v>
          </cell>
          <cell r="AI109">
            <v>5935</v>
          </cell>
          <cell r="AJ109">
            <v>356862.15414718923</v>
          </cell>
          <cell r="AL109">
            <v>9570</v>
          </cell>
          <cell r="AM109">
            <v>615141.20535941073</v>
          </cell>
          <cell r="AO109">
            <v>10577</v>
          </cell>
          <cell r="AP109">
            <v>745223.14456960349</v>
          </cell>
          <cell r="AR109">
            <v>6511</v>
          </cell>
          <cell r="AS109">
            <v>623892.31485218555</v>
          </cell>
          <cell r="AU109">
            <v>596</v>
          </cell>
          <cell r="AV109">
            <v>1808075.5356853076</v>
          </cell>
          <cell r="AX109">
            <v>2340</v>
          </cell>
          <cell r="AY109">
            <v>1241168.606478621</v>
          </cell>
          <cell r="BA109">
            <v>1162</v>
          </cell>
          <cell r="BB109">
            <v>1846609.1747254285</v>
          </cell>
          <cell r="BD109">
            <v>1444</v>
          </cell>
          <cell r="BE109">
            <v>1901943.163374315</v>
          </cell>
          <cell r="BR109">
            <v>393317.01106860489</v>
          </cell>
          <cell r="BS109">
            <v>0</v>
          </cell>
        </row>
        <row r="110">
          <cell r="B110">
            <v>857</v>
          </cell>
          <cell r="F110">
            <v>3102856.7990257624</v>
          </cell>
          <cell r="J110">
            <v>1</v>
          </cell>
          <cell r="M110">
            <v>96000</v>
          </cell>
          <cell r="Q110">
            <v>-180000</v>
          </cell>
          <cell r="R110">
            <v>0</v>
          </cell>
          <cell r="T110">
            <v>1894016.5197919146</v>
          </cell>
          <cell r="V110">
            <v>7597.8660000000009</v>
          </cell>
          <cell r="W110">
            <v>888261.92835228262</v>
          </cell>
          <cell r="Y110">
            <v>204</v>
          </cell>
          <cell r="Z110">
            <v>48335.187091811065</v>
          </cell>
          <cell r="AA110">
            <v>0</v>
          </cell>
          <cell r="AC110">
            <v>0</v>
          </cell>
          <cell r="AD110">
            <v>0</v>
          </cell>
          <cell r="AF110">
            <v>0</v>
          </cell>
          <cell r="AG110">
            <v>0</v>
          </cell>
          <cell r="AI110">
            <v>0</v>
          </cell>
          <cell r="AJ110">
            <v>0</v>
          </cell>
          <cell r="AL110">
            <v>0</v>
          </cell>
          <cell r="AM110">
            <v>0</v>
          </cell>
          <cell r="AO110">
            <v>0</v>
          </cell>
          <cell r="AP110">
            <v>0</v>
          </cell>
          <cell r="AR110">
            <v>0</v>
          </cell>
          <cell r="AS110">
            <v>0</v>
          </cell>
          <cell r="AU110">
            <v>22</v>
          </cell>
          <cell r="AV110">
            <v>66741.043263551619</v>
          </cell>
          <cell r="AX110">
            <v>190</v>
          </cell>
          <cell r="AY110">
            <v>100778.64753458889</v>
          </cell>
          <cell r="BA110">
            <v>74</v>
          </cell>
          <cell r="BB110">
            <v>117598.17463828031</v>
          </cell>
          <cell r="BD110">
            <v>54</v>
          </cell>
          <cell r="BE110">
            <v>71125.298353333113</v>
          </cell>
          <cell r="BR110">
            <v>620815.51032976387</v>
          </cell>
          <cell r="BS110">
            <v>0</v>
          </cell>
        </row>
        <row r="111">
          <cell r="B111">
            <v>860</v>
          </cell>
          <cell r="F111">
            <v>76085324.857762203</v>
          </cell>
          <cell r="J111">
            <v>1</v>
          </cell>
          <cell r="M111">
            <v>9876000</v>
          </cell>
          <cell r="Q111">
            <v>1068000</v>
          </cell>
          <cell r="R111">
            <v>335669.99999999988</v>
          </cell>
          <cell r="T111">
            <v>30017599.02906616</v>
          </cell>
          <cell r="V111">
            <v>160477.06</v>
          </cell>
          <cell r="W111">
            <v>18761276.228338975</v>
          </cell>
          <cell r="Y111">
            <v>11152</v>
          </cell>
          <cell r="Z111">
            <v>2642323.5610190043</v>
          </cell>
          <cell r="AA111">
            <v>2226764.0289163147</v>
          </cell>
          <cell r="AC111">
            <v>16272</v>
          </cell>
          <cell r="AD111">
            <v>549873.33564226062</v>
          </cell>
          <cell r="AF111">
            <v>12185</v>
          </cell>
          <cell r="AG111">
            <v>536669.89251363208</v>
          </cell>
          <cell r="AI111">
            <v>9063</v>
          </cell>
          <cell r="AJ111">
            <v>544943.84212906088</v>
          </cell>
          <cell r="AL111">
            <v>4536</v>
          </cell>
          <cell r="AM111">
            <v>291565.36128634139</v>
          </cell>
          <cell r="AO111">
            <v>3345</v>
          </cell>
          <cell r="AP111">
            <v>235678.49282266464</v>
          </cell>
          <cell r="AR111">
            <v>710</v>
          </cell>
          <cell r="AS111">
            <v>68033.104522354741</v>
          </cell>
          <cell r="AU111">
            <v>823</v>
          </cell>
          <cell r="AV111">
            <v>2496721.7548137722</v>
          </cell>
          <cell r="AX111">
            <v>5070</v>
          </cell>
          <cell r="AY111">
            <v>2689198.6473703454</v>
          </cell>
          <cell r="BA111">
            <v>1946</v>
          </cell>
          <cell r="BB111">
            <v>3092514.1600823444</v>
          </cell>
          <cell r="BD111">
            <v>2186</v>
          </cell>
          <cell r="BE111">
            <v>2879257.4481552993</v>
          </cell>
          <cell r="BR111">
            <v>0</v>
          </cell>
          <cell r="BS111">
            <v>-3012088.7955491617</v>
          </cell>
        </row>
        <row r="112">
          <cell r="B112">
            <v>861</v>
          </cell>
          <cell r="F112">
            <v>30508717.938260976</v>
          </cell>
          <cell r="J112">
            <v>1</v>
          </cell>
          <cell r="M112">
            <v>2792000</v>
          </cell>
          <cell r="Q112">
            <v>-1026000</v>
          </cell>
          <cell r="R112">
            <v>183462.74999999997</v>
          </cell>
          <cell r="T112">
            <v>13772243.499306515</v>
          </cell>
          <cell r="V112">
            <v>52509.901000000013</v>
          </cell>
          <cell r="W112">
            <v>6138900.8334507952</v>
          </cell>
          <cell r="Y112">
            <v>7582</v>
          </cell>
          <cell r="Z112">
            <v>1796457.7869123113</v>
          </cell>
          <cell r="AA112">
            <v>2221889.3222199385</v>
          </cell>
          <cell r="AC112">
            <v>3907</v>
          </cell>
          <cell r="AD112">
            <v>132027.72384183333</v>
          </cell>
          <cell r="AF112">
            <v>4767</v>
          </cell>
          <cell r="AG112">
            <v>209955.30386643283</v>
          </cell>
          <cell r="AI112">
            <v>7867</v>
          </cell>
          <cell r="AJ112">
            <v>473030.25554775703</v>
          </cell>
          <cell r="AL112">
            <v>7632</v>
          </cell>
          <cell r="AM112">
            <v>490570.29041828873</v>
          </cell>
          <cell r="AO112">
            <v>5600</v>
          </cell>
          <cell r="AP112">
            <v>394558.91175094829</v>
          </cell>
          <cell r="AR112">
            <v>5445</v>
          </cell>
          <cell r="AS112">
            <v>521746.83679467818</v>
          </cell>
          <cell r="AU112">
            <v>361</v>
          </cell>
          <cell r="AV112">
            <v>1095159.8462791881</v>
          </cell>
          <cell r="AX112">
            <v>2000</v>
          </cell>
          <cell r="AY112">
            <v>1060827.8687851462</v>
          </cell>
          <cell r="BA112">
            <v>819</v>
          </cell>
          <cell r="BB112">
            <v>1301525.7436317781</v>
          </cell>
          <cell r="BD112">
            <v>890</v>
          </cell>
          <cell r="BE112">
            <v>1172250.2876753048</v>
          </cell>
          <cell r="BR112">
            <v>0</v>
          </cell>
          <cell r="BS112">
            <v>-40733.318426653743</v>
          </cell>
        </row>
        <row r="113">
          <cell r="B113">
            <v>865</v>
          </cell>
          <cell r="F113">
            <v>43542447.343630634</v>
          </cell>
          <cell r="J113">
            <v>1.0107827425534024</v>
          </cell>
          <cell r="M113">
            <v>2878709.2507920898</v>
          </cell>
          <cell r="Q113">
            <v>-1392000</v>
          </cell>
          <cell r="R113">
            <v>656264.99999999988</v>
          </cell>
          <cell r="T113">
            <v>21321438.481338702</v>
          </cell>
          <cell r="V113">
            <v>100583.93073943965</v>
          </cell>
          <cell r="W113">
            <v>11759206.635108737</v>
          </cell>
          <cell r="Y113">
            <v>5069.0754539053132</v>
          </cell>
          <cell r="Z113">
            <v>1201052.5021912763</v>
          </cell>
          <cell r="AA113">
            <v>525035.6079633896</v>
          </cell>
          <cell r="AC113">
            <v>4743.6034108031172</v>
          </cell>
          <cell r="AD113">
            <v>160298.73589370173</v>
          </cell>
          <cell r="AF113">
            <v>2725.0702739239728</v>
          </cell>
          <cell r="AG113">
            <v>120021.59794820455</v>
          </cell>
          <cell r="AI113">
            <v>3151.6205912815085</v>
          </cell>
          <cell r="AJ113">
            <v>189501.95674125652</v>
          </cell>
          <cell r="AL113">
            <v>261.79273032133119</v>
          </cell>
          <cell r="AM113">
            <v>16827.533509320256</v>
          </cell>
          <cell r="AO113">
            <v>544.81189823628392</v>
          </cell>
          <cell r="AP113">
            <v>38385.783870906533</v>
          </cell>
          <cell r="AR113">
            <v>0</v>
          </cell>
          <cell r="AS113">
            <v>0</v>
          </cell>
          <cell r="AU113">
            <v>385.10822491284631</v>
          </cell>
          <cell r="AV113">
            <v>1168296.5772753565</v>
          </cell>
          <cell r="AX113">
            <v>3527.6317715113742</v>
          </cell>
          <cell r="AY113">
            <v>1871105.0470155901</v>
          </cell>
          <cell r="BA113">
            <v>1052.2248349980919</v>
          </cell>
          <cell r="BB113">
            <v>1672158.3770924497</v>
          </cell>
          <cell r="BD113">
            <v>1428.2360152279575</v>
          </cell>
          <cell r="BE113">
            <v>1881179.8648530387</v>
          </cell>
          <cell r="BR113">
            <v>1477960.684572883</v>
          </cell>
          <cell r="BS113">
            <v>0</v>
          </cell>
        </row>
        <row r="114">
          <cell r="B114">
            <v>866</v>
          </cell>
          <cell r="F114">
            <v>26529185.689971268</v>
          </cell>
          <cell r="J114">
            <v>1.0107827425534024</v>
          </cell>
          <cell r="M114">
            <v>2377361.0104856025</v>
          </cell>
          <cell r="Q114">
            <v>-246000</v>
          </cell>
          <cell r="R114">
            <v>470339.99999999994</v>
          </cell>
          <cell r="T114">
            <v>13466476.769255254</v>
          </cell>
          <cell r="V114">
            <v>47665.070402014579</v>
          </cell>
          <cell r="W114">
            <v>5572494.6123478319</v>
          </cell>
          <cell r="Y114">
            <v>4056.2711458668036</v>
          </cell>
          <cell r="Z114">
            <v>961081.49377738626</v>
          </cell>
          <cell r="AA114">
            <v>766776.08593648789</v>
          </cell>
          <cell r="AC114">
            <v>2536.0539010664866</v>
          </cell>
          <cell r="AD114">
            <v>85699.878192477656</v>
          </cell>
          <cell r="AF114">
            <v>2231.8082955579125</v>
          </cell>
          <cell r="AG114">
            <v>98296.620278054776</v>
          </cell>
          <cell r="AI114">
            <v>2887.8062954750708</v>
          </cell>
          <cell r="AJ114">
            <v>173639.22078568631</v>
          </cell>
          <cell r="AL114">
            <v>3559.976819273083</v>
          </cell>
          <cell r="AM114">
            <v>228828.46725801521</v>
          </cell>
          <cell r="AO114">
            <v>1345.3518303385786</v>
          </cell>
          <cell r="AP114">
            <v>94789.384660809999</v>
          </cell>
          <cell r="AR114">
            <v>892.52116167465431</v>
          </cell>
          <cell r="AS114">
            <v>85522.514761443992</v>
          </cell>
          <cell r="AU114">
            <v>199.12420028302026</v>
          </cell>
          <cell r="AV114">
            <v>604079.85754132608</v>
          </cell>
          <cell r="AX114">
            <v>1677.899352638648</v>
          </cell>
          <cell r="AY114">
            <v>889981.19714781677</v>
          </cell>
          <cell r="BA114">
            <v>498.3158920788274</v>
          </cell>
          <cell r="BB114">
            <v>791905.93650968093</v>
          </cell>
          <cell r="BD114">
            <v>664.08426185758537</v>
          </cell>
          <cell r="BE114">
            <v>874688.72696988424</v>
          </cell>
          <cell r="BR114">
            <v>3393491.4163200445</v>
          </cell>
          <cell r="BS114">
            <v>0</v>
          </cell>
        </row>
        <row r="115">
          <cell r="B115">
            <v>867</v>
          </cell>
          <cell r="F115">
            <v>13266066.967244983</v>
          </cell>
          <cell r="J115">
            <v>1.0744343550114952</v>
          </cell>
          <cell r="M115">
            <v>850952.00916910416</v>
          </cell>
          <cell r="Q115">
            <v>-546000</v>
          </cell>
          <cell r="R115">
            <v>20099.999999999996</v>
          </cell>
          <cell r="T115">
            <v>7586312.0368624013</v>
          </cell>
          <cell r="V115">
            <v>29380.146350241062</v>
          </cell>
          <cell r="W115">
            <v>3434815.1773586688</v>
          </cell>
          <cell r="Y115">
            <v>1506.3569657261162</v>
          </cell>
          <cell r="Z115">
            <v>356911.98904619925</v>
          </cell>
          <cell r="AA115">
            <v>111846.79396977279</v>
          </cell>
          <cell r="AC115">
            <v>1865.2180402999556</v>
          </cell>
          <cell r="AD115">
            <v>63030.584164199667</v>
          </cell>
          <cell r="AF115">
            <v>652.18165349197761</v>
          </cell>
          <cell r="AG115">
            <v>28724.354360188958</v>
          </cell>
          <cell r="AI115">
            <v>334.14908440857499</v>
          </cell>
          <cell r="AJ115">
            <v>20091.855445384168</v>
          </cell>
          <cell r="AL115">
            <v>0</v>
          </cell>
          <cell r="AM115">
            <v>0</v>
          </cell>
          <cell r="AO115">
            <v>0</v>
          </cell>
          <cell r="AP115">
            <v>0</v>
          </cell>
          <cell r="AR115">
            <v>0</v>
          </cell>
          <cell r="AS115">
            <v>0</v>
          </cell>
          <cell r="AU115">
            <v>104.22013243611504</v>
          </cell>
          <cell r="AV115">
            <v>316170.92581144697</v>
          </cell>
          <cell r="AX115">
            <v>795.08142270850647</v>
          </cell>
          <cell r="AY115">
            <v>421722.26558126335</v>
          </cell>
          <cell r="BA115">
            <v>228.85451761744847</v>
          </cell>
          <cell r="BB115">
            <v>363687.48012886621</v>
          </cell>
          <cell r="BD115">
            <v>265.38528568783931</v>
          </cell>
          <cell r="BE115">
            <v>349548.28931726137</v>
          </cell>
          <cell r="BR115">
            <v>2460073.626719512</v>
          </cell>
          <cell r="BS115">
            <v>0</v>
          </cell>
        </row>
        <row r="116">
          <cell r="B116">
            <v>868</v>
          </cell>
          <cell r="F116">
            <v>16171584.892028442</v>
          </cell>
          <cell r="J116">
            <v>1.0744343550114952</v>
          </cell>
          <cell r="M116">
            <v>1370978.2369946679</v>
          </cell>
          <cell r="Q116">
            <v>582000</v>
          </cell>
          <cell r="R116">
            <v>32863.5</v>
          </cell>
          <cell r="T116">
            <v>8253196.975554144</v>
          </cell>
          <cell r="V116">
            <v>35378.935762181725</v>
          </cell>
          <cell r="W116">
            <v>4136130.0269269114</v>
          </cell>
          <cell r="Y116">
            <v>1188.3243966427137</v>
          </cell>
          <cell r="Z116">
            <v>281558.24528180913</v>
          </cell>
          <cell r="AA116">
            <v>129154.15883323803</v>
          </cell>
          <cell r="AC116">
            <v>2320.7782068248298</v>
          </cell>
          <cell r="AD116">
            <v>78425.150803382086</v>
          </cell>
          <cell r="AF116">
            <v>1151.7936285723229</v>
          </cell>
          <cell r="AG116">
            <v>50729.008029855948</v>
          </cell>
          <cell r="AI116">
            <v>0</v>
          </cell>
          <cell r="AJ116">
            <v>0</v>
          </cell>
          <cell r="AL116">
            <v>0</v>
          </cell>
          <cell r="AM116">
            <v>0</v>
          </cell>
          <cell r="AO116">
            <v>0</v>
          </cell>
          <cell r="AP116">
            <v>0</v>
          </cell>
          <cell r="AR116">
            <v>0</v>
          </cell>
          <cell r="AS116">
            <v>0</v>
          </cell>
          <cell r="AU116">
            <v>108.51786985616101</v>
          </cell>
          <cell r="AV116">
            <v>329208.90213356848</v>
          </cell>
          <cell r="AX116">
            <v>687.6379872073569</v>
          </cell>
          <cell r="AY116">
            <v>364732.77023244399</v>
          </cell>
          <cell r="BA116">
            <v>233.15225503749446</v>
          </cell>
          <cell r="BB116">
            <v>370517.2919622722</v>
          </cell>
          <cell r="BD116">
            <v>243.89659858760942</v>
          </cell>
          <cell r="BE116">
            <v>321244.78410938598</v>
          </cell>
          <cell r="BR116">
            <v>2553695.5364423692</v>
          </cell>
          <cell r="BS116">
            <v>0</v>
          </cell>
        </row>
        <row r="117">
          <cell r="B117">
            <v>869</v>
          </cell>
          <cell r="F117">
            <v>17658993.779392421</v>
          </cell>
          <cell r="J117">
            <v>1.0522356053683966</v>
          </cell>
          <cell r="M117">
            <v>1776173.7018618535</v>
          </cell>
          <cell r="Q117">
            <v>855000</v>
          </cell>
          <cell r="R117">
            <v>45224.999999999993</v>
          </cell>
          <cell r="T117">
            <v>8415909.3402711526</v>
          </cell>
          <cell r="V117">
            <v>36135.12070663242</v>
          </cell>
          <cell r="W117">
            <v>4224535.1523856577</v>
          </cell>
          <cell r="Y117">
            <v>1609.9204762136467</v>
          </cell>
          <cell r="Z117">
            <v>381450.03637609893</v>
          </cell>
          <cell r="AA117">
            <v>129787.34011410076</v>
          </cell>
          <cell r="AC117">
            <v>883.87790850945305</v>
          </cell>
          <cell r="AD117">
            <v>29868.540674323856</v>
          </cell>
          <cell r="AF117">
            <v>1077.4892598972381</v>
          </cell>
          <cell r="AG117">
            <v>47456.384513224766</v>
          </cell>
          <cell r="AI117">
            <v>0</v>
          </cell>
          <cell r="AJ117">
            <v>0</v>
          </cell>
          <cell r="AL117">
            <v>328.29750887493975</v>
          </cell>
          <cell r="AM117">
            <v>21102.332844913512</v>
          </cell>
          <cell r="AO117">
            <v>445.09566107083174</v>
          </cell>
          <cell r="AP117">
            <v>31360.082081638622</v>
          </cell>
          <cell r="AR117">
            <v>0</v>
          </cell>
          <cell r="AS117">
            <v>0</v>
          </cell>
          <cell r="AU117">
            <v>123.1115658281024</v>
          </cell>
          <cell r="AV117">
            <v>373481.56096258934</v>
          </cell>
          <cell r="AX117">
            <v>1052.2356053683966</v>
          </cell>
          <cell r="AY117">
            <v>558120.42735140212</v>
          </cell>
          <cell r="BA117">
            <v>335.66315811251849</v>
          </cell>
          <cell r="BB117">
            <v>533423.98226152221</v>
          </cell>
          <cell r="BD117">
            <v>277.79019981725668</v>
          </cell>
          <cell r="BE117">
            <v>365887.23780804448</v>
          </cell>
          <cell r="BR117">
            <v>1976322.1174319759</v>
          </cell>
          <cell r="BS117">
            <v>0</v>
          </cell>
        </row>
        <row r="118">
          <cell r="B118">
            <v>870</v>
          </cell>
          <cell r="F118">
            <v>17423543.799906611</v>
          </cell>
          <cell r="J118">
            <v>1.0522356053683966</v>
          </cell>
          <cell r="M118">
            <v>1018564.0659966079</v>
          </cell>
          <cell r="Q118">
            <v>-1938000</v>
          </cell>
          <cell r="R118">
            <v>181904.99999999997</v>
          </cell>
          <cell r="T118">
            <v>9810472.6467280947</v>
          </cell>
          <cell r="V118">
            <v>36517.99241517979</v>
          </cell>
          <cell r="W118">
            <v>4269296.4527489198</v>
          </cell>
          <cell r="Y118">
            <v>3434.4970159224463</v>
          </cell>
          <cell r="Z118">
            <v>813760.07760234422</v>
          </cell>
          <cell r="AA118">
            <v>782721.91350291669</v>
          </cell>
          <cell r="AC118">
            <v>4749.7915226329424</v>
          </cell>
          <cell r="AD118">
            <v>160507.84833797367</v>
          </cell>
          <cell r="AF118">
            <v>2190.7545303770016</v>
          </cell>
          <cell r="AG118">
            <v>96488.469293490198</v>
          </cell>
          <cell r="AI118">
            <v>3317.6988637265545</v>
          </cell>
          <cell r="AJ118">
            <v>199487.98034054594</v>
          </cell>
          <cell r="AL118">
            <v>2262.3065515420526</v>
          </cell>
          <cell r="AM118">
            <v>145416.71671975657</v>
          </cell>
          <cell r="AO118">
            <v>2566.4026414935192</v>
          </cell>
          <cell r="AP118">
            <v>180820.89881115037</v>
          </cell>
          <cell r="AR118">
            <v>0</v>
          </cell>
          <cell r="AS118">
            <v>0</v>
          </cell>
          <cell r="AU118">
            <v>175.72334609652222</v>
          </cell>
          <cell r="AV118">
            <v>533089.06564745656</v>
          </cell>
          <cell r="AX118">
            <v>1231.115658281024</v>
          </cell>
          <cell r="AY118">
            <v>653000.90000114054</v>
          </cell>
          <cell r="BA118">
            <v>464.03590196746291</v>
          </cell>
          <cell r="BB118">
            <v>737429.39240542729</v>
          </cell>
          <cell r="BD118">
            <v>426.15542017420063</v>
          </cell>
          <cell r="BE118">
            <v>561304.28527370456</v>
          </cell>
          <cell r="BR118">
            <v>1813132.3916979283</v>
          </cell>
          <cell r="BS118">
            <v>0</v>
          </cell>
        </row>
        <row r="119">
          <cell r="B119">
            <v>871</v>
          </cell>
          <cell r="F119">
            <v>20702194.8974309</v>
          </cell>
          <cell r="J119">
            <v>1.0744343550114952</v>
          </cell>
          <cell r="M119">
            <v>1405360.1363550357</v>
          </cell>
          <cell r="Q119">
            <v>-24000</v>
          </cell>
          <cell r="R119">
            <v>120599.99999999999</v>
          </cell>
          <cell r="T119">
            <v>10395860.517033104</v>
          </cell>
          <cell r="V119">
            <v>41966.793479166648</v>
          </cell>
          <cell r="W119">
            <v>4906312.4965044875</v>
          </cell>
          <cell r="Y119">
            <v>3467.1996636220952</v>
          </cell>
          <cell r="Z119">
            <v>821508.55110705073</v>
          </cell>
          <cell r="AA119">
            <v>656233.90347034705</v>
          </cell>
          <cell r="AC119">
            <v>12250.700515841068</v>
          </cell>
          <cell r="AD119">
            <v>413983.13400933449</v>
          </cell>
          <cell r="AF119">
            <v>3342.5652784407616</v>
          </cell>
          <cell r="AG119">
            <v>147218.23132544951</v>
          </cell>
          <cell r="AI119">
            <v>1580.4929362219095</v>
          </cell>
          <cell r="AJ119">
            <v>95032.538135563067</v>
          </cell>
          <cell r="AL119">
            <v>0</v>
          </cell>
          <cell r="AM119">
            <v>0</v>
          </cell>
          <cell r="AO119">
            <v>0</v>
          </cell>
          <cell r="AP119">
            <v>0</v>
          </cell>
          <cell r="AR119">
            <v>0</v>
          </cell>
          <cell r="AS119">
            <v>0</v>
          </cell>
          <cell r="AU119">
            <v>232.07782068248295</v>
          </cell>
          <cell r="AV119">
            <v>704050.72139456228</v>
          </cell>
          <cell r="AX119">
            <v>1117.4117292119549</v>
          </cell>
          <cell r="AY119">
            <v>592690.75162772147</v>
          </cell>
          <cell r="BA119">
            <v>452.33686345983949</v>
          </cell>
          <cell r="BB119">
            <v>718837.69546597509</v>
          </cell>
          <cell r="BD119">
            <v>307.28822553328763</v>
          </cell>
          <cell r="BE119">
            <v>404740.12447261839</v>
          </cell>
          <cell r="BR119">
            <v>2043401.2429980077</v>
          </cell>
          <cell r="BS119">
            <v>0</v>
          </cell>
        </row>
        <row r="120">
          <cell r="B120">
            <v>872</v>
          </cell>
          <cell r="F120">
            <v>15771286.22556909</v>
          </cell>
          <cell r="J120">
            <v>1.0522356053683966</v>
          </cell>
          <cell r="M120">
            <v>1258473.7840206022</v>
          </cell>
          <cell r="Q120">
            <v>-540000</v>
          </cell>
          <cell r="R120">
            <v>221099.99999999997</v>
          </cell>
          <cell r="T120">
            <v>8423711.5340594836</v>
          </cell>
          <cell r="V120">
            <v>38585.051388967717</v>
          </cell>
          <cell r="W120">
            <v>4510955.0697967531</v>
          </cell>
          <cell r="Y120">
            <v>1268.9961400742861</v>
          </cell>
          <cell r="Z120">
            <v>300672.38161410147</v>
          </cell>
          <cell r="AA120">
            <v>57327.320934225107</v>
          </cell>
          <cell r="AC120">
            <v>700.78891317535215</v>
          </cell>
          <cell r="AD120">
            <v>23681.485820356775</v>
          </cell>
          <cell r="AF120">
            <v>763.92304949745585</v>
          </cell>
          <cell r="AG120">
            <v>33645.835113868336</v>
          </cell>
          <cell r="AI120">
            <v>0</v>
          </cell>
          <cell r="AJ120">
            <v>0</v>
          </cell>
          <cell r="AL120">
            <v>0</v>
          </cell>
          <cell r="AM120">
            <v>0</v>
          </cell>
          <cell r="AO120">
            <v>0</v>
          </cell>
          <cell r="AP120">
            <v>0</v>
          </cell>
          <cell r="AR120">
            <v>0</v>
          </cell>
          <cell r="AS120">
            <v>0</v>
          </cell>
          <cell r="AU120">
            <v>93.648968877787297</v>
          </cell>
          <cell r="AV120">
            <v>284101.35833906371</v>
          </cell>
          <cell r="AX120">
            <v>873.35555245576916</v>
          </cell>
          <cell r="AY120">
            <v>463239.95470166375</v>
          </cell>
          <cell r="BA120">
            <v>296.73044071388784</v>
          </cell>
          <cell r="BB120">
            <v>471553.48902115761</v>
          </cell>
          <cell r="BD120">
            <v>243.06642484009961</v>
          </cell>
          <cell r="BE120">
            <v>320151.33308203891</v>
          </cell>
          <cell r="BR120">
            <v>2265165.46747238</v>
          </cell>
          <cell r="BS120">
            <v>0</v>
          </cell>
        </row>
        <row r="121">
          <cell r="B121">
            <v>873</v>
          </cell>
          <cell r="F121">
            <v>61776957.295749031</v>
          </cell>
          <cell r="J121">
            <v>1.0193022956972073</v>
          </cell>
          <cell r="M121">
            <v>4578705.9122718554</v>
          </cell>
          <cell r="Q121">
            <v>-306000</v>
          </cell>
          <cell r="R121">
            <v>627119.99999999988</v>
          </cell>
          <cell r="T121">
            <v>29935756.774108011</v>
          </cell>
          <cell r="V121">
            <v>131469.2543625246</v>
          </cell>
          <cell r="W121">
            <v>15369991.178982735</v>
          </cell>
          <cell r="Y121">
            <v>8228.8274331635548</v>
          </cell>
          <cell r="Z121">
            <v>1949715.2623930776</v>
          </cell>
          <cell r="AA121">
            <v>1117131.355075171</v>
          </cell>
          <cell r="AC121">
            <v>11047.198280766333</v>
          </cell>
          <cell r="AD121">
            <v>373313.6534013293</v>
          </cell>
          <cell r="AF121">
            <v>7302.2816463747931</v>
          </cell>
          <cell r="AG121">
            <v>321617.94881118002</v>
          </cell>
          <cell r="AI121">
            <v>3522.7087339295485</v>
          </cell>
          <cell r="AJ121">
            <v>211814.8992793962</v>
          </cell>
          <cell r="AL121">
            <v>1040.7076439068487</v>
          </cell>
          <cell r="AM121">
            <v>66894.686990554997</v>
          </cell>
          <cell r="AO121">
            <v>1586.0343721048546</v>
          </cell>
          <cell r="AP121">
            <v>111747.14211737322</v>
          </cell>
          <cell r="AR121">
            <v>331.27324610159241</v>
          </cell>
          <cell r="AS121">
            <v>31743.024475337155</v>
          </cell>
          <cell r="AU121">
            <v>537.17230983242825</v>
          </cell>
          <cell r="AV121">
            <v>1629610.9259321841</v>
          </cell>
          <cell r="AX121">
            <v>3832.5766318214996</v>
          </cell>
          <cell r="AY121">
            <v>2032852.0501454775</v>
          </cell>
          <cell r="BA121">
            <v>1498.3743746748949</v>
          </cell>
          <cell r="BB121">
            <v>2381163.3971154368</v>
          </cell>
          <cell r="BD121">
            <v>1868.381108012981</v>
          </cell>
          <cell r="BE121">
            <v>2460910.4397250805</v>
          </cell>
          <cell r="BR121">
            <v>3833475.8125759363</v>
          </cell>
          <cell r="BS121">
            <v>0</v>
          </cell>
        </row>
        <row r="122">
          <cell r="B122">
            <v>874</v>
          </cell>
          <cell r="F122">
            <v>27634992.790463109</v>
          </cell>
          <cell r="J122">
            <v>1.0193022956972073</v>
          </cell>
          <cell r="M122">
            <v>2405553.4178454094</v>
          </cell>
          <cell r="Q122">
            <v>204000</v>
          </cell>
          <cell r="R122">
            <v>250244.99999999997</v>
          </cell>
          <cell r="T122">
            <v>12301239.223973624</v>
          </cell>
          <cell r="V122">
            <v>46297.915085880675</v>
          </cell>
          <cell r="W122">
            <v>5412661.309488032</v>
          </cell>
          <cell r="Y122">
            <v>5289.1596123728086</v>
          </cell>
          <cell r="Z122">
            <v>1253198.6246200521</v>
          </cell>
          <cell r="AA122">
            <v>1585797.3499795978</v>
          </cell>
          <cell r="AC122">
            <v>5736.6333201838825</v>
          </cell>
          <cell r="AD122">
            <v>193855.80746841492</v>
          </cell>
          <cell r="AF122">
            <v>7147.3476974288178</v>
          </cell>
          <cell r="AG122">
            <v>314794.11740145093</v>
          </cell>
          <cell r="AI122">
            <v>4602.1498650728909</v>
          </cell>
          <cell r="AJ122">
            <v>276719.98560372507</v>
          </cell>
          <cell r="AL122">
            <v>4493.0845194332896</v>
          </cell>
          <cell r="AM122">
            <v>288806.83668400237</v>
          </cell>
          <cell r="AO122">
            <v>4716.3117221909779</v>
          </cell>
          <cell r="AP122">
            <v>332296.93224748445</v>
          </cell>
          <cell r="AR122">
            <v>1871.4390149000726</v>
          </cell>
          <cell r="AS122">
            <v>179323.67057452002</v>
          </cell>
          <cell r="AU122">
            <v>341.46626905856448</v>
          </cell>
          <cell r="AV122">
            <v>1035900.6834673277</v>
          </cell>
          <cell r="AX122">
            <v>1906.0952929537777</v>
          </cell>
          <cell r="AY122">
            <v>1011019.5036627775</v>
          </cell>
          <cell r="BA122">
            <v>736.95555978908089</v>
          </cell>
          <cell r="BB122">
            <v>1171143.6300098372</v>
          </cell>
          <cell r="BD122">
            <v>762.43811718151107</v>
          </cell>
          <cell r="BE122">
            <v>1004234.0474164541</v>
          </cell>
          <cell r="BR122">
            <v>307150.63470605388</v>
          </cell>
          <cell r="BS122">
            <v>0</v>
          </cell>
        </row>
        <row r="123">
          <cell r="B123">
            <v>876</v>
          </cell>
          <cell r="F123">
            <v>16038745.284084801</v>
          </cell>
          <cell r="J123">
            <v>1.0054548012657853</v>
          </cell>
          <cell r="M123">
            <v>1411658.5409771625</v>
          </cell>
          <cell r="Q123">
            <v>-51000</v>
          </cell>
          <cell r="R123">
            <v>0</v>
          </cell>
          <cell r="T123">
            <v>7353513.5727012474</v>
          </cell>
          <cell r="V123">
            <v>26826.515421657194</v>
          </cell>
          <cell r="W123">
            <v>3136271.7267471505</v>
          </cell>
          <cell r="Y123">
            <v>4605.9884445985626</v>
          </cell>
          <cell r="Z123">
            <v>1091329.9667274086</v>
          </cell>
          <cell r="AA123">
            <v>1043107.6158553963</v>
          </cell>
          <cell r="AC123">
            <v>2800.1916215252122</v>
          </cell>
          <cell r="AD123">
            <v>94625.780934462804</v>
          </cell>
          <cell r="AF123">
            <v>2685.5697741809126</v>
          </cell>
          <cell r="AG123">
            <v>118281.8581901953</v>
          </cell>
          <cell r="AI123">
            <v>1975.7186844872683</v>
          </cell>
          <cell r="AJ123">
            <v>118796.83668660109</v>
          </cell>
          <cell r="AL123">
            <v>2317.5733169176351</v>
          </cell>
          <cell r="AM123">
            <v>148969.15816902005</v>
          </cell>
          <cell r="AO123">
            <v>4733.6812043593172</v>
          </cell>
          <cell r="AP123">
            <v>333520.73295855901</v>
          </cell>
          <cell r="AR123">
            <v>2388.9606078075058</v>
          </cell>
          <cell r="AS123">
            <v>228913.24891655796</v>
          </cell>
          <cell r="AU123">
            <v>150.81822018986782</v>
          </cell>
          <cell r="AV123">
            <v>457534.7890283555</v>
          </cell>
          <cell r="AX123">
            <v>1035.618445303759</v>
          </cell>
          <cell r="AY123">
            <v>549306.45410308661</v>
          </cell>
          <cell r="BA123">
            <v>309.68007878986191</v>
          </cell>
          <cell r="BB123">
            <v>492132.59442603495</v>
          </cell>
          <cell r="BD123">
            <v>421.28556173036407</v>
          </cell>
          <cell r="BE123">
            <v>554890.02351895696</v>
          </cell>
          <cell r="BR123">
            <v>103652.82616098598</v>
          </cell>
          <cell r="BS123">
            <v>0</v>
          </cell>
        </row>
        <row r="124">
          <cell r="B124">
            <v>877</v>
          </cell>
          <cell r="F124">
            <v>19408096.728023171</v>
          </cell>
          <cell r="J124">
            <v>1.0054548012657853</v>
          </cell>
          <cell r="M124">
            <v>1560465.8515644989</v>
          </cell>
          <cell r="Q124">
            <v>-531000</v>
          </cell>
          <cell r="R124">
            <v>313082.62499999994</v>
          </cell>
          <cell r="T124">
            <v>9013191.7214255389</v>
          </cell>
          <cell r="V124">
            <v>43011.856259586806</v>
          </cell>
          <cell r="W124">
            <v>5028490.1554136081</v>
          </cell>
          <cell r="Y124">
            <v>3197.3462680251973</v>
          </cell>
          <cell r="Z124">
            <v>757570.2454034402</v>
          </cell>
          <cell r="AA124">
            <v>757879.85949353955</v>
          </cell>
          <cell r="AC124">
            <v>5277.6322518441075</v>
          </cell>
          <cell r="AD124">
            <v>178344.96377917248</v>
          </cell>
          <cell r="AF124">
            <v>2989.21712416318</v>
          </cell>
          <cell r="AG124">
            <v>131655.54638691523</v>
          </cell>
          <cell r="AI124">
            <v>1884.2222975720817</v>
          </cell>
          <cell r="AJ124">
            <v>113295.30379169997</v>
          </cell>
          <cell r="AL124">
            <v>1257.8239563834975</v>
          </cell>
          <cell r="AM124">
            <v>80850.506234032131</v>
          </cell>
          <cell r="AO124">
            <v>2983.1843953555849</v>
          </cell>
          <cell r="AP124">
            <v>210186.06938998398</v>
          </cell>
          <cell r="AR124">
            <v>454.46557017213496</v>
          </cell>
          <cell r="AS124">
            <v>43547.469911735774</v>
          </cell>
          <cell r="AU124">
            <v>152.82912979239939</v>
          </cell>
          <cell r="AV124">
            <v>463635.25288206694</v>
          </cell>
          <cell r="AX124">
            <v>1256.8185015822316</v>
          </cell>
          <cell r="AY124">
            <v>666634.04624160973</v>
          </cell>
          <cell r="BA124">
            <v>407.20919451264308</v>
          </cell>
          <cell r="BB124">
            <v>647122.40500826028</v>
          </cell>
          <cell r="BD124">
            <v>555.01105029871349</v>
          </cell>
          <cell r="BE124">
            <v>731024.56559060665</v>
          </cell>
          <cell r="BR124">
            <v>125621.9715856947</v>
          </cell>
          <cell r="BS124">
            <v>0</v>
          </cell>
        </row>
        <row r="125">
          <cell r="B125">
            <v>878</v>
          </cell>
          <cell r="F125">
            <v>65073787.785959288</v>
          </cell>
          <cell r="J125">
            <v>1</v>
          </cell>
          <cell r="M125">
            <v>4800000</v>
          </cell>
          <cell r="Q125">
            <v>-1836000</v>
          </cell>
          <cell r="R125">
            <v>1921560</v>
          </cell>
          <cell r="T125">
            <v>30704229.6577699</v>
          </cell>
          <cell r="V125">
            <v>138393.269</v>
          </cell>
          <cell r="W125">
            <v>16179473.551246647</v>
          </cell>
          <cell r="Y125">
            <v>12464</v>
          </cell>
          <cell r="Z125">
            <v>2953185.1564330049</v>
          </cell>
          <cell r="AA125">
            <v>1149415.8107992988</v>
          </cell>
          <cell r="AC125">
            <v>12112</v>
          </cell>
          <cell r="AD125">
            <v>409296.08169242006</v>
          </cell>
          <cell r="AF125">
            <v>6792</v>
          </cell>
          <cell r="AG125">
            <v>299143.36560956825</v>
          </cell>
          <cell r="AI125">
            <v>5143</v>
          </cell>
          <cell r="AJ125">
            <v>309240.44798298134</v>
          </cell>
          <cell r="AL125">
            <v>767</v>
          </cell>
          <cell r="AM125">
            <v>49301.285737791855</v>
          </cell>
          <cell r="AO125">
            <v>1170</v>
          </cell>
          <cell r="AP125">
            <v>82434.629776537418</v>
          </cell>
          <cell r="AR125">
            <v>0</v>
          </cell>
          <cell r="AS125">
            <v>0</v>
          </cell>
          <cell r="AU125">
            <v>696</v>
          </cell>
          <cell r="AV125">
            <v>2111443.9141559964</v>
          </cell>
          <cell r="AX125">
            <v>4740</v>
          </cell>
          <cell r="AY125">
            <v>2514162.0490207961</v>
          </cell>
          <cell r="BA125">
            <v>1416</v>
          </cell>
          <cell r="BB125">
            <v>2250256.9633487151</v>
          </cell>
          <cell r="BD125">
            <v>1766</v>
          </cell>
          <cell r="BE125">
            <v>2326060.6831849306</v>
          </cell>
          <cell r="BR125">
            <v>1879598.0761808231</v>
          </cell>
          <cell r="BS125">
            <v>0</v>
          </cell>
        </row>
        <row r="126">
          <cell r="B126">
            <v>879</v>
          </cell>
          <cell r="F126">
            <v>29148022.134136163</v>
          </cell>
          <cell r="J126">
            <v>1</v>
          </cell>
          <cell r="M126">
            <v>2584000</v>
          </cell>
          <cell r="Q126">
            <v>510000</v>
          </cell>
          <cell r="R126">
            <v>0</v>
          </cell>
          <cell r="T126">
            <v>13003155.628975254</v>
          </cell>
          <cell r="V126">
            <v>49621.051999999996</v>
          </cell>
          <cell r="W126">
            <v>5801167.2404315732</v>
          </cell>
          <cell r="Y126">
            <v>6156</v>
          </cell>
          <cell r="Z126">
            <v>1458585.351652887</v>
          </cell>
          <cell r="AA126">
            <v>1440255.5492317106</v>
          </cell>
          <cell r="AC126">
            <v>4392</v>
          </cell>
          <cell r="AD126">
            <v>148417.13926627385</v>
          </cell>
          <cell r="AF126">
            <v>4004</v>
          </cell>
          <cell r="AG126">
            <v>176350.12307136503</v>
          </cell>
          <cell r="AI126">
            <v>5953</v>
          </cell>
          <cell r="AJ126">
            <v>357944.46565092122</v>
          </cell>
          <cell r="AL126">
            <v>2630</v>
          </cell>
          <cell r="AM126">
            <v>169051.34483753922</v>
          </cell>
          <cell r="AO126">
            <v>3753</v>
          </cell>
          <cell r="AP126">
            <v>264424.92782166234</v>
          </cell>
          <cell r="AR126">
            <v>3382</v>
          </cell>
          <cell r="AS126">
            <v>324067.54858394893</v>
          </cell>
          <cell r="AU126">
            <v>338</v>
          </cell>
          <cell r="AV126">
            <v>1025385.1192309295</v>
          </cell>
          <cell r="AX126">
            <v>2590</v>
          </cell>
          <cell r="AY126">
            <v>1373772.0900767643</v>
          </cell>
          <cell r="BA126">
            <v>609</v>
          </cell>
          <cell r="BB126">
            <v>967801.19398260408</v>
          </cell>
          <cell r="BD126">
            <v>747</v>
          </cell>
          <cell r="BE126">
            <v>983899.96055444132</v>
          </cell>
          <cell r="BR126">
            <v>238991.28940500319</v>
          </cell>
          <cell r="BS126">
            <v>0</v>
          </cell>
        </row>
        <row r="127">
          <cell r="B127">
            <v>880</v>
          </cell>
          <cell r="F127">
            <v>16271530.397684887</v>
          </cell>
          <cell r="J127">
            <v>1</v>
          </cell>
          <cell r="M127">
            <v>2152000</v>
          </cell>
          <cell r="Q127">
            <v>420000</v>
          </cell>
          <cell r="R127">
            <v>65324.999999999993</v>
          </cell>
          <cell r="T127">
            <v>7167459.0448755752</v>
          </cell>
          <cell r="V127">
            <v>23897.527000000002</v>
          </cell>
          <cell r="W127">
            <v>2793845.4581682198</v>
          </cell>
          <cell r="Y127">
            <v>3149</v>
          </cell>
          <cell r="Z127">
            <v>746115.2164319267</v>
          </cell>
          <cell r="AA127">
            <v>729029.46752678079</v>
          </cell>
          <cell r="AC127">
            <v>3935</v>
          </cell>
          <cell r="AD127">
            <v>132973.91689726495</v>
          </cell>
          <cell r="AF127">
            <v>3080</v>
          </cell>
          <cell r="AG127">
            <v>135653.94082412694</v>
          </cell>
          <cell r="AI127">
            <v>2681</v>
          </cell>
          <cell r="AJ127">
            <v>161204.28563919367</v>
          </cell>
          <cell r="AL127">
            <v>815</v>
          </cell>
          <cell r="AM127">
            <v>52386.633476271658</v>
          </cell>
          <cell r="AO127">
            <v>3503</v>
          </cell>
          <cell r="AP127">
            <v>246810.69068992356</v>
          </cell>
          <cell r="AR127">
            <v>0</v>
          </cell>
          <cell r="AS127">
            <v>0</v>
          </cell>
          <cell r="AU127">
            <v>154</v>
          </cell>
          <cell r="AV127">
            <v>467187.30284486135</v>
          </cell>
          <cell r="AX127">
            <v>1140</v>
          </cell>
          <cell r="AY127">
            <v>604671.88520753337</v>
          </cell>
          <cell r="BA127">
            <v>338</v>
          </cell>
          <cell r="BB127">
            <v>537137.60848295595</v>
          </cell>
          <cell r="BD127">
            <v>447</v>
          </cell>
          <cell r="BE127">
            <v>588759.4141470351</v>
          </cell>
          <cell r="BR127">
            <v>805008.78237068094</v>
          </cell>
          <cell r="BS127">
            <v>0</v>
          </cell>
        </row>
        <row r="128">
          <cell r="B128">
            <v>881</v>
          </cell>
          <cell r="F128">
            <v>135839235.39815584</v>
          </cell>
          <cell r="J128">
            <v>1.0189419796053065</v>
          </cell>
          <cell r="M128">
            <v>10841542.663000461</v>
          </cell>
          <cell r="Q128">
            <v>-1077000</v>
          </cell>
          <cell r="R128">
            <v>0</v>
          </cell>
          <cell r="T128">
            <v>60380853.498377211</v>
          </cell>
          <cell r="V128">
            <v>296852.4579704621</v>
          </cell>
          <cell r="W128">
            <v>34704841.695412576</v>
          </cell>
          <cell r="Y128">
            <v>22396.344711724636</v>
          </cell>
          <cell r="Z128">
            <v>5306527.0186956059</v>
          </cell>
          <cell r="AA128">
            <v>4851727.4746737909</v>
          </cell>
          <cell r="AC128">
            <v>30019.049661151934</v>
          </cell>
          <cell r="AD128">
            <v>1014422.0114299585</v>
          </cell>
          <cell r="AF128">
            <v>22444.234984766088</v>
          </cell>
          <cell r="AG128">
            <v>988522.37807346066</v>
          </cell>
          <cell r="AI128">
            <v>13353.234642727542</v>
          </cell>
          <cell r="AJ128">
            <v>802908.85921425838</v>
          </cell>
          <cell r="AL128">
            <v>11485.513994111016</v>
          </cell>
          <cell r="AM128">
            <v>738266.76306267828</v>
          </cell>
          <cell r="AO128">
            <v>12203.868089732756</v>
          </cell>
          <cell r="AP128">
            <v>859847.30582805001</v>
          </cell>
          <cell r="AR128">
            <v>4672.8679184699358</v>
          </cell>
          <cell r="AS128">
            <v>447760.15706538502</v>
          </cell>
          <cell r="AU128">
            <v>1454.0302048967724</v>
          </cell>
          <cell r="AV128">
            <v>4411067.8550693784</v>
          </cell>
          <cell r="AX128">
            <v>10250.556314829384</v>
          </cell>
          <cell r="AY128">
            <v>5437037.9046612885</v>
          </cell>
          <cell r="BA128">
            <v>3287.1068262067188</v>
          </cell>
          <cell r="BB128">
            <v>5223753.5486883922</v>
          </cell>
          <cell r="BD128">
            <v>4372.2800344863699</v>
          </cell>
          <cell r="BE128">
            <v>5758883.739577122</v>
          </cell>
          <cell r="BR128">
            <v>0</v>
          </cell>
          <cell r="BS128">
            <v>-805587.65467250347</v>
          </cell>
        </row>
        <row r="129">
          <cell r="B129">
            <v>882</v>
          </cell>
          <cell r="F129">
            <v>19315222.287111308</v>
          </cell>
          <cell r="J129">
            <v>1.0053237953143217</v>
          </cell>
          <cell r="M129">
            <v>2155414.2171539059</v>
          </cell>
          <cell r="Q129">
            <v>369000</v>
          </cell>
          <cell r="R129">
            <v>32159.999999999996</v>
          </cell>
          <cell r="T129">
            <v>7491510.1017782455</v>
          </cell>
          <cell r="V129">
            <v>36856.602922631355</v>
          </cell>
          <cell r="W129">
            <v>4308883.2028060108</v>
          </cell>
          <cell r="Y129">
            <v>3479.4256555828674</v>
          </cell>
          <cell r="Z129">
            <v>824405.34330708464</v>
          </cell>
          <cell r="AA129">
            <v>1104552.9558999182</v>
          </cell>
          <cell r="AC129">
            <v>3693.5596239848178</v>
          </cell>
          <cell r="AD129">
            <v>124815.01664418053</v>
          </cell>
          <cell r="AF129">
            <v>5440.8123802411092</v>
          </cell>
          <cell r="AG129">
            <v>239632.35086506646</v>
          </cell>
          <cell r="AI129">
            <v>2880.2526735755318</v>
          </cell>
          <cell r="AJ129">
            <v>173185.03345920227</v>
          </cell>
          <cell r="AL129">
            <v>3023.0086525101656</v>
          </cell>
          <cell r="AM129">
            <v>194313.18561306494</v>
          </cell>
          <cell r="AO129">
            <v>2480.1338030404318</v>
          </cell>
          <cell r="AP129">
            <v>174742.65970078099</v>
          </cell>
          <cell r="AR129">
            <v>2064.9350755756168</v>
          </cell>
          <cell r="AS129">
            <v>197864.7096176231</v>
          </cell>
          <cell r="AU129">
            <v>225.19253015040806</v>
          </cell>
          <cell r="AV129">
            <v>683162.92715441086</v>
          </cell>
          <cell r="AX129">
            <v>1236.5482682366157</v>
          </cell>
          <cell r="AY129">
            <v>655882.43202170613</v>
          </cell>
          <cell r="BA129">
            <v>474.51283138835981</v>
          </cell>
          <cell r="BB129">
            <v>754078.95694207016</v>
          </cell>
          <cell r="BD129">
            <v>710.76392328722545</v>
          </cell>
          <cell r="BE129">
            <v>936172.15004795324</v>
          </cell>
          <cell r="BR129">
            <v>0</v>
          </cell>
          <cell r="BS129">
            <v>-1226862.2492611259</v>
          </cell>
        </row>
        <row r="130">
          <cell r="B130">
            <v>883</v>
          </cell>
          <cell r="F130">
            <v>21292156.499003254</v>
          </cell>
          <cell r="J130">
            <v>1.0452520358512145</v>
          </cell>
          <cell r="M130">
            <v>1588783.0944938459</v>
          </cell>
          <cell r="Q130">
            <v>-204000</v>
          </cell>
          <cell r="R130">
            <v>0</v>
          </cell>
          <cell r="T130">
            <v>10295137.86759166</v>
          </cell>
          <cell r="V130">
            <v>40984.286334636541</v>
          </cell>
          <cell r="W130">
            <v>4791448.1792316884</v>
          </cell>
          <cell r="Y130">
            <v>3781.7218657096942</v>
          </cell>
          <cell r="Z130">
            <v>896030.55837387685</v>
          </cell>
          <cell r="AA130">
            <v>1073910.2410605792</v>
          </cell>
          <cell r="AC130">
            <v>6007.0634500369297</v>
          </cell>
          <cell r="AD130">
            <v>202994.34714150149</v>
          </cell>
          <cell r="AF130">
            <v>7874.9288381030501</v>
          </cell>
          <cell r="AG130">
            <v>346839.32811631233</v>
          </cell>
          <cell r="AI130">
            <v>4215.5014605879478</v>
          </cell>
          <cell r="AJ130">
            <v>253471.42915518748</v>
          </cell>
          <cell r="AL130">
            <v>722.26915677318925</v>
          </cell>
          <cell r="AM130">
            <v>46426.073112997372</v>
          </cell>
          <cell r="AO130">
            <v>2557.7317317279221</v>
          </cell>
          <cell r="AP130">
            <v>180209.97296811381</v>
          </cell>
          <cell r="AR130">
            <v>458.86564373868316</v>
          </cell>
          <cell r="AS130">
            <v>43969.090566466795</v>
          </cell>
          <cell r="AU130">
            <v>214.27666734949898</v>
          </cell>
          <cell r="AV130">
            <v>650047.65117920772</v>
          </cell>
          <cell r="AX130">
            <v>1442.447809474676</v>
          </cell>
          <cell r="AY130">
            <v>765094.41777941154</v>
          </cell>
          <cell r="BA130">
            <v>484.99694463496354</v>
          </cell>
          <cell r="BB130">
            <v>770739.9377596596</v>
          </cell>
          <cell r="BD130">
            <v>504.85673331613663</v>
          </cell>
          <cell r="BE130">
            <v>664964.55153332115</v>
          </cell>
          <cell r="BR130">
            <v>1023751.8828503825</v>
          </cell>
          <cell r="BS130">
            <v>0</v>
          </cell>
        </row>
        <row r="131">
          <cell r="B131">
            <v>884</v>
          </cell>
          <cell r="F131">
            <v>14751708.152964769</v>
          </cell>
          <cell r="J131">
            <v>1</v>
          </cell>
          <cell r="M131">
            <v>1392000</v>
          </cell>
          <cell r="Q131">
            <v>-228000</v>
          </cell>
          <cell r="R131">
            <v>279389.99999999994</v>
          </cell>
          <cell r="T131">
            <v>6379620.5780010112</v>
          </cell>
          <cell r="V131">
            <v>34540.357000000004</v>
          </cell>
          <cell r="W131">
            <v>4038092.2899661907</v>
          </cell>
          <cell r="Y131">
            <v>1885</v>
          </cell>
          <cell r="Z131">
            <v>446626.60621599929</v>
          </cell>
          <cell r="AA131">
            <v>343242.13033903856</v>
          </cell>
          <cell r="AC131">
            <v>2506</v>
          </cell>
          <cell r="AD131">
            <v>84684.278461129856</v>
          </cell>
          <cell r="AF131">
            <v>2172</v>
          </cell>
          <cell r="AG131">
            <v>95662.454373377826</v>
          </cell>
          <cell r="AI131">
            <v>2227</v>
          </cell>
          <cell r="AJ131">
            <v>133905.98437839773</v>
          </cell>
          <cell r="AL131">
            <v>451</v>
          </cell>
          <cell r="AM131">
            <v>28989.413126133149</v>
          </cell>
          <cell r="AO131">
            <v>0</v>
          </cell>
          <cell r="AP131">
            <v>0</v>
          </cell>
          <cell r="AR131">
            <v>0</v>
          </cell>
          <cell r="AS131">
            <v>0</v>
          </cell>
          <cell r="AU131">
            <v>165</v>
          </cell>
          <cell r="AV131">
            <v>500557.82447663712</v>
          </cell>
          <cell r="AX131">
            <v>840</v>
          </cell>
          <cell r="AY131">
            <v>445547.7048897614</v>
          </cell>
          <cell r="BA131">
            <v>371</v>
          </cell>
          <cell r="BB131">
            <v>589580.03771354049</v>
          </cell>
          <cell r="BD131">
            <v>429</v>
          </cell>
          <cell r="BE131">
            <v>565050.9813625908</v>
          </cell>
          <cell r="BR131">
            <v>0</v>
          </cell>
          <cell r="BS131">
            <v>-139042.61760340445</v>
          </cell>
        </row>
        <row r="132">
          <cell r="B132">
            <v>885</v>
          </cell>
          <cell r="F132">
            <v>50796436.556883126</v>
          </cell>
          <cell r="J132">
            <v>1</v>
          </cell>
          <cell r="M132">
            <v>5560000</v>
          </cell>
          <cell r="Q132">
            <v>-708000</v>
          </cell>
          <cell r="R132">
            <v>561794.99999999988</v>
          </cell>
          <cell r="T132">
            <v>20971015.023500308</v>
          </cell>
          <cell r="V132">
            <v>109434.99800000002</v>
          </cell>
          <cell r="W132">
            <v>12793979.566460922</v>
          </cell>
          <cell r="Y132">
            <v>8531</v>
          </cell>
          <cell r="Z132">
            <v>2021311.1817658832</v>
          </cell>
          <cell r="AA132">
            <v>1598212.7050386001</v>
          </cell>
          <cell r="AC132">
            <v>8646</v>
          </cell>
          <cell r="AD132">
            <v>292170.89847363479</v>
          </cell>
          <cell r="AF132">
            <v>4726</v>
          </cell>
          <cell r="AG132">
            <v>208149.52088792986</v>
          </cell>
          <cell r="AI132">
            <v>5818</v>
          </cell>
          <cell r="AJ132">
            <v>349827.12937293126</v>
          </cell>
          <cell r="AL132">
            <v>4269</v>
          </cell>
          <cell r="AM132">
            <v>274403.11449104751</v>
          </cell>
          <cell r="AO132">
            <v>4442</v>
          </cell>
          <cell r="AP132">
            <v>312969.76535673434</v>
          </cell>
          <cell r="AR132">
            <v>1677</v>
          </cell>
          <cell r="AS132">
            <v>160692.27645632238</v>
          </cell>
          <cell r="AU132">
            <v>537</v>
          </cell>
          <cell r="AV132">
            <v>1629088.1923876011</v>
          </cell>
          <cell r="AX132">
            <v>3920</v>
          </cell>
          <cell r="AY132">
            <v>2079222.6228188865</v>
          </cell>
          <cell r="BA132">
            <v>1428</v>
          </cell>
          <cell r="BB132">
            <v>2269326.9376143822</v>
          </cell>
          <cell r="BD132">
            <v>1534</v>
          </cell>
          <cell r="BE132">
            <v>2020485.3272965366</v>
          </cell>
          <cell r="BR132">
            <v>0</v>
          </cell>
          <cell r="BS132">
            <v>-2080666.2440258488</v>
          </cell>
        </row>
        <row r="133">
          <cell r="B133">
            <v>886</v>
          </cell>
          <cell r="F133">
            <v>181039035.95934862</v>
          </cell>
          <cell r="J133">
            <v>1.0077014294588473</v>
          </cell>
          <cell r="M133">
            <v>16981784.489240494</v>
          </cell>
          <cell r="Q133">
            <v>-1230000</v>
          </cell>
          <cell r="R133">
            <v>2987617.7699999996</v>
          </cell>
          <cell r="T133">
            <v>87885617.500734538</v>
          </cell>
          <cell r="V133">
            <v>321369.36006779823</v>
          </cell>
          <cell r="W133">
            <v>37571097.922385238</v>
          </cell>
          <cell r="Y133">
            <v>25748.786925532466</v>
          </cell>
          <cell r="Z133">
            <v>6100845.2619254431</v>
          </cell>
          <cell r="AA133">
            <v>5818804.2937398972</v>
          </cell>
          <cell r="AC133">
            <v>35500.313658405736</v>
          </cell>
          <cell r="AD133">
            <v>1199648.223186705</v>
          </cell>
          <cell r="AF133">
            <v>21856.036303532939</v>
          </cell>
          <cell r="AG133">
            <v>962616.05693812575</v>
          </cell>
          <cell r="AI133">
            <v>15629.449170906722</v>
          </cell>
          <cell r="AJ133">
            <v>939774.03525927104</v>
          </cell>
          <cell r="AL133">
            <v>15899.513154001694</v>
          </cell>
          <cell r="AM133">
            <v>1021990.1448464378</v>
          </cell>
          <cell r="AO133">
            <v>17189.370983709017</v>
          </cell>
          <cell r="AP133">
            <v>1211110.626609921</v>
          </cell>
          <cell r="AR133">
            <v>5047.5764601593664</v>
          </cell>
          <cell r="AS133">
            <v>483665.20689943596</v>
          </cell>
          <cell r="AU133">
            <v>1739.2926672459705</v>
          </cell>
          <cell r="AV133">
            <v>5276463.9614837002</v>
          </cell>
          <cell r="AX133">
            <v>12858.270239894891</v>
          </cell>
          <cell r="AY133">
            <v>6820205.7074255832</v>
          </cell>
          <cell r="BA133">
            <v>3985.4591535097411</v>
          </cell>
          <cell r="BB133">
            <v>6333550.2911915043</v>
          </cell>
          <cell r="BD133">
            <v>4929.6753929126808</v>
          </cell>
          <cell r="BE133">
            <v>6493048.7612222042</v>
          </cell>
          <cell r="BR133">
            <v>15517811.366818011</v>
          </cell>
          <cell r="BS133">
            <v>0</v>
          </cell>
        </row>
        <row r="134">
          <cell r="B134">
            <v>887</v>
          </cell>
          <cell r="F134">
            <v>34755829.058115102</v>
          </cell>
          <cell r="J134">
            <v>1.0010615758871764</v>
          </cell>
          <cell r="M134">
            <v>3351554.1560702664</v>
          </cell>
          <cell r="Q134">
            <v>6000</v>
          </cell>
          <cell r="R134">
            <v>0</v>
          </cell>
          <cell r="T134">
            <v>16183808.264204444</v>
          </cell>
          <cell r="V134">
            <v>60673.203907509975</v>
          </cell>
          <cell r="W134">
            <v>7093267.6493894532</v>
          </cell>
          <cell r="Y134">
            <v>5360.6847388758297</v>
          </cell>
          <cell r="Z134">
            <v>1270145.5872244097</v>
          </cell>
          <cell r="AA134">
            <v>1653183.3845486869</v>
          </cell>
          <cell r="AC134">
            <v>7636.0977008673817</v>
          </cell>
          <cell r="AD134">
            <v>258043.66482707375</v>
          </cell>
          <cell r="AF134">
            <v>9005.5499366810382</v>
          </cell>
          <cell r="AG134">
            <v>396635.8240906655</v>
          </cell>
          <cell r="AI134">
            <v>6893.3100115590969</v>
          </cell>
          <cell r="AJ134">
            <v>414483.81801674224</v>
          </cell>
          <cell r="AL134">
            <v>2802.9724124840936</v>
          </cell>
          <cell r="AM134">
            <v>180169.67903914742</v>
          </cell>
          <cell r="AO134">
            <v>3716.941631269086</v>
          </cell>
          <cell r="AP134">
            <v>261884.36519202235</v>
          </cell>
          <cell r="AR134">
            <v>1481.5711323130211</v>
          </cell>
          <cell r="AS134">
            <v>141966.03338303551</v>
          </cell>
          <cell r="AU134">
            <v>342.36305895341434</v>
          </cell>
          <cell r="AV134">
            <v>1038621.2604296227</v>
          </cell>
          <cell r="AX134">
            <v>2833.0042597607089</v>
          </cell>
          <cell r="AY134">
            <v>1502664.9355705967</v>
          </cell>
          <cell r="BA134">
            <v>919.97558824031512</v>
          </cell>
          <cell r="BB134">
            <v>1461992.566065395</v>
          </cell>
          <cell r="BD134">
            <v>906.96178775378178</v>
          </cell>
          <cell r="BE134">
            <v>1194591.2546122242</v>
          </cell>
          <cell r="BR134">
            <v>1388754.4887078851</v>
          </cell>
          <cell r="BS134">
            <v>0</v>
          </cell>
        </row>
        <row r="135">
          <cell r="B135">
            <v>888</v>
          </cell>
          <cell r="F135">
            <v>113213272.11127965</v>
          </cell>
          <cell r="J135">
            <v>1</v>
          </cell>
          <cell r="M135">
            <v>11332000</v>
          </cell>
          <cell r="Q135">
            <v>-1056000</v>
          </cell>
          <cell r="R135">
            <v>613049.99999999988</v>
          </cell>
          <cell r="T135">
            <v>48057905.739182912</v>
          </cell>
          <cell r="V135">
            <v>233878.69500000001</v>
          </cell>
          <cell r="W135">
            <v>27342617.07448056</v>
          </cell>
          <cell r="Y135">
            <v>22512</v>
          </cell>
          <cell r="Z135">
            <v>5333930.0578963263</v>
          </cell>
          <cell r="AA135">
            <v>4796629.2022892646</v>
          </cell>
          <cell r="AC135">
            <v>21791</v>
          </cell>
          <cell r="AD135">
            <v>736374.7453896571</v>
          </cell>
          <cell r="AF135">
            <v>22028</v>
          </cell>
          <cell r="AG135">
            <v>970189.937816191</v>
          </cell>
          <cell r="AI135">
            <v>17307</v>
          </cell>
          <cell r="AJ135">
            <v>1040642.5108383158</v>
          </cell>
          <cell r="AL135">
            <v>10946</v>
          </cell>
          <cell r="AM135">
            <v>703587.84052916523</v>
          </cell>
          <cell r="AO135">
            <v>14128</v>
          </cell>
          <cell r="AP135">
            <v>995415.76878882095</v>
          </cell>
          <cell r="AR135">
            <v>3657</v>
          </cell>
          <cell r="AS135">
            <v>350418.3989271145</v>
          </cell>
          <cell r="AU135">
            <v>1279</v>
          </cell>
          <cell r="AV135">
            <v>3880081.5606401148</v>
          </cell>
          <cell r="AX135">
            <v>7860</v>
          </cell>
          <cell r="AY135">
            <v>4169053.5243256246</v>
          </cell>
          <cell r="BA135">
            <v>2550</v>
          </cell>
          <cell r="BB135">
            <v>4052369.5314542535</v>
          </cell>
          <cell r="BD135">
            <v>3562</v>
          </cell>
          <cell r="BE135">
            <v>4691635.4210106023</v>
          </cell>
          <cell r="BR135">
            <v>0</v>
          </cell>
          <cell r="BS135">
            <v>-3088106.1178335845</v>
          </cell>
        </row>
        <row r="136">
          <cell r="B136">
            <v>889</v>
          </cell>
          <cell r="F136">
            <v>18825875.586528853</v>
          </cell>
          <cell r="J136">
            <v>1</v>
          </cell>
          <cell r="M136">
            <v>1072000</v>
          </cell>
          <cell r="Q136">
            <v>-30000</v>
          </cell>
          <cell r="R136">
            <v>362202</v>
          </cell>
          <cell r="T136">
            <v>8436359.9312952347</v>
          </cell>
          <cell r="V136">
            <v>35456.218999999997</v>
          </cell>
          <cell r="W136">
            <v>4145165.1636157883</v>
          </cell>
          <cell r="Y136">
            <v>4060</v>
          </cell>
          <cell r="Z136">
            <v>961964.99800369074</v>
          </cell>
          <cell r="AA136">
            <v>1110267.2138084534</v>
          </cell>
          <cell r="AC136">
            <v>6398</v>
          </cell>
          <cell r="AD136">
            <v>216205.11316612482</v>
          </cell>
          <cell r="AF136">
            <v>4132</v>
          </cell>
          <cell r="AG136">
            <v>181987.68944327682</v>
          </cell>
          <cell r="AI136">
            <v>2645</v>
          </cell>
          <cell r="AJ136">
            <v>159039.66263172968</v>
          </cell>
          <cell r="AL136">
            <v>1873</v>
          </cell>
          <cell r="AM136">
            <v>120392.83987859733</v>
          </cell>
          <cell r="AO136">
            <v>3105</v>
          </cell>
          <cell r="AP136">
            <v>218768.82517619545</v>
          </cell>
          <cell r="AR136">
            <v>2232</v>
          </cell>
          <cell r="AS136">
            <v>213873.08351252927</v>
          </cell>
          <cell r="AU136">
            <v>250</v>
          </cell>
          <cell r="AV136">
            <v>758420.946176723</v>
          </cell>
          <cell r="AX136">
            <v>1150</v>
          </cell>
          <cell r="AY136">
            <v>609976.02455145901</v>
          </cell>
          <cell r="BA136">
            <v>482</v>
          </cell>
          <cell r="BB136">
            <v>765977.29967096099</v>
          </cell>
          <cell r="BD136">
            <v>481</v>
          </cell>
          <cell r="BE136">
            <v>633542.00940654112</v>
          </cell>
          <cell r="BR136">
            <v>0</v>
          </cell>
          <cell r="BS136">
            <v>-88469.496939245611</v>
          </cell>
        </row>
        <row r="137">
          <cell r="B137">
            <v>890</v>
          </cell>
          <cell r="F137">
            <v>18845463.078591537</v>
          </cell>
          <cell r="J137">
            <v>1</v>
          </cell>
          <cell r="M137">
            <v>1728000</v>
          </cell>
          <cell r="Q137">
            <v>354000</v>
          </cell>
          <cell r="R137">
            <v>1137659.9999999998</v>
          </cell>
          <cell r="T137">
            <v>7681927.1899473108</v>
          </cell>
          <cell r="V137">
            <v>26964.111999999997</v>
          </cell>
          <cell r="W137">
            <v>3152358.0596745084</v>
          </cell>
          <cell r="Y137">
            <v>4867</v>
          </cell>
          <cell r="Z137">
            <v>1153173.3116462962</v>
          </cell>
          <cell r="AA137">
            <v>1223236.2876442398</v>
          </cell>
          <cell r="AC137">
            <v>3751</v>
          </cell>
          <cell r="AD137">
            <v>126756.07681871433</v>
          </cell>
          <cell r="AF137">
            <v>1904</v>
          </cell>
          <cell r="AG137">
            <v>83858.799782187562</v>
          </cell>
          <cell r="AI137">
            <v>1880</v>
          </cell>
          <cell r="AJ137">
            <v>113041.42372311975</v>
          </cell>
          <cell r="AL137">
            <v>2727</v>
          </cell>
          <cell r="AM137">
            <v>175286.31839238384</v>
          </cell>
          <cell r="AO137">
            <v>2989</v>
          </cell>
          <cell r="AP137">
            <v>210595.81914706866</v>
          </cell>
          <cell r="AR137">
            <v>5361</v>
          </cell>
          <cell r="AS137">
            <v>513697.84978076577</v>
          </cell>
          <cell r="AU137">
            <v>187</v>
          </cell>
          <cell r="AV137">
            <v>567298.86774018873</v>
          </cell>
          <cell r="AX137">
            <v>1080</v>
          </cell>
          <cell r="AY137">
            <v>572847.04914397886</v>
          </cell>
          <cell r="BA137">
            <v>334</v>
          </cell>
          <cell r="BB137">
            <v>530780.9503944004</v>
          </cell>
          <cell r="BD137">
            <v>565</v>
          </cell>
          <cell r="BE137">
            <v>744181.36240061489</v>
          </cell>
          <cell r="BR137">
            <v>0</v>
          </cell>
          <cell r="BS137">
            <v>0</v>
          </cell>
        </row>
        <row r="138">
          <cell r="B138">
            <v>891</v>
          </cell>
          <cell r="F138">
            <v>66730461.434322447</v>
          </cell>
          <cell r="J138">
            <v>1.0041582963367661</v>
          </cell>
          <cell r="M138">
            <v>4028683.0849031061</v>
          </cell>
          <cell r="Q138">
            <v>-1410000</v>
          </cell>
          <cell r="R138">
            <v>0</v>
          </cell>
          <cell r="T138">
            <v>28922776.957548451</v>
          </cell>
          <cell r="V138">
            <v>156844.98709230343</v>
          </cell>
          <cell r="W138">
            <v>18336652.776845276</v>
          </cell>
          <cell r="Y138">
            <v>13064.099435341328</v>
          </cell>
          <cell r="Z138">
            <v>3095371.0313394428</v>
          </cell>
          <cell r="AA138">
            <v>2887242.619576457</v>
          </cell>
          <cell r="AC138">
            <v>15795.410001377331</v>
          </cell>
          <cell r="AD138">
            <v>533768.11610708432</v>
          </cell>
          <cell r="AF138">
            <v>12058.936980708224</v>
          </cell>
          <cell r="AG138">
            <v>531117.63752690563</v>
          </cell>
          <cell r="AI138">
            <v>9054.4953580686197</v>
          </cell>
          <cell r="AJ138">
            <v>544432.4714736467</v>
          </cell>
          <cell r="AL138">
            <v>9252.3145424469622</v>
          </cell>
          <cell r="AM138">
            <v>594720.99477588607</v>
          </cell>
          <cell r="AO138">
            <v>6849.3637393130821</v>
          </cell>
          <cell r="AP138">
            <v>482585.26842317422</v>
          </cell>
          <cell r="AR138">
            <v>2093.6700478621574</v>
          </cell>
          <cell r="AS138">
            <v>200618.13126975999</v>
          </cell>
          <cell r="AU138">
            <v>819.39316981080117</v>
          </cell>
          <cell r="AV138">
            <v>2485779.7725546081</v>
          </cell>
          <cell r="AX138">
            <v>6165.531939507744</v>
          </cell>
          <cell r="AY138">
            <v>3270284.0536573748</v>
          </cell>
          <cell r="BA138">
            <v>1713.0940535505231</v>
          </cell>
          <cell r="BB138">
            <v>2722388.2929896479</v>
          </cell>
          <cell r="BD138">
            <v>1815.5181997768732</v>
          </cell>
          <cell r="BE138">
            <v>2391282.8449080801</v>
          </cell>
          <cell r="BR138">
            <v>0</v>
          </cell>
          <cell r="BS138">
            <v>-4333640.8963336349</v>
          </cell>
        </row>
        <row r="139">
          <cell r="B139">
            <v>892</v>
          </cell>
          <cell r="F139">
            <v>35980001.872011237</v>
          </cell>
          <cell r="J139">
            <v>1.0041582963367661</v>
          </cell>
          <cell r="M139">
            <v>2120782.3218632503</v>
          </cell>
          <cell r="Q139">
            <v>-288000</v>
          </cell>
          <cell r="R139">
            <v>1375345.5149999999</v>
          </cell>
          <cell r="T139">
            <v>13020217.815470174</v>
          </cell>
          <cell r="V139">
            <v>63624.55013022435</v>
          </cell>
          <cell r="W139">
            <v>7438307.7549958825</v>
          </cell>
          <cell r="Y139">
            <v>10694.28585598656</v>
          </cell>
          <cell r="Z139">
            <v>2533874.0571687217</v>
          </cell>
          <cell r="AA139">
            <v>3382929.9977831822</v>
          </cell>
          <cell r="AC139">
            <v>4773.7685407849858</v>
          </cell>
          <cell r="AD139">
            <v>161318.09434031017</v>
          </cell>
          <cell r="AF139">
            <v>4911.338227383123</v>
          </cell>
          <cell r="AG139">
            <v>216312.46274828012</v>
          </cell>
          <cell r="AI139">
            <v>7416.7131767433548</v>
          </cell>
          <cell r="AJ139">
            <v>445955.22172611236</v>
          </cell>
          <cell r="AL139">
            <v>10314.714019971261</v>
          </cell>
          <cell r="AM139">
            <v>663009.99113717186</v>
          </cell>
          <cell r="AO139">
            <v>14554.270347105088</v>
          </cell>
          <cell r="AP139">
            <v>1025449.4766933714</v>
          </cell>
          <cell r="AR139">
            <v>9088.6367401440693</v>
          </cell>
          <cell r="AS139">
            <v>870884.75113793649</v>
          </cell>
          <cell r="AU139">
            <v>529.1914221694758</v>
          </cell>
          <cell r="AV139">
            <v>1605399.4364415179</v>
          </cell>
          <cell r="AX139">
            <v>2640.936319365695</v>
          </cell>
          <cell r="AY139">
            <v>1400789.4236349992</v>
          </cell>
          <cell r="BA139">
            <v>949.93374833458074</v>
          </cell>
          <cell r="BB139">
            <v>1509601.0112357601</v>
          </cell>
          <cell r="BD139">
            <v>1427.9130973908814</v>
          </cell>
          <cell r="BE139">
            <v>1880754.5384177486</v>
          </cell>
          <cell r="BR139">
            <v>0</v>
          </cell>
          <cell r="BS139">
            <v>-5688664.3613655567</v>
          </cell>
        </row>
        <row r="140">
          <cell r="B140">
            <v>893</v>
          </cell>
          <cell r="F140">
            <v>24281321.596532308</v>
          </cell>
          <cell r="J140">
            <v>1</v>
          </cell>
          <cell r="M140">
            <v>1860000</v>
          </cell>
          <cell r="Q140">
            <v>-816000</v>
          </cell>
          <cell r="R140">
            <v>105524.99999999999</v>
          </cell>
          <cell r="T140">
            <v>11939200.237546183</v>
          </cell>
          <cell r="V140">
            <v>56635.688999999998</v>
          </cell>
          <cell r="W140">
            <v>6621244.218402924</v>
          </cell>
          <cell r="Y140">
            <v>3228</v>
          </cell>
          <cell r="Z140">
            <v>764833.25457042211</v>
          </cell>
          <cell r="AA140">
            <v>468013.61000548117</v>
          </cell>
          <cell r="AC140">
            <v>3724</v>
          </cell>
          <cell r="AD140">
            <v>125843.67637240526</v>
          </cell>
          <cell r="AF140">
            <v>2555</v>
          </cell>
          <cell r="AG140">
            <v>112531.11000183258</v>
          </cell>
          <cell r="AI140">
            <v>1849</v>
          </cell>
          <cell r="AJ140">
            <v>111177.44280002576</v>
          </cell>
          <cell r="AL140">
            <v>882</v>
          </cell>
          <cell r="AM140">
            <v>56693.264694566387</v>
          </cell>
          <cell r="AO140">
            <v>247</v>
          </cell>
          <cell r="AP140">
            <v>17402.8662861579</v>
          </cell>
          <cell r="AR140">
            <v>463</v>
          </cell>
          <cell r="AS140">
            <v>44365.249850493303</v>
          </cell>
          <cell r="AU140">
            <v>266</v>
          </cell>
          <cell r="AV140">
            <v>806959.88673203334</v>
          </cell>
          <cell r="AX140">
            <v>1610</v>
          </cell>
          <cell r="AY140">
            <v>853966.43437204254</v>
          </cell>
          <cell r="BA140">
            <v>560</v>
          </cell>
          <cell r="BB140">
            <v>889932.13239779696</v>
          </cell>
          <cell r="BD140">
            <v>598</v>
          </cell>
          <cell r="BE140">
            <v>787646.82250542962</v>
          </cell>
          <cell r="BR140">
            <v>803711.91072976962</v>
          </cell>
          <cell r="BS140">
            <v>0</v>
          </cell>
        </row>
        <row r="141">
          <cell r="B141">
            <v>894</v>
          </cell>
          <cell r="F141">
            <v>21111047.956614062</v>
          </cell>
          <cell r="J141">
            <v>1</v>
          </cell>
          <cell r="M141">
            <v>2152000</v>
          </cell>
          <cell r="Q141">
            <v>48000</v>
          </cell>
          <cell r="R141">
            <v>20166.329999999998</v>
          </cell>
          <cell r="T141">
            <v>9153063.4364382438</v>
          </cell>
          <cell r="V141">
            <v>37049.493000000002</v>
          </cell>
          <cell r="W141">
            <v>4331433.8653319757</v>
          </cell>
          <cell r="Y141">
            <v>4277</v>
          </cell>
          <cell r="Z141">
            <v>1013380.3685866466</v>
          </cell>
          <cell r="AA141">
            <v>1230889.8002809274</v>
          </cell>
          <cell r="AC141">
            <v>4772</v>
          </cell>
          <cell r="AD141">
            <v>161258.33073284582</v>
          </cell>
          <cell r="AF141">
            <v>2932</v>
          </cell>
          <cell r="AG141">
            <v>129135.50470660396</v>
          </cell>
          <cell r="AI141">
            <v>5118</v>
          </cell>
          <cell r="AJ141">
            <v>307737.23756113136</v>
          </cell>
          <cell r="AL141">
            <v>2677</v>
          </cell>
          <cell r="AM141">
            <v>172072.41449813402</v>
          </cell>
          <cell r="AO141">
            <v>1342</v>
          </cell>
          <cell r="AP141">
            <v>94553.224923173679</v>
          </cell>
          <cell r="AR141">
            <v>3821</v>
          </cell>
          <cell r="AS141">
            <v>366133.08785903867</v>
          </cell>
          <cell r="AU141">
            <v>248</v>
          </cell>
          <cell r="AV141">
            <v>752353.57860730914</v>
          </cell>
          <cell r="AX141">
            <v>1540</v>
          </cell>
          <cell r="AY141">
            <v>816837.45896456251</v>
          </cell>
          <cell r="BA141">
            <v>457</v>
          </cell>
          <cell r="BB141">
            <v>726248.18661748793</v>
          </cell>
          <cell r="BD141">
            <v>658</v>
          </cell>
          <cell r="BE141">
            <v>866674.93178691075</v>
          </cell>
          <cell r="BR141">
            <v>0</v>
          </cell>
          <cell r="BS141">
            <v>0</v>
          </cell>
        </row>
        <row r="142">
          <cell r="B142">
            <v>895</v>
          </cell>
          <cell r="F142">
            <v>31206017.883260019</v>
          </cell>
          <cell r="J142">
            <v>1.0054548012657853</v>
          </cell>
          <cell r="M142">
            <v>1512204.0211037411</v>
          </cell>
          <cell r="Q142">
            <v>-1080000</v>
          </cell>
          <cell r="R142">
            <v>0</v>
          </cell>
          <cell r="T142">
            <v>16523411.141489904</v>
          </cell>
          <cell r="V142">
            <v>71943.97803332319</v>
          </cell>
          <cell r="W142">
            <v>8410927.0499392729</v>
          </cell>
          <cell r="Y142">
            <v>4320.43928103908</v>
          </cell>
          <cell r="Z142">
            <v>1023672.7498423216</v>
          </cell>
          <cell r="AA142">
            <v>820928.4814345378</v>
          </cell>
          <cell r="AC142">
            <v>4280.2210889884482</v>
          </cell>
          <cell r="AD142">
            <v>144639.83821831533</v>
          </cell>
          <cell r="AF142">
            <v>5023.2521871238632</v>
          </cell>
          <cell r="AG142">
            <v>221241.54381063857</v>
          </cell>
          <cell r="AI142">
            <v>3057.5880506492531</v>
          </cell>
          <cell r="AJ142">
            <v>183847.92893839892</v>
          </cell>
          <cell r="AL142">
            <v>2635.2970341176233</v>
          </cell>
          <cell r="AM142">
            <v>169391.82800911128</v>
          </cell>
          <cell r="AO142">
            <v>874.74567710123324</v>
          </cell>
          <cell r="AP142">
            <v>61631.911145698032</v>
          </cell>
          <cell r="AR142">
            <v>419.2746521278325</v>
          </cell>
          <cell r="AS142">
            <v>40175.431312375702</v>
          </cell>
          <cell r="AU142">
            <v>271.47279634176203</v>
          </cell>
          <cell r="AV142">
            <v>823562.62025103997</v>
          </cell>
          <cell r="AX142">
            <v>2031.0186985568864</v>
          </cell>
          <cell r="AY142">
            <v>1077280.6187264414</v>
          </cell>
          <cell r="BA142">
            <v>648.51834681643152</v>
          </cell>
          <cell r="BB142">
            <v>1030602.3487168588</v>
          </cell>
          <cell r="BD142">
            <v>807.38020541642561</v>
          </cell>
          <cell r="BE142">
            <v>1063428.8517559008</v>
          </cell>
          <cell r="BR142">
            <v>2474195.937761005</v>
          </cell>
          <cell r="BS142">
            <v>0</v>
          </cell>
        </row>
        <row r="143">
          <cell r="B143">
            <v>896</v>
          </cell>
          <cell r="F143">
            <v>35105070.71590285</v>
          </cell>
          <cell r="J143">
            <v>1.0054548012657853</v>
          </cell>
          <cell r="M143">
            <v>3812684.6063998579</v>
          </cell>
          <cell r="Q143">
            <v>462000</v>
          </cell>
          <cell r="R143">
            <v>528515.43000000005</v>
          </cell>
          <cell r="T143">
            <v>16313168.382220566</v>
          </cell>
          <cell r="V143">
            <v>63163.004426510648</v>
          </cell>
          <cell r="W143">
            <v>7384348.7253415762</v>
          </cell>
          <cell r="Y143">
            <v>5226.3540569795523</v>
          </cell>
          <cell r="Z143">
            <v>1238317.6527066294</v>
          </cell>
          <cell r="AA143">
            <v>1061612.1622235563</v>
          </cell>
          <cell r="AC143">
            <v>4168.6156060479461</v>
          </cell>
          <cell r="AD143">
            <v>140868.39775737264</v>
          </cell>
          <cell r="AF143">
            <v>2435.2115286657322</v>
          </cell>
          <cell r="AG143">
            <v>107255.20798826395</v>
          </cell>
          <cell r="AI143">
            <v>3009.3262201884954</v>
          </cell>
          <cell r="AJ143">
            <v>180946.02147735219</v>
          </cell>
          <cell r="AL143">
            <v>3765.428230740366</v>
          </cell>
          <cell r="AM143">
            <v>242034.48908589158</v>
          </cell>
          <cell r="AO143">
            <v>3656.8391122036614</v>
          </cell>
          <cell r="AP143">
            <v>257649.72509988939</v>
          </cell>
          <cell r="AR143">
            <v>1386.5221709455179</v>
          </cell>
          <cell r="AS143">
            <v>132858.3208147868</v>
          </cell>
          <cell r="AU143">
            <v>303.6473499822672</v>
          </cell>
          <cell r="AV143">
            <v>921170.0419104225</v>
          </cell>
          <cell r="AX143">
            <v>2392.9824270125691</v>
          </cell>
          <cell r="AY143">
            <v>1269271.2240440249</v>
          </cell>
          <cell r="BA143">
            <v>658.57289482908936</v>
          </cell>
          <cell r="BB143">
            <v>1046580.679704717</v>
          </cell>
          <cell r="BD143">
            <v>810.39656982022302</v>
          </cell>
          <cell r="BE143">
            <v>1067401.8113515021</v>
          </cell>
          <cell r="BR143">
            <v>2537059.2506107911</v>
          </cell>
          <cell r="BS143">
            <v>0</v>
          </cell>
        </row>
        <row r="144">
          <cell r="B144">
            <v>908</v>
          </cell>
          <cell r="F144">
            <v>43247164.106492728</v>
          </cell>
          <cell r="J144">
            <v>1</v>
          </cell>
          <cell r="M144">
            <v>1868000</v>
          </cell>
          <cell r="Q144">
            <v>-114000</v>
          </cell>
          <cell r="R144">
            <v>898469.99999999988</v>
          </cell>
          <cell r="T144">
            <v>18186713.664511234</v>
          </cell>
          <cell r="V144">
            <v>102367.68000000001</v>
          </cell>
          <cell r="W144">
            <v>11967743.684575297</v>
          </cell>
          <cell r="Y144">
            <v>8014</v>
          </cell>
          <cell r="Z144">
            <v>1898814.6536949698</v>
          </cell>
          <cell r="AA144">
            <v>1440000.9780762265</v>
          </cell>
          <cell r="AC144">
            <v>11572</v>
          </cell>
          <cell r="AD144">
            <v>391048.07276623888</v>
          </cell>
          <cell r="AF144">
            <v>6317</v>
          </cell>
          <cell r="AG144">
            <v>278222.70915130194</v>
          </cell>
          <cell r="AI144">
            <v>4344</v>
          </cell>
          <cell r="AJ144">
            <v>261197.84290065544</v>
          </cell>
          <cell r="AL144">
            <v>3993</v>
          </cell>
          <cell r="AM144">
            <v>256662.36499478863</v>
          </cell>
          <cell r="AO144">
            <v>3589</v>
          </cell>
          <cell r="AP144">
            <v>252869.98826324166</v>
          </cell>
          <cell r="AR144">
            <v>0</v>
          </cell>
          <cell r="AS144">
            <v>0</v>
          </cell>
          <cell r="AU144">
            <v>574</v>
          </cell>
          <cell r="AV144">
            <v>1741334.4924217558</v>
          </cell>
          <cell r="AX144">
            <v>3460</v>
          </cell>
          <cell r="AY144">
            <v>1835232.2129983027</v>
          </cell>
          <cell r="BA144">
            <v>1187</v>
          </cell>
          <cell r="BB144">
            <v>1886338.2877789016</v>
          </cell>
          <cell r="BD144">
            <v>1244</v>
          </cell>
          <cell r="BE144">
            <v>1638516.132436044</v>
          </cell>
          <cell r="BR144">
            <v>0</v>
          </cell>
          <cell r="BS144">
            <v>-2879345.3380738422</v>
          </cell>
        </row>
        <row r="145">
          <cell r="B145">
            <v>909</v>
          </cell>
          <cell r="F145">
            <v>41151168.071467265</v>
          </cell>
          <cell r="J145">
            <v>1</v>
          </cell>
          <cell r="M145">
            <v>2284000</v>
          </cell>
          <cell r="Q145">
            <v>-624000</v>
          </cell>
          <cell r="R145">
            <v>806650.18499999994</v>
          </cell>
          <cell r="T145">
            <v>19695094.787625886</v>
          </cell>
          <cell r="V145">
            <v>86998.494000000006</v>
          </cell>
          <cell r="W145">
            <v>10170941.425419254</v>
          </cell>
          <cell r="Y145">
            <v>6401</v>
          </cell>
          <cell r="Z145">
            <v>1516634.9636013855</v>
          </cell>
          <cell r="AA145">
            <v>1275105.1735911779</v>
          </cell>
          <cell r="AC145">
            <v>7851</v>
          </cell>
          <cell r="AD145">
            <v>265305.77422120131</v>
          </cell>
          <cell r="AF145">
            <v>5059</v>
          </cell>
          <cell r="AG145">
            <v>222816.00215235658</v>
          </cell>
          <cell r="AI145">
            <v>2494</v>
          </cell>
          <cell r="AJ145">
            <v>149960.27168375568</v>
          </cell>
          <cell r="AL145">
            <v>1596</v>
          </cell>
          <cell r="AM145">
            <v>102587.81230445347</v>
          </cell>
          <cell r="AO145">
            <v>4732</v>
          </cell>
          <cell r="AP145">
            <v>333402.28042955126</v>
          </cell>
          <cell r="AR145">
            <v>2098</v>
          </cell>
          <cell r="AS145">
            <v>201033.0327998595</v>
          </cell>
          <cell r="AU145">
            <v>445</v>
          </cell>
          <cell r="AV145">
            <v>1349989.2841945668</v>
          </cell>
          <cell r="AX145">
            <v>2520</v>
          </cell>
          <cell r="AY145">
            <v>1336643.1146692841</v>
          </cell>
          <cell r="BA145">
            <v>963</v>
          </cell>
          <cell r="BB145">
            <v>1530365.4348197829</v>
          </cell>
          <cell r="BD145">
            <v>1374</v>
          </cell>
          <cell r="BE145">
            <v>1809743.7025459202</v>
          </cell>
          <cell r="BR145">
            <v>739864.63935158402</v>
          </cell>
          <cell r="BS145">
            <v>0</v>
          </cell>
        </row>
        <row r="146">
          <cell r="B146">
            <v>916</v>
          </cell>
          <cell r="F146">
            <v>56334950.381220877</v>
          </cell>
          <cell r="J146">
            <v>1.0094696081392127</v>
          </cell>
          <cell r="M146">
            <v>4716242.0092264013</v>
          </cell>
          <cell r="Q146">
            <v>-738000</v>
          </cell>
          <cell r="R146">
            <v>1684564.3055461221</v>
          </cell>
          <cell r="T146">
            <v>25641106.843818195</v>
          </cell>
          <cell r="V146">
            <v>121452.65311743262</v>
          </cell>
          <cell r="W146">
            <v>14198956.372959401</v>
          </cell>
          <cell r="Y146">
            <v>8739.987867269303</v>
          </cell>
          <cell r="Z146">
            <v>2070828.1801206889</v>
          </cell>
          <cell r="AA146">
            <v>1592789.5545111578</v>
          </cell>
          <cell r="AC146">
            <v>9651.5389234190134</v>
          </cell>
          <cell r="AD146">
            <v>326150.68227025104</v>
          </cell>
          <cell r="AF146">
            <v>8506.800387789146</v>
          </cell>
          <cell r="AG146">
            <v>374669.15467786009</v>
          </cell>
          <cell r="AI146">
            <v>4101.4750178696213</v>
          </cell>
          <cell r="AJ146">
            <v>246615.19967276067</v>
          </cell>
          <cell r="AL146">
            <v>4039.8973717731292</v>
          </cell>
          <cell r="AM146">
            <v>259676.83791022343</v>
          </cell>
          <cell r="AO146">
            <v>4499.2060434764708</v>
          </cell>
          <cell r="AP146">
            <v>317000.32861738681</v>
          </cell>
          <cell r="AR146">
            <v>716.72342177884104</v>
          </cell>
          <cell r="AS146">
            <v>68677.351362675545</v>
          </cell>
          <cell r="AU146">
            <v>552.17987565214935</v>
          </cell>
          <cell r="AV146">
            <v>1675139.1350073933</v>
          </cell>
          <cell r="AX146">
            <v>3058.6929126618147</v>
          </cell>
          <cell r="AY146">
            <v>1622373.341903632</v>
          </cell>
          <cell r="BA146">
            <v>1135.6533091566143</v>
          </cell>
          <cell r="BB146">
            <v>1804739.9483613577</v>
          </cell>
          <cell r="BD146">
            <v>1568.7157710483366</v>
          </cell>
          <cell r="BE146">
            <v>2066210.6897665171</v>
          </cell>
          <cell r="BR146">
            <v>1119383.8841043115</v>
          </cell>
          <cell r="BS146">
            <v>0</v>
          </cell>
        </row>
        <row r="147">
          <cell r="B147">
            <v>919</v>
          </cell>
          <cell r="F147">
            <v>109765519.22883368</v>
          </cell>
          <cell r="J147">
            <v>1.0525261171555516</v>
          </cell>
          <cell r="M147">
            <v>9523256.3080234304</v>
          </cell>
          <cell r="Q147">
            <v>702000</v>
          </cell>
          <cell r="R147">
            <v>1335200.7899999998</v>
          </cell>
          <cell r="T147">
            <v>45973905.397065043</v>
          </cell>
          <cell r="V147">
            <v>271512.02220562758</v>
          </cell>
          <cell r="W147">
            <v>31742306.644418117</v>
          </cell>
          <cell r="Y147">
            <v>14861.668774236388</v>
          </cell>
          <cell r="Z147">
            <v>3521282.0622511874</v>
          </cell>
          <cell r="AA147">
            <v>2547741.1044836603</v>
          </cell>
          <cell r="AC147">
            <v>24675.42229059475</v>
          </cell>
          <cell r="AD147">
            <v>833846.90040011832</v>
          </cell>
          <cell r="AF147">
            <v>19628.55955883388</v>
          </cell>
          <cell r="AG147">
            <v>864510.21326522809</v>
          </cell>
          <cell r="AI147">
            <v>7531.8768943651266</v>
          </cell>
          <cell r="AJ147">
            <v>452879.83374803385</v>
          </cell>
          <cell r="AL147">
            <v>3795.409178462919</v>
          </cell>
          <cell r="AM147">
            <v>243961.60677866783</v>
          </cell>
          <cell r="AO147">
            <v>2165.0462229889695</v>
          </cell>
          <cell r="AP147">
            <v>152542.55029161228</v>
          </cell>
          <cell r="AR147">
            <v>0</v>
          </cell>
          <cell r="AS147">
            <v>0</v>
          </cell>
          <cell r="AU147">
            <v>1171.4615683941288</v>
          </cell>
          <cell r="AV147">
            <v>3553843.9644445721</v>
          </cell>
          <cell r="AX147">
            <v>7336.1070365741944</v>
          </cell>
          <cell r="AY147">
            <v>3891173.3963943585</v>
          </cell>
          <cell r="BA147">
            <v>2187.149271449236</v>
          </cell>
          <cell r="BB147">
            <v>3475740.0268091187</v>
          </cell>
          <cell r="BD147">
            <v>2656.5759197006123</v>
          </cell>
          <cell r="BE147">
            <v>3499069.5349441911</v>
          </cell>
          <cell r="BR147">
            <v>0</v>
          </cell>
          <cell r="BS147">
            <v>-2260060.6158226579</v>
          </cell>
        </row>
        <row r="148">
          <cell r="B148">
            <v>921</v>
          </cell>
          <cell r="F148">
            <v>14094096.506467227</v>
          </cell>
          <cell r="J148">
            <v>1.0213260495386489</v>
          </cell>
          <cell r="M148">
            <v>964131.79076448455</v>
          </cell>
          <cell r="Q148">
            <v>-174000</v>
          </cell>
          <cell r="R148">
            <v>12059.999999999998</v>
          </cell>
          <cell r="T148">
            <v>6944392.4065340366</v>
          </cell>
          <cell r="V148">
            <v>24681.13857876799</v>
          </cell>
          <cell r="W148">
            <v>2885457.0148915984</v>
          </cell>
          <cell r="Y148">
            <v>2300.0262635610375</v>
          </cell>
          <cell r="Z148">
            <v>544961.76355540147</v>
          </cell>
          <cell r="AA148">
            <v>575043.27086152742</v>
          </cell>
          <cell r="AC148">
            <v>6099.3591678448111</v>
          </cell>
          <cell r="AD148">
            <v>206113.26025706914</v>
          </cell>
          <cell r="AF148">
            <v>1778.1286522467879</v>
          </cell>
          <cell r="AG148">
            <v>78314.986678431931</v>
          </cell>
          <cell r="AI148">
            <v>2195.851006508095</v>
          </cell>
          <cell r="AJ148">
            <v>132033.04471251095</v>
          </cell>
          <cell r="AL148">
            <v>561.72932724625696</v>
          </cell>
          <cell r="AM148">
            <v>36106.881447021253</v>
          </cell>
          <cell r="AO148">
            <v>1738.2969363147804</v>
          </cell>
          <cell r="AP148">
            <v>122475.09776649416</v>
          </cell>
          <cell r="AR148">
            <v>0</v>
          </cell>
          <cell r="AS148">
            <v>0</v>
          </cell>
          <cell r="AU148">
            <v>139.9216687867949</v>
          </cell>
          <cell r="AV148">
            <v>424478.09772762813</v>
          </cell>
          <cell r="AX148">
            <v>1041.752570529422</v>
          </cell>
          <cell r="AY148">
            <v>552560.07959808712</v>
          </cell>
          <cell r="BA148">
            <v>329.8883140009836</v>
          </cell>
          <cell r="BB148">
            <v>524246.80487858807</v>
          </cell>
          <cell r="BD148">
            <v>638.32878096165553</v>
          </cell>
          <cell r="BE148">
            <v>840765.27765587345</v>
          </cell>
          <cell r="BR148">
            <v>622807.18260072544</v>
          </cell>
          <cell r="BS148">
            <v>0</v>
          </cell>
        </row>
        <row r="149">
          <cell r="B149">
            <v>925</v>
          </cell>
          <cell r="F149">
            <v>77108806.319102898</v>
          </cell>
          <cell r="J149">
            <v>1</v>
          </cell>
          <cell r="M149">
            <v>7340000</v>
          </cell>
          <cell r="Q149">
            <v>-249000</v>
          </cell>
          <cell r="R149">
            <v>1906661.88</v>
          </cell>
          <cell r="T149">
            <v>36321765</v>
          </cell>
          <cell r="V149">
            <v>137173.16799999998</v>
          </cell>
          <cell r="W149">
            <v>16036832.279731123</v>
          </cell>
          <cell r="Y149">
            <v>13124</v>
          </cell>
          <cell r="Z149">
            <v>3109563.7029065117</v>
          </cell>
          <cell r="AA149">
            <v>2309317.3159657735</v>
          </cell>
          <cell r="AC149">
            <v>13377</v>
          </cell>
          <cell r="AD149">
            <v>452043.73223245575</v>
          </cell>
          <cell r="AF149">
            <v>10256</v>
          </cell>
          <cell r="AG149">
            <v>451710.0055494305</v>
          </cell>
          <cell r="AI149">
            <v>6865</v>
          </cell>
          <cell r="AJ149">
            <v>412781.58184000914</v>
          </cell>
          <cell r="AL149">
            <v>5838</v>
          </cell>
          <cell r="AM149">
            <v>375255.41869260604</v>
          </cell>
          <cell r="AO149">
            <v>5725</v>
          </cell>
          <cell r="AP149">
            <v>403366.03031681763</v>
          </cell>
          <cell r="AR149">
            <v>2235</v>
          </cell>
          <cell r="AS149">
            <v>214160.54733445472</v>
          </cell>
          <cell r="AU149">
            <v>722</v>
          </cell>
          <cell r="AV149">
            <v>2190319.6925583761</v>
          </cell>
          <cell r="AX149">
            <v>5420</v>
          </cell>
          <cell r="AY149">
            <v>2874843.5244077458</v>
          </cell>
          <cell r="BA149">
            <v>1588</v>
          </cell>
          <cell r="BB149">
            <v>2523593.2611566097</v>
          </cell>
          <cell r="BD149">
            <v>2084</v>
          </cell>
          <cell r="BE149">
            <v>2744909.6623767815</v>
          </cell>
          <cell r="BR149">
            <v>5200504.6461627632</v>
          </cell>
          <cell r="BS149">
            <v>0</v>
          </cell>
        </row>
        <row r="150">
          <cell r="B150">
            <v>926</v>
          </cell>
          <cell r="F150">
            <v>78398534.951663211</v>
          </cell>
          <cell r="J150">
            <v>1</v>
          </cell>
          <cell r="M150">
            <v>6820000</v>
          </cell>
          <cell r="Q150">
            <v>102000</v>
          </cell>
          <cell r="R150">
            <v>0</v>
          </cell>
          <cell r="T150">
            <v>34767120.359491892</v>
          </cell>
          <cell r="V150">
            <v>161287.065</v>
          </cell>
          <cell r="W150">
            <v>18855973.424008783</v>
          </cell>
          <cell r="Y150">
            <v>14146</v>
          </cell>
          <cell r="Z150">
            <v>3351713.5127488202</v>
          </cell>
          <cell r="AA150">
            <v>2707010.5442442354</v>
          </cell>
          <cell r="AC150">
            <v>12852</v>
          </cell>
          <cell r="AD150">
            <v>434302.61244311288</v>
          </cell>
          <cell r="AF150">
            <v>9939</v>
          </cell>
          <cell r="AG150">
            <v>437748.22008149279</v>
          </cell>
          <cell r="AI150">
            <v>8515</v>
          </cell>
          <cell r="AJ150">
            <v>511993.4696821089</v>
          </cell>
          <cell r="AL150">
            <v>6367</v>
          </cell>
          <cell r="AM150">
            <v>409258.52189376892</v>
          </cell>
          <cell r="AO150">
            <v>8838</v>
          </cell>
          <cell r="AP150">
            <v>622698.51108122873</v>
          </cell>
          <cell r="AR150">
            <v>3037</v>
          </cell>
          <cell r="AS150">
            <v>291009.20906252303</v>
          </cell>
          <cell r="AU150">
            <v>911</v>
          </cell>
          <cell r="AV150">
            <v>2763685.9278679788</v>
          </cell>
          <cell r="AX150">
            <v>6140</v>
          </cell>
          <cell r="AY150">
            <v>3256741.5571703985</v>
          </cell>
          <cell r="BA150">
            <v>2140</v>
          </cell>
          <cell r="BB150">
            <v>3400812.0773772951</v>
          </cell>
          <cell r="BD150">
            <v>1802</v>
          </cell>
          <cell r="BE150">
            <v>2373477.5487538194</v>
          </cell>
          <cell r="BR150">
            <v>0</v>
          </cell>
          <cell r="BS150">
            <v>0</v>
          </cell>
        </row>
        <row r="151">
          <cell r="B151">
            <v>928</v>
          </cell>
          <cell r="F151">
            <v>72505350.04186663</v>
          </cell>
          <cell r="J151">
            <v>1.004938767636737</v>
          </cell>
          <cell r="M151">
            <v>6218561.0941361282</v>
          </cell>
          <cell r="Q151">
            <v>-558000</v>
          </cell>
          <cell r="R151">
            <v>1315866.5999999999</v>
          </cell>
          <cell r="T151">
            <v>30332998.885582786</v>
          </cell>
          <cell r="V151">
            <v>157361.16080833549</v>
          </cell>
          <cell r="W151">
            <v>18396998.33444887</v>
          </cell>
          <cell r="Y151">
            <v>12196.941822807077</v>
          </cell>
          <cell r="Z151">
            <v>2889909.1419280153</v>
          </cell>
          <cell r="AA151">
            <v>2729628.9727967912</v>
          </cell>
          <cell r="AC151">
            <v>11517.603215884643</v>
          </cell>
          <cell r="AD151">
            <v>389209.86350310448</v>
          </cell>
          <cell r="AF151">
            <v>10867.407833223673</v>
          </cell>
          <cell r="AG151">
            <v>478638.53867525252</v>
          </cell>
          <cell r="AI151">
            <v>11489.464930390814</v>
          </cell>
          <cell r="AJ151">
            <v>690843.33699374076</v>
          </cell>
          <cell r="AL151">
            <v>8168.1423033513984</v>
          </cell>
          <cell r="AM151">
            <v>525032.48715055105</v>
          </cell>
          <cell r="AO151">
            <v>6212.5314615303078</v>
          </cell>
          <cell r="AP151">
            <v>437716.00940712972</v>
          </cell>
          <cell r="AR151">
            <v>2172.6776156306255</v>
          </cell>
          <cell r="AS151">
            <v>208188.73706701241</v>
          </cell>
          <cell r="AU151">
            <v>752.69913695991602</v>
          </cell>
          <cell r="AV151">
            <v>2283451.1665581693</v>
          </cell>
          <cell r="AX151">
            <v>5245.7803670637668</v>
          </cell>
          <cell r="AY151">
            <v>2782435.0034536086</v>
          </cell>
          <cell r="BA151">
            <v>1954.6059030534534</v>
          </cell>
          <cell r="BB151">
            <v>3106190.3558958592</v>
          </cell>
          <cell r="BD151">
            <v>2283.2208800706662</v>
          </cell>
          <cell r="BE151">
            <v>3007310.4870664058</v>
          </cell>
          <cell r="BR151">
            <v>0</v>
          </cell>
          <cell r="BS151">
            <v>-2501641.4449580014</v>
          </cell>
        </row>
        <row r="152">
          <cell r="B152">
            <v>929</v>
          </cell>
          <cell r="F152">
            <v>30478080.520679638</v>
          </cell>
          <cell r="J152">
            <v>1</v>
          </cell>
          <cell r="M152">
            <v>2940000</v>
          </cell>
          <cell r="Q152">
            <v>-972000</v>
          </cell>
          <cell r="R152">
            <v>0</v>
          </cell>
          <cell r="T152">
            <v>14914567.138480818</v>
          </cell>
          <cell r="V152">
            <v>56025.776000000005</v>
          </cell>
          <cell r="W152">
            <v>6549939.657687176</v>
          </cell>
          <cell r="Y152">
            <v>5321</v>
          </cell>
          <cell r="Z152">
            <v>1260742.7966447386</v>
          </cell>
          <cell r="AA152">
            <v>1250114.1539660697</v>
          </cell>
          <cell r="AC152">
            <v>5024</v>
          </cell>
          <cell r="AD152">
            <v>169774.0682317304</v>
          </cell>
          <cell r="AF152">
            <v>3870</v>
          </cell>
          <cell r="AG152">
            <v>170448.29577576989</v>
          </cell>
          <cell r="AI152">
            <v>1060</v>
          </cell>
          <cell r="AJ152">
            <v>63736.121886439862</v>
          </cell>
          <cell r="AL152">
            <v>5074</v>
          </cell>
          <cell r="AM152">
            <v>326146.96718846925</v>
          </cell>
          <cell r="AO152">
            <v>5705</v>
          </cell>
          <cell r="AP152">
            <v>401956.89134627854</v>
          </cell>
          <cell r="AR152">
            <v>1232</v>
          </cell>
          <cell r="AS152">
            <v>118051.80953738173</v>
          </cell>
          <cell r="AU152">
            <v>296</v>
          </cell>
          <cell r="AV152">
            <v>897970.40027323994</v>
          </cell>
          <cell r="AX152">
            <v>2240</v>
          </cell>
          <cell r="AY152">
            <v>1188127.2130393635</v>
          </cell>
          <cell r="BA152">
            <v>620</v>
          </cell>
          <cell r="BB152">
            <v>985282.00372613221</v>
          </cell>
          <cell r="BD152">
            <v>1111</v>
          </cell>
          <cell r="BE152">
            <v>1463337.1568620941</v>
          </cell>
          <cell r="BR152">
            <v>1319053.7562820017</v>
          </cell>
          <cell r="BS152">
            <v>0</v>
          </cell>
        </row>
        <row r="153">
          <cell r="B153">
            <v>931</v>
          </cell>
          <cell r="F153">
            <v>60387255.269190945</v>
          </cell>
          <cell r="J153">
            <v>1.0333689168320959</v>
          </cell>
          <cell r="M153">
            <v>4546823.2340612216</v>
          </cell>
          <cell r="Q153">
            <v>990000</v>
          </cell>
          <cell r="R153">
            <v>1615034.9999999998</v>
          </cell>
          <cell r="T153">
            <v>25628472.340679429</v>
          </cell>
          <cell r="V153">
            <v>141769.73659740094</v>
          </cell>
          <cell r="W153">
            <v>16574214.340184798</v>
          </cell>
          <cell r="Y153">
            <v>7870.1376705932416</v>
          </cell>
          <cell r="Z153">
            <v>1864728.3173844826</v>
          </cell>
          <cell r="AA153">
            <v>1237802.3777278753</v>
          </cell>
          <cell r="AC153">
            <v>11065.314361438082</v>
          </cell>
          <cell r="AD153">
            <v>373925.84303430241</v>
          </cell>
          <cell r="AF153">
            <v>6397.5869641075051</v>
          </cell>
          <cell r="AG153">
            <v>281772.04007994983</v>
          </cell>
          <cell r="AI153">
            <v>3910.2679812926508</v>
          </cell>
          <cell r="AJ153">
            <v>235118.22326821843</v>
          </cell>
          <cell r="AL153">
            <v>3172.4425746745342</v>
          </cell>
          <cell r="AM153">
            <v>203918.51090060666</v>
          </cell>
          <cell r="AO153">
            <v>2030.5699215750683</v>
          </cell>
          <cell r="AP153">
            <v>143067.76044479775</v>
          </cell>
          <cell r="AR153">
            <v>0</v>
          </cell>
          <cell r="AS153">
            <v>0</v>
          </cell>
          <cell r="AU153">
            <v>521.85130300020842</v>
          </cell>
          <cell r="AV153">
            <v>1583131.8359398951</v>
          </cell>
          <cell r="AX153">
            <v>3658.1259655856193</v>
          </cell>
          <cell r="AY153">
            <v>1940320.9859098985</v>
          </cell>
          <cell r="BA153">
            <v>1369.2138148025269</v>
          </cell>
          <cell r="BB153">
            <v>2175906.0177066699</v>
          </cell>
          <cell r="BD153">
            <v>1693.6916546878051</v>
          </cell>
          <cell r="BE153">
            <v>2230820.8195966771</v>
          </cell>
          <cell r="BR153">
            <v>0</v>
          </cell>
          <cell r="BS153">
            <v>-65577.49752125144</v>
          </cell>
        </row>
        <row r="154">
          <cell r="B154">
            <v>933</v>
          </cell>
          <cell r="F154">
            <v>48751250.913403779</v>
          </cell>
          <cell r="J154">
            <v>1</v>
          </cell>
          <cell r="M154">
            <v>2760000</v>
          </cell>
          <cell r="Q154">
            <v>-744000</v>
          </cell>
          <cell r="R154">
            <v>2116329.0000000005</v>
          </cell>
          <cell r="T154">
            <v>22689837.711636487</v>
          </cell>
          <cell r="V154">
            <v>105250.93</v>
          </cell>
          <cell r="W154">
            <v>12304822.701883804</v>
          </cell>
          <cell r="Y154">
            <v>7353</v>
          </cell>
          <cell r="Z154">
            <v>1742199.1700298369</v>
          </cell>
          <cell r="AA154">
            <v>1215404.6884704295</v>
          </cell>
          <cell r="AC154">
            <v>9541</v>
          </cell>
          <cell r="AD154">
            <v>322415.28363832401</v>
          </cell>
          <cell r="AF154">
            <v>8367</v>
          </cell>
          <cell r="AG154">
            <v>368511.85807645135</v>
          </cell>
          <cell r="AI154">
            <v>2114</v>
          </cell>
          <cell r="AJ154">
            <v>127111.47327163574</v>
          </cell>
          <cell r="AL154">
            <v>1860</v>
          </cell>
          <cell r="AM154">
            <v>119557.22486609238</v>
          </cell>
          <cell r="AO154">
            <v>3316</v>
          </cell>
          <cell r="AP154">
            <v>233635.24131538294</v>
          </cell>
          <cell r="AR154">
            <v>461</v>
          </cell>
          <cell r="AS154">
            <v>44173.607302543001</v>
          </cell>
          <cell r="AU154">
            <v>502</v>
          </cell>
          <cell r="AV154">
            <v>1522909.2599228597</v>
          </cell>
          <cell r="AX154">
            <v>2990</v>
          </cell>
          <cell r="AY154">
            <v>1585937.6638337935</v>
          </cell>
          <cell r="BA154">
            <v>1129</v>
          </cell>
          <cell r="BB154">
            <v>1794166.7454948442</v>
          </cell>
          <cell r="BD154">
            <v>1339</v>
          </cell>
          <cell r="BE154">
            <v>1763643.9721317228</v>
          </cell>
          <cell r="BR154">
            <v>1165468.186809741</v>
          </cell>
          <cell r="BS154">
            <v>0</v>
          </cell>
        </row>
        <row r="155">
          <cell r="B155">
            <v>935</v>
          </cell>
          <cell r="F155">
            <v>62809760.315516323</v>
          </cell>
          <cell r="J155">
            <v>1.0000359327175439</v>
          </cell>
          <cell r="M155">
            <v>4476160.8348437268</v>
          </cell>
          <cell r="Q155">
            <v>-378000</v>
          </cell>
          <cell r="R155">
            <v>120599.99999999999</v>
          </cell>
          <cell r="T155">
            <v>26570784.604156308</v>
          </cell>
          <cell r="V155">
            <v>144238.84870758071</v>
          </cell>
          <cell r="W155">
            <v>16862876.746748202</v>
          </cell>
          <cell r="Y155">
            <v>12238.439744597303</v>
          </cell>
          <cell r="Z155">
            <v>2899741.5429753284</v>
          </cell>
          <cell r="AA155">
            <v>1877492.1393956053</v>
          </cell>
          <cell r="AC155">
            <v>11959.429719369107</v>
          </cell>
          <cell r="AD155">
            <v>404140.33383534139</v>
          </cell>
          <cell r="AF155">
            <v>7170.2576375847893</v>
          </cell>
          <cell r="AG155">
            <v>315803.15105930885</v>
          </cell>
          <cell r="AI155">
            <v>7840.2817125055444</v>
          </cell>
          <cell r="AJ155">
            <v>471423.72721913102</v>
          </cell>
          <cell r="AL155">
            <v>4897.175962517812</v>
          </cell>
          <cell r="AM155">
            <v>314781.0579352497</v>
          </cell>
          <cell r="AO155">
            <v>4200.1509174136845</v>
          </cell>
          <cell r="AP155">
            <v>295929.81699365901</v>
          </cell>
          <cell r="AR155">
            <v>787.02827904870708</v>
          </cell>
          <cell r="AS155">
            <v>75414.052352915009</v>
          </cell>
          <cell r="AU155">
            <v>731.02626681652453</v>
          </cell>
          <cell r="AV155">
            <v>2217702.5318361041</v>
          </cell>
          <cell r="AX155">
            <v>4830.1735550257372</v>
          </cell>
          <cell r="AY155">
            <v>2561991.3591201627</v>
          </cell>
          <cell r="BA155">
            <v>1839.0660802675632</v>
          </cell>
          <cell r="BB155">
            <v>2922578.5686303042</v>
          </cell>
          <cell r="BD155">
            <v>2033.0730512147668</v>
          </cell>
          <cell r="BE155">
            <v>2677831.9878105843</v>
          </cell>
          <cell r="BR155">
            <v>0</v>
          </cell>
          <cell r="BS155">
            <v>-3760579.4612543359</v>
          </cell>
        </row>
        <row r="156">
          <cell r="B156">
            <v>936</v>
          </cell>
          <cell r="F156">
            <v>124482533.52046666</v>
          </cell>
          <cell r="J156">
            <v>1.0744343550114952</v>
          </cell>
          <cell r="M156">
            <v>11320240.364401113</v>
          </cell>
          <cell r="Q156">
            <v>-1170000</v>
          </cell>
          <cell r="R156">
            <v>637169.99999999988</v>
          </cell>
          <cell r="T156">
            <v>64480670.104894958</v>
          </cell>
          <cell r="V156">
            <v>269064.86556711345</v>
          </cell>
          <cell r="W156">
            <v>31456211.038795874</v>
          </cell>
          <cell r="Y156">
            <v>11382.55755699178</v>
          </cell>
          <cell r="Z156">
            <v>2696951.2210809095</v>
          </cell>
          <cell r="AA156">
            <v>1269780.4763853042</v>
          </cell>
          <cell r="AC156">
            <v>12942.636240468471</v>
          </cell>
          <cell r="AD156">
            <v>437365.44748960214</v>
          </cell>
          <cell r="AF156">
            <v>9749.417337374307</v>
          </cell>
          <cell r="AG156">
            <v>429398.33849152323</v>
          </cell>
          <cell r="AI156">
            <v>4001.1935380628083</v>
          </cell>
          <cell r="AJ156">
            <v>240585.43305019499</v>
          </cell>
          <cell r="AL156">
            <v>1719.0949680183924</v>
          </cell>
          <cell r="AM156">
            <v>110500.12024599077</v>
          </cell>
          <cell r="AO156">
            <v>737.06196753788572</v>
          </cell>
          <cell r="AP156">
            <v>51931.137107993032</v>
          </cell>
          <cell r="AR156">
            <v>0</v>
          </cell>
          <cell r="AS156">
            <v>0</v>
          </cell>
          <cell r="AU156">
            <v>1037.9035869411043</v>
          </cell>
          <cell r="AV156">
            <v>3148671.2817923483</v>
          </cell>
          <cell r="AX156">
            <v>7424.3413931294317</v>
          </cell>
          <cell r="AY156">
            <v>3937974.1286034188</v>
          </cell>
          <cell r="BA156">
            <v>2111.2635075975882</v>
          </cell>
          <cell r="BB156">
            <v>3355145.0631606677</v>
          </cell>
          <cell r="BD156">
            <v>2543.1861183122091</v>
          </cell>
          <cell r="BE156">
            <v>3349719.8413520553</v>
          </cell>
          <cell r="BR156">
            <v>17111716.967886269</v>
          </cell>
          <cell r="BS156">
            <v>0</v>
          </cell>
        </row>
        <row r="157">
          <cell r="B157">
            <v>937</v>
          </cell>
          <cell r="F157">
            <v>54625887.248246297</v>
          </cell>
          <cell r="J157">
            <v>1.0105351699887246</v>
          </cell>
          <cell r="M157">
            <v>6188517.3810109496</v>
          </cell>
          <cell r="Q157">
            <v>-396000</v>
          </cell>
          <cell r="R157">
            <v>103789.28991690646</v>
          </cell>
          <cell r="T157">
            <v>26627878.731615312</v>
          </cell>
          <cell r="V157">
            <v>108964.36728130329</v>
          </cell>
          <cell r="W157">
            <v>12738958.41318823</v>
          </cell>
          <cell r="Y157">
            <v>6723.0904859349848</v>
          </cell>
          <cell r="Z157">
            <v>1592950.1787884433</v>
          </cell>
          <cell r="AA157">
            <v>1192211.1340969745</v>
          </cell>
          <cell r="AC157">
            <v>12483.140954870714</v>
          </cell>
          <cell r="AD157">
            <v>421837.90290973906</v>
          </cell>
          <cell r="AF157">
            <v>5861.1039859346029</v>
          </cell>
          <cell r="AG157">
            <v>258143.45885455431</v>
          </cell>
          <cell r="AI157">
            <v>4242.2266436126656</v>
          </cell>
          <cell r="AJ157">
            <v>255078.37210113165</v>
          </cell>
          <cell r="AL157">
            <v>0</v>
          </cell>
          <cell r="AM157">
            <v>0</v>
          </cell>
          <cell r="AO157">
            <v>1619.8878774919256</v>
          </cell>
          <cell r="AP157">
            <v>114132.35680388707</v>
          </cell>
          <cell r="AR157">
            <v>1492.5604460733462</v>
          </cell>
          <cell r="AS157">
            <v>143019.04342766249</v>
          </cell>
          <cell r="AU157">
            <v>460.80403751485841</v>
          </cell>
          <cell r="AV157">
            <v>1397933.7365362921</v>
          </cell>
          <cell r="AX157">
            <v>3536.873094960536</v>
          </cell>
          <cell r="AY157">
            <v>1876006.7737452546</v>
          </cell>
          <cell r="BA157">
            <v>1091.3779835878227</v>
          </cell>
          <cell r="BB157">
            <v>1734379.1717612837</v>
          </cell>
          <cell r="BD157">
            <v>1191.4209654167064</v>
          </cell>
          <cell r="BE157">
            <v>1569262.4375866558</v>
          </cell>
          <cell r="BR157">
            <v>5022253.0811535567</v>
          </cell>
          <cell r="BS157">
            <v>0</v>
          </cell>
        </row>
        <row r="158">
          <cell r="B158">
            <v>938</v>
          </cell>
          <cell r="F158">
            <v>75081892.036055267</v>
          </cell>
          <cell r="J158">
            <v>1.0111639788232589</v>
          </cell>
          <cell r="M158">
            <v>7543283.2820215123</v>
          </cell>
          <cell r="Q158">
            <v>-1266000</v>
          </cell>
          <cell r="R158">
            <v>531745.5</v>
          </cell>
          <cell r="T158">
            <v>34631757.560201369</v>
          </cell>
          <cell r="V158">
            <v>167101.16221959129</v>
          </cell>
          <cell r="W158">
            <v>19535696.020840816</v>
          </cell>
          <cell r="Y158">
            <v>8862.8522743858648</v>
          </cell>
          <cell r="Z158">
            <v>2099939.327693745</v>
          </cell>
          <cell r="AA158">
            <v>1438982.9903684985</v>
          </cell>
          <cell r="AC158">
            <v>15057.242808657149</v>
          </cell>
          <cell r="AD158">
            <v>508823.52069639548</v>
          </cell>
          <cell r="AF158">
            <v>12800.324807923635</v>
          </cell>
          <cell r="AG158">
            <v>563770.94286483014</v>
          </cell>
          <cell r="AI158">
            <v>2750.3660223992642</v>
          </cell>
          <cell r="AJ158">
            <v>165375.15475090782</v>
          </cell>
          <cell r="AL158">
            <v>1043.5212261456031</v>
          </cell>
          <cell r="AM158">
            <v>67075.538648833492</v>
          </cell>
          <cell r="AO158">
            <v>1900.9882801877268</v>
          </cell>
          <cell r="AP158">
            <v>133937.83340753146</v>
          </cell>
          <cell r="AR158">
            <v>0</v>
          </cell>
          <cell r="AS158">
            <v>0</v>
          </cell>
          <cell r="AU158">
            <v>752.30600024450462</v>
          </cell>
          <cell r="AV158">
            <v>2282258.5140794525</v>
          </cell>
          <cell r="AX158">
            <v>4600.7961036458282</v>
          </cell>
          <cell r="AY158">
            <v>2440326.3626728039</v>
          </cell>
          <cell r="BA158">
            <v>1771.5592908983497</v>
          </cell>
          <cell r="BB158">
            <v>2815299.1739612455</v>
          </cell>
          <cell r="BD158">
            <v>2299.3868878440908</v>
          </cell>
          <cell r="BE158">
            <v>3028603.3042157968</v>
          </cell>
          <cell r="BR158">
            <v>1904823.2734037191</v>
          </cell>
          <cell r="BS158">
            <v>0</v>
          </cell>
        </row>
      </sheetData>
      <sheetData sheetId="20">
        <row r="8">
          <cell r="B8">
            <v>9999</v>
          </cell>
          <cell r="F8">
            <v>71745000</v>
          </cell>
          <cell r="M8">
            <v>28698000</v>
          </cell>
          <cell r="Q8">
            <v>43047000</v>
          </cell>
          <cell r="R8">
            <v>0</v>
          </cell>
          <cell r="U8">
            <v>0</v>
          </cell>
        </row>
        <row r="9">
          <cell r="B9">
            <v>202</v>
          </cell>
          <cell r="F9">
            <v>32710412.358109809</v>
          </cell>
          <cell r="M9">
            <v>1702353.6237746577</v>
          </cell>
          <cell r="Q9">
            <v>1002000</v>
          </cell>
          <cell r="R9">
            <v>2497249.1249999991</v>
          </cell>
          <cell r="U9">
            <v>13253911.833641389</v>
          </cell>
        </row>
        <row r="10">
          <cell r="B10">
            <v>203</v>
          </cell>
          <cell r="F10">
            <v>42958208.175584376</v>
          </cell>
          <cell r="M10">
            <v>2570409.2959543699</v>
          </cell>
          <cell r="Q10">
            <v>198000</v>
          </cell>
          <cell r="R10">
            <v>465748.15499999997</v>
          </cell>
          <cell r="U10">
            <v>18903001.542487096</v>
          </cell>
        </row>
        <row r="11">
          <cell r="B11">
            <v>204</v>
          </cell>
          <cell r="F11">
            <v>40878585.828667343</v>
          </cell>
          <cell r="M11">
            <v>2989969.5375078972</v>
          </cell>
          <cell r="Q11">
            <v>-822000</v>
          </cell>
          <cell r="R11">
            <v>0</v>
          </cell>
          <cell r="U11">
            <v>19268308.800245609</v>
          </cell>
        </row>
        <row r="12">
          <cell r="B12">
            <v>205</v>
          </cell>
          <cell r="F12">
            <v>21223111.335298285</v>
          </cell>
          <cell r="M12">
            <v>2319637.657324675</v>
          </cell>
          <cell r="Q12">
            <v>1596000</v>
          </cell>
          <cell r="R12">
            <v>301499.99999999994</v>
          </cell>
          <cell r="U12">
            <v>9027978.4572709072</v>
          </cell>
        </row>
        <row r="13">
          <cell r="B13">
            <v>206</v>
          </cell>
          <cell r="F13">
            <v>27426987.637710508</v>
          </cell>
          <cell r="M13">
            <v>1844618.3033818882</v>
          </cell>
          <cell r="Q13">
            <v>-312000</v>
          </cell>
          <cell r="R13">
            <v>0</v>
          </cell>
          <cell r="U13">
            <v>13099147.664341995</v>
          </cell>
        </row>
        <row r="14">
          <cell r="B14">
            <v>207</v>
          </cell>
          <cell r="F14">
            <v>15348156.875927359</v>
          </cell>
          <cell r="M14">
            <v>728202.25832853629</v>
          </cell>
          <cell r="Q14">
            <v>192000</v>
          </cell>
          <cell r="R14">
            <v>1472324.9999999998</v>
          </cell>
          <cell r="U14">
            <v>6211824.5791963022</v>
          </cell>
        </row>
        <row r="15">
          <cell r="B15">
            <v>208</v>
          </cell>
          <cell r="F15">
            <v>40202840.983246408</v>
          </cell>
          <cell r="M15">
            <v>2382330.5669820989</v>
          </cell>
          <cell r="Q15">
            <v>-372000</v>
          </cell>
          <cell r="R15">
            <v>0</v>
          </cell>
          <cell r="U15">
            <v>18707523.756759267</v>
          </cell>
        </row>
        <row r="16">
          <cell r="B16">
            <v>209</v>
          </cell>
          <cell r="F16">
            <v>45956923.851253711</v>
          </cell>
          <cell r="M16">
            <v>3226273.5816012635</v>
          </cell>
          <cell r="Q16">
            <v>-1251000</v>
          </cell>
          <cell r="R16">
            <v>175233.64046441938</v>
          </cell>
          <cell r="U16">
            <v>20271409.42851495</v>
          </cell>
        </row>
        <row r="17">
          <cell r="B17">
            <v>210</v>
          </cell>
          <cell r="F17">
            <v>41999180.096414439</v>
          </cell>
          <cell r="M17">
            <v>2751254.2276584767</v>
          </cell>
          <cell r="Q17">
            <v>-1002000</v>
          </cell>
          <cell r="R17">
            <v>2116437.54</v>
          </cell>
          <cell r="U17">
            <v>18849122.070989661</v>
          </cell>
        </row>
        <row r="18">
          <cell r="B18">
            <v>211</v>
          </cell>
          <cell r="F18">
            <v>48523577.6242892</v>
          </cell>
          <cell r="M18">
            <v>2905575.2360459808</v>
          </cell>
          <cell r="Q18">
            <v>690000</v>
          </cell>
          <cell r="R18">
            <v>462299.99999999994</v>
          </cell>
          <cell r="U18">
            <v>23407000.571213283</v>
          </cell>
        </row>
        <row r="19">
          <cell r="B19">
            <v>212</v>
          </cell>
          <cell r="F19">
            <v>39326275.50448332</v>
          </cell>
          <cell r="M19">
            <v>4287230.5142653557</v>
          </cell>
          <cell r="Q19">
            <v>1536000</v>
          </cell>
          <cell r="R19">
            <v>830106.88499999989</v>
          </cell>
          <cell r="U19">
            <v>14827923.355047401</v>
          </cell>
        </row>
        <row r="20">
          <cell r="B20">
            <v>213</v>
          </cell>
          <cell r="F20">
            <v>24601709.248130672</v>
          </cell>
          <cell r="M20">
            <v>1070601.9956883115</v>
          </cell>
          <cell r="Q20">
            <v>-36000</v>
          </cell>
          <cell r="R20">
            <v>449234.99999999994</v>
          </cell>
          <cell r="U20">
            <v>11687407.047080249</v>
          </cell>
        </row>
        <row r="21">
          <cell r="B21">
            <v>301</v>
          </cell>
          <cell r="F21">
            <v>31807043.586768646</v>
          </cell>
          <cell r="M21">
            <v>1439177.9327795845</v>
          </cell>
          <cell r="Q21">
            <v>162000</v>
          </cell>
          <cell r="R21">
            <v>0</v>
          </cell>
          <cell r="U21">
            <v>17723244.746531993</v>
          </cell>
        </row>
        <row r="22">
          <cell r="B22">
            <v>302</v>
          </cell>
          <cell r="F22">
            <v>45374615.864663333</v>
          </cell>
          <cell r="M22">
            <v>2965784.9828918274</v>
          </cell>
          <cell r="Q22">
            <v>408000</v>
          </cell>
          <cell r="R22">
            <v>543851.73</v>
          </cell>
          <cell r="U22">
            <v>19830991.962036107</v>
          </cell>
        </row>
        <row r="23">
          <cell r="B23">
            <v>303</v>
          </cell>
          <cell r="F23">
            <v>29671130.578657217</v>
          </cell>
          <cell r="M23">
            <v>2595953.2875527027</v>
          </cell>
          <cell r="Q23">
            <v>-1062000</v>
          </cell>
          <cell r="R23">
            <v>296474.99999999994</v>
          </cell>
          <cell r="U23">
            <v>13146850.323904069</v>
          </cell>
        </row>
        <row r="24">
          <cell r="B24">
            <v>304</v>
          </cell>
          <cell r="F24">
            <v>47824601.347550243</v>
          </cell>
          <cell r="M24">
            <v>3690230.5222570621</v>
          </cell>
          <cell r="Q24">
            <v>-1770000</v>
          </cell>
          <cell r="R24">
            <v>0</v>
          </cell>
          <cell r="U24">
            <v>19932425.600696471</v>
          </cell>
        </row>
        <row r="25">
          <cell r="B25">
            <v>305</v>
          </cell>
          <cell r="F25">
            <v>40369816.679261863</v>
          </cell>
          <cell r="M25">
            <v>3598243.4597150111</v>
          </cell>
          <cell r="Q25">
            <v>201000</v>
          </cell>
          <cell r="R25">
            <v>703499.99999999988</v>
          </cell>
          <cell r="U25">
            <v>15208211.305840276</v>
          </cell>
        </row>
        <row r="26">
          <cell r="B26">
            <v>306</v>
          </cell>
          <cell r="F26">
            <v>54477770.894638412</v>
          </cell>
          <cell r="M26">
            <v>4800556.8332632901</v>
          </cell>
          <cell r="Q26">
            <v>-1884000</v>
          </cell>
          <cell r="R26">
            <v>386924.99999999994</v>
          </cell>
          <cell r="U26">
            <v>23842821.028286215</v>
          </cell>
        </row>
        <row r="27">
          <cell r="B27">
            <v>307</v>
          </cell>
          <cell r="F27">
            <v>47660996.092662767</v>
          </cell>
          <cell r="M27">
            <v>3938390.4826579108</v>
          </cell>
          <cell r="Q27">
            <v>-996000</v>
          </cell>
          <cell r="R27">
            <v>0</v>
          </cell>
          <cell r="U27">
            <v>20107496.289614566</v>
          </cell>
        </row>
        <row r="28">
          <cell r="B28">
            <v>308</v>
          </cell>
          <cell r="F28">
            <v>45817004.84050785</v>
          </cell>
          <cell r="M28">
            <v>3324298.6404255298</v>
          </cell>
          <cell r="Q28">
            <v>-1452000</v>
          </cell>
          <cell r="R28">
            <v>390794.24999999994</v>
          </cell>
          <cell r="U28">
            <v>22522830.026027713</v>
          </cell>
        </row>
        <row r="29">
          <cell r="B29">
            <v>309</v>
          </cell>
          <cell r="F29">
            <v>35803515.285808712</v>
          </cell>
          <cell r="M29">
            <v>1767490.3986949273</v>
          </cell>
          <cell r="Q29">
            <v>444000</v>
          </cell>
          <cell r="R29">
            <v>321599.99999999994</v>
          </cell>
          <cell r="U29">
            <v>16811477.114036202</v>
          </cell>
        </row>
        <row r="30">
          <cell r="B30">
            <v>310</v>
          </cell>
          <cell r="F30">
            <v>29336769.89230448</v>
          </cell>
          <cell r="M30">
            <v>2369960.1137651335</v>
          </cell>
          <cell r="Q30">
            <v>-72000</v>
          </cell>
          <cell r="R30">
            <v>92459.999999999985</v>
          </cell>
          <cell r="U30">
            <v>12275740.675300099</v>
          </cell>
        </row>
        <row r="31">
          <cell r="B31">
            <v>311</v>
          </cell>
          <cell r="F31">
            <v>24574031.276861787</v>
          </cell>
          <cell r="M31">
            <v>1491477.3494649532</v>
          </cell>
          <cell r="Q31">
            <v>-270000</v>
          </cell>
          <cell r="R31">
            <v>78540.749999999985</v>
          </cell>
          <cell r="U31">
            <v>12670198.999598874</v>
          </cell>
        </row>
        <row r="32">
          <cell r="B32">
            <v>312</v>
          </cell>
          <cell r="F32">
            <v>36259067.551957667</v>
          </cell>
          <cell r="M32">
            <v>3203670.2851177836</v>
          </cell>
          <cell r="Q32">
            <v>-456000</v>
          </cell>
          <cell r="R32">
            <v>75374.999999999985</v>
          </cell>
          <cell r="U32">
            <v>17494270.452986546</v>
          </cell>
        </row>
        <row r="33">
          <cell r="B33">
            <v>313</v>
          </cell>
          <cell r="F33">
            <v>38900573.724511608</v>
          </cell>
          <cell r="M33">
            <v>2881302.3521947586</v>
          </cell>
          <cell r="Q33">
            <v>-1308000</v>
          </cell>
          <cell r="R33">
            <v>1165799.9999999998</v>
          </cell>
          <cell r="U33">
            <v>14994322.043348448</v>
          </cell>
        </row>
        <row r="34">
          <cell r="B34">
            <v>314</v>
          </cell>
          <cell r="F34">
            <v>18474113.589133933</v>
          </cell>
          <cell r="M34">
            <v>2038699.2723476803</v>
          </cell>
          <cell r="Q34">
            <v>-54000</v>
          </cell>
          <cell r="R34">
            <v>0</v>
          </cell>
          <cell r="U34">
            <v>7513292.0066567957</v>
          </cell>
        </row>
        <row r="35">
          <cell r="B35">
            <v>315</v>
          </cell>
          <cell r="F35">
            <v>27032384.898677971</v>
          </cell>
          <cell r="M35">
            <v>2058808.5603625951</v>
          </cell>
          <cell r="Q35">
            <v>-846000</v>
          </cell>
          <cell r="R35">
            <v>50249.999999999993</v>
          </cell>
          <cell r="U35">
            <v>10491455.030692644</v>
          </cell>
        </row>
        <row r="36">
          <cell r="B36">
            <v>316</v>
          </cell>
          <cell r="F36">
            <v>46540516.468886711</v>
          </cell>
          <cell r="M36">
            <v>658873.64735065366</v>
          </cell>
          <cell r="Q36">
            <v>-330000</v>
          </cell>
          <cell r="R36">
            <v>0</v>
          </cell>
          <cell r="U36">
            <v>23551623.278044671</v>
          </cell>
        </row>
        <row r="37">
          <cell r="B37">
            <v>317</v>
          </cell>
          <cell r="F37">
            <v>38068956.519089177</v>
          </cell>
          <cell r="M37">
            <v>2495941.6868597176</v>
          </cell>
          <cell r="Q37">
            <v>-1014000</v>
          </cell>
          <cell r="R37">
            <v>0</v>
          </cell>
          <cell r="U37">
            <v>16734383.029840009</v>
          </cell>
        </row>
        <row r="38">
          <cell r="B38">
            <v>318</v>
          </cell>
          <cell r="F38">
            <v>21188895.319654785</v>
          </cell>
          <cell r="M38">
            <v>1647411.2985928366</v>
          </cell>
          <cell r="Q38">
            <v>456000</v>
          </cell>
          <cell r="R38">
            <v>0</v>
          </cell>
          <cell r="U38">
            <v>7882628.5152006354</v>
          </cell>
        </row>
        <row r="39">
          <cell r="B39">
            <v>319</v>
          </cell>
          <cell r="F39">
            <v>29031049.917729162</v>
          </cell>
          <cell r="M39">
            <v>2492237.6055635219</v>
          </cell>
          <cell r="Q39">
            <v>-474000</v>
          </cell>
          <cell r="R39">
            <v>267330</v>
          </cell>
          <cell r="U39">
            <v>9920535.7448075041</v>
          </cell>
        </row>
        <row r="40">
          <cell r="B40">
            <v>320</v>
          </cell>
          <cell r="F40">
            <v>36271713.560491435</v>
          </cell>
          <cell r="M40">
            <v>3261247.8486843002</v>
          </cell>
          <cell r="Q40">
            <v>378000</v>
          </cell>
          <cell r="R40">
            <v>364814.99999999994</v>
          </cell>
          <cell r="U40">
            <v>16603485.617516683</v>
          </cell>
        </row>
        <row r="41">
          <cell r="B41">
            <v>330</v>
          </cell>
          <cell r="F41">
            <v>163897807.33490855</v>
          </cell>
          <cell r="M41">
            <v>18326619.601541512</v>
          </cell>
          <cell r="Q41">
            <v>-2451000</v>
          </cell>
          <cell r="R41">
            <v>3403934.9999999995</v>
          </cell>
          <cell r="U41">
            <v>80018197.573601305</v>
          </cell>
        </row>
        <row r="42">
          <cell r="B42">
            <v>331</v>
          </cell>
          <cell r="F42">
            <v>39234904.489125594</v>
          </cell>
          <cell r="M42">
            <v>3670550.3337078858</v>
          </cell>
          <cell r="Q42">
            <v>756000</v>
          </cell>
          <cell r="R42">
            <v>495464.99999999994</v>
          </cell>
          <cell r="U42">
            <v>19159684.32938372</v>
          </cell>
        </row>
        <row r="43">
          <cell r="B43">
            <v>332</v>
          </cell>
          <cell r="F43">
            <v>33770386.488137566</v>
          </cell>
          <cell r="M43">
            <v>3521798.567719724</v>
          </cell>
          <cell r="Q43">
            <v>432000</v>
          </cell>
          <cell r="R43">
            <v>1237154.9999999998</v>
          </cell>
          <cell r="U43">
            <v>16203621.585943647</v>
          </cell>
        </row>
        <row r="44">
          <cell r="B44">
            <v>333</v>
          </cell>
          <cell r="F44">
            <v>41404580.107685581</v>
          </cell>
          <cell r="M44">
            <v>2355906.3478125096</v>
          </cell>
          <cell r="Q44">
            <v>-636000</v>
          </cell>
          <cell r="R44">
            <v>988919.99999999988</v>
          </cell>
          <cell r="U44">
            <v>21146107.327427432</v>
          </cell>
        </row>
        <row r="45">
          <cell r="B45">
            <v>334</v>
          </cell>
          <cell r="F45">
            <v>24732993.712574914</v>
          </cell>
          <cell r="M45">
            <v>2942872.7757657971</v>
          </cell>
          <cell r="Q45">
            <v>156000</v>
          </cell>
          <cell r="R45">
            <v>0</v>
          </cell>
          <cell r="U45">
            <v>9963640.6183128301</v>
          </cell>
        </row>
        <row r="46">
          <cell r="B46">
            <v>335</v>
          </cell>
          <cell r="F46">
            <v>33921739.903201833</v>
          </cell>
          <cell r="M46">
            <v>2713714.6497840341</v>
          </cell>
          <cell r="Q46">
            <v>-120000</v>
          </cell>
          <cell r="R46">
            <v>0</v>
          </cell>
          <cell r="U46">
            <v>17767870.500816245</v>
          </cell>
        </row>
        <row r="47">
          <cell r="B47">
            <v>336</v>
          </cell>
          <cell r="F47">
            <v>34409678.042154498</v>
          </cell>
          <cell r="M47">
            <v>3312742.0317363613</v>
          </cell>
          <cell r="Q47">
            <v>84000</v>
          </cell>
          <cell r="R47">
            <v>439184.99999999994</v>
          </cell>
          <cell r="U47">
            <v>16156962.819188267</v>
          </cell>
        </row>
        <row r="48">
          <cell r="B48">
            <v>340</v>
          </cell>
          <cell r="F48">
            <v>20307651.339814961</v>
          </cell>
          <cell r="M48">
            <v>2035423.3474959803</v>
          </cell>
          <cell r="Q48">
            <v>-432000</v>
          </cell>
          <cell r="R48">
            <v>114095.63999999998</v>
          </cell>
          <cell r="U48">
            <v>9730879.0110863838</v>
          </cell>
        </row>
        <row r="49">
          <cell r="B49">
            <v>341</v>
          </cell>
          <cell r="F49">
            <v>52674025.979202434</v>
          </cell>
          <cell r="M49">
            <v>5633474.8554711584</v>
          </cell>
          <cell r="Q49">
            <v>-162000</v>
          </cell>
          <cell r="R49">
            <v>615426.82499999995</v>
          </cell>
          <cell r="U49">
            <v>27123922.733915985</v>
          </cell>
        </row>
        <row r="50">
          <cell r="B50">
            <v>342</v>
          </cell>
          <cell r="F50">
            <v>20582100.387117475</v>
          </cell>
          <cell r="M50">
            <v>1590675.3325903625</v>
          </cell>
          <cell r="Q50">
            <v>-84000</v>
          </cell>
          <cell r="R50">
            <v>0</v>
          </cell>
          <cell r="U50">
            <v>9150446.8950673863</v>
          </cell>
        </row>
        <row r="51">
          <cell r="B51">
            <v>343</v>
          </cell>
          <cell r="F51">
            <v>27205404.880592089</v>
          </cell>
          <cell r="M51">
            <v>2448117.4514174093</v>
          </cell>
          <cell r="Q51">
            <v>-198000</v>
          </cell>
          <cell r="R51">
            <v>0</v>
          </cell>
          <cell r="U51">
            <v>12672929.79228643</v>
          </cell>
        </row>
        <row r="52">
          <cell r="B52">
            <v>344</v>
          </cell>
          <cell r="F52">
            <v>36744953.987267748</v>
          </cell>
          <cell r="M52">
            <v>4231116.2499129046</v>
          </cell>
          <cell r="Q52">
            <v>-378000</v>
          </cell>
          <cell r="R52">
            <v>1365895.4999999998</v>
          </cell>
          <cell r="U52">
            <v>17067531.118350122</v>
          </cell>
        </row>
        <row r="53">
          <cell r="B53">
            <v>350</v>
          </cell>
          <cell r="F53">
            <v>34202305.714256883</v>
          </cell>
          <cell r="M53">
            <v>2996391.9968442167</v>
          </cell>
          <cell r="Q53">
            <v>-96000</v>
          </cell>
          <cell r="R53">
            <v>0</v>
          </cell>
          <cell r="U53">
            <v>16088469.875758406</v>
          </cell>
        </row>
        <row r="54">
          <cell r="B54">
            <v>351</v>
          </cell>
          <cell r="F54">
            <v>24775946.647731729</v>
          </cell>
          <cell r="M54">
            <v>1766379.1313832663</v>
          </cell>
          <cell r="Q54">
            <v>-30000</v>
          </cell>
          <cell r="R54">
            <v>168454.08</v>
          </cell>
          <cell r="U54">
            <v>9264799.210671721</v>
          </cell>
        </row>
        <row r="55">
          <cell r="B55">
            <v>352</v>
          </cell>
          <cell r="F55">
            <v>73446953.27331242</v>
          </cell>
          <cell r="M55">
            <v>5900028.9251454761</v>
          </cell>
          <cell r="Q55">
            <v>-462000</v>
          </cell>
          <cell r="R55">
            <v>1748976.3749999998</v>
          </cell>
          <cell r="U55">
            <v>34520690.576045766</v>
          </cell>
        </row>
        <row r="56">
          <cell r="B56">
            <v>353</v>
          </cell>
          <cell r="F56">
            <v>32150395.021276541</v>
          </cell>
          <cell r="M56">
            <v>3358674.4733597501</v>
          </cell>
          <cell r="Q56">
            <v>174000</v>
          </cell>
          <cell r="R56">
            <v>447610.91999999993</v>
          </cell>
          <cell r="U56">
            <v>15121957.308377998</v>
          </cell>
        </row>
        <row r="57">
          <cell r="B57">
            <v>354</v>
          </cell>
          <cell r="F57">
            <v>24946736.016111337</v>
          </cell>
          <cell r="M57">
            <v>2304761.8118391247</v>
          </cell>
          <cell r="Q57">
            <v>-438000</v>
          </cell>
          <cell r="R57">
            <v>0</v>
          </cell>
          <cell r="U57">
            <v>13201696.826926729</v>
          </cell>
        </row>
        <row r="58">
          <cell r="B58">
            <v>355</v>
          </cell>
          <cell r="F58">
            <v>30126946.701139063</v>
          </cell>
          <cell r="M58">
            <v>2625371.7226723889</v>
          </cell>
          <cell r="Q58">
            <v>-366000</v>
          </cell>
          <cell r="R58">
            <v>0</v>
          </cell>
          <cell r="U58">
            <v>13590577.071679866</v>
          </cell>
        </row>
        <row r="59">
          <cell r="B59">
            <v>356</v>
          </cell>
          <cell r="F59">
            <v>28799274.9467915</v>
          </cell>
          <cell r="M59">
            <v>2460025.7309219004</v>
          </cell>
          <cell r="Q59">
            <v>-516000</v>
          </cell>
          <cell r="R59">
            <v>50249.999999999993</v>
          </cell>
          <cell r="U59">
            <v>13077271.550049048</v>
          </cell>
        </row>
        <row r="60">
          <cell r="B60">
            <v>357</v>
          </cell>
          <cell r="F60">
            <v>22128225.474465735</v>
          </cell>
          <cell r="M60">
            <v>1762346.3023161811</v>
          </cell>
          <cell r="Q60">
            <v>-336000</v>
          </cell>
          <cell r="R60">
            <v>75374.999999999985</v>
          </cell>
          <cell r="U60">
            <v>11970691.514967714</v>
          </cell>
        </row>
        <row r="61">
          <cell r="B61">
            <v>358</v>
          </cell>
          <cell r="F61">
            <v>23755424.645194501</v>
          </cell>
          <cell r="M61">
            <v>2476157.047190241</v>
          </cell>
          <cell r="Q61">
            <v>-420000</v>
          </cell>
          <cell r="R61">
            <v>0</v>
          </cell>
          <cell r="U61">
            <v>10327190.390073499</v>
          </cell>
        </row>
        <row r="62">
          <cell r="B62">
            <v>359</v>
          </cell>
          <cell r="F62">
            <v>29881991.407331198</v>
          </cell>
          <cell r="M62">
            <v>2927833.90270377</v>
          </cell>
          <cell r="Q62">
            <v>-558000</v>
          </cell>
          <cell r="R62">
            <v>30149.999999999996</v>
          </cell>
          <cell r="U62">
            <v>14970265.707056288</v>
          </cell>
        </row>
        <row r="63">
          <cell r="B63">
            <v>370</v>
          </cell>
          <cell r="F63">
            <v>24123229.738683604</v>
          </cell>
          <cell r="M63">
            <v>1836000</v>
          </cell>
          <cell r="Q63">
            <v>-228000</v>
          </cell>
          <cell r="R63">
            <v>0</v>
          </cell>
          <cell r="U63">
            <v>12739357.084415482</v>
          </cell>
        </row>
        <row r="64">
          <cell r="B64">
            <v>371</v>
          </cell>
          <cell r="F64">
            <v>31659934.3935901</v>
          </cell>
          <cell r="M64">
            <v>2456000</v>
          </cell>
          <cell r="Q64">
            <v>-540000</v>
          </cell>
          <cell r="R64">
            <v>257279.99999999997</v>
          </cell>
          <cell r="U64">
            <v>16116374.904744612</v>
          </cell>
        </row>
        <row r="65">
          <cell r="B65">
            <v>372</v>
          </cell>
          <cell r="F65">
            <v>30760181.850076891</v>
          </cell>
          <cell r="M65">
            <v>2944000</v>
          </cell>
          <cell r="Q65">
            <v>177000</v>
          </cell>
          <cell r="R65">
            <v>0</v>
          </cell>
          <cell r="U65">
            <v>14835365.977451524</v>
          </cell>
        </row>
        <row r="66">
          <cell r="B66">
            <v>373</v>
          </cell>
          <cell r="F66">
            <v>60584309.376967385</v>
          </cell>
          <cell r="M66">
            <v>4512000</v>
          </cell>
          <cell r="Q66">
            <v>-291000</v>
          </cell>
          <cell r="R66">
            <v>1574834.9999999998</v>
          </cell>
          <cell r="U66">
            <v>31586359.711484183</v>
          </cell>
        </row>
        <row r="67">
          <cell r="B67">
            <v>380</v>
          </cell>
          <cell r="F67">
            <v>71645050.195228875</v>
          </cell>
          <cell r="M67">
            <v>4657131.2843780247</v>
          </cell>
          <cell r="Q67">
            <v>-864000</v>
          </cell>
          <cell r="R67">
            <v>1652219.9999999998</v>
          </cell>
          <cell r="U67">
            <v>36830168.56292098</v>
          </cell>
        </row>
        <row r="68">
          <cell r="B68">
            <v>381</v>
          </cell>
          <cell r="F68">
            <v>19621389.324380443</v>
          </cell>
          <cell r="M68">
            <v>1384336.2752532617</v>
          </cell>
          <cell r="Q68">
            <v>-234000</v>
          </cell>
          <cell r="R68">
            <v>0</v>
          </cell>
          <cell r="U68">
            <v>10231750.028125353</v>
          </cell>
        </row>
        <row r="69">
          <cell r="B69">
            <v>382</v>
          </cell>
          <cell r="F69">
            <v>40739903.613002598</v>
          </cell>
          <cell r="M69">
            <v>3112756.1333729411</v>
          </cell>
          <cell r="Q69">
            <v>-234000</v>
          </cell>
          <cell r="R69">
            <v>0</v>
          </cell>
          <cell r="U69">
            <v>22442246.06117858</v>
          </cell>
        </row>
        <row r="70">
          <cell r="B70">
            <v>383</v>
          </cell>
          <cell r="F70">
            <v>73933649.106917232</v>
          </cell>
          <cell r="M70">
            <v>5257277.068447358</v>
          </cell>
          <cell r="Q70">
            <v>-162000</v>
          </cell>
          <cell r="R70">
            <v>992437.49999999988</v>
          </cell>
          <cell r="U70">
            <v>38645774.603885323</v>
          </cell>
        </row>
        <row r="71">
          <cell r="B71">
            <v>384</v>
          </cell>
          <cell r="F71">
            <v>31904810.425205022</v>
          </cell>
          <cell r="M71">
            <v>2062501.0112516081</v>
          </cell>
          <cell r="Q71">
            <v>-9000</v>
          </cell>
          <cell r="R71">
            <v>685287.3899999999</v>
          </cell>
          <cell r="U71">
            <v>16587497.044983301</v>
          </cell>
        </row>
        <row r="72">
          <cell r="B72">
            <v>390</v>
          </cell>
          <cell r="F72">
            <v>21428991.683103755</v>
          </cell>
          <cell r="M72">
            <v>2520000</v>
          </cell>
          <cell r="Q72">
            <v>-300000</v>
          </cell>
          <cell r="R72">
            <v>0</v>
          </cell>
          <cell r="U72">
            <v>9473614.734768061</v>
          </cell>
        </row>
        <row r="73">
          <cell r="B73">
            <v>391</v>
          </cell>
          <cell r="F73">
            <v>35569730.961051874</v>
          </cell>
          <cell r="M73">
            <v>2754000</v>
          </cell>
          <cell r="Q73">
            <v>-42000</v>
          </cell>
          <cell r="R73">
            <v>2829075</v>
          </cell>
          <cell r="U73">
            <v>15187667.041027563</v>
          </cell>
        </row>
        <row r="74">
          <cell r="B74">
            <v>392</v>
          </cell>
          <cell r="F74">
            <v>19977313.970324472</v>
          </cell>
          <cell r="M74">
            <v>2170000</v>
          </cell>
          <cell r="Q74">
            <v>-102000</v>
          </cell>
          <cell r="R74">
            <v>0</v>
          </cell>
          <cell r="U74">
            <v>9199306.1520777103</v>
          </cell>
        </row>
        <row r="75">
          <cell r="B75">
            <v>393</v>
          </cell>
          <cell r="F75">
            <v>16894325.832629085</v>
          </cell>
          <cell r="M75">
            <v>1992000</v>
          </cell>
          <cell r="Q75">
            <v>-42000</v>
          </cell>
          <cell r="R75">
            <v>0</v>
          </cell>
          <cell r="U75">
            <v>7599401.0854610316</v>
          </cell>
        </row>
        <row r="76">
          <cell r="B76">
            <v>394</v>
          </cell>
          <cell r="F76">
            <v>26566355.203316443</v>
          </cell>
          <cell r="M76">
            <v>2612000</v>
          </cell>
          <cell r="Q76">
            <v>-228000</v>
          </cell>
          <cell r="R76">
            <v>0</v>
          </cell>
          <cell r="U76">
            <v>14284904.811548783</v>
          </cell>
        </row>
        <row r="77">
          <cell r="B77">
            <v>800</v>
          </cell>
          <cell r="F77">
            <v>19729451.451198094</v>
          </cell>
          <cell r="M77">
            <v>2048038.7555197624</v>
          </cell>
          <cell r="Q77">
            <v>252000</v>
          </cell>
          <cell r="R77">
            <v>309539.99999999994</v>
          </cell>
          <cell r="U77">
            <v>7042836.944444797</v>
          </cell>
        </row>
        <row r="78">
          <cell r="B78">
            <v>801</v>
          </cell>
          <cell r="F78">
            <v>50882244.117725261</v>
          </cell>
          <cell r="M78">
            <v>3550342.6330716838</v>
          </cell>
          <cell r="Q78">
            <v>-30000</v>
          </cell>
          <cell r="R78">
            <v>2015738.5499999998</v>
          </cell>
          <cell r="U78">
            <v>23203597.566801846</v>
          </cell>
        </row>
        <row r="79">
          <cell r="B79">
            <v>802</v>
          </cell>
          <cell r="F79">
            <v>21024235.035840385</v>
          </cell>
          <cell r="M79">
            <v>1459380.9096218667</v>
          </cell>
          <cell r="Q79">
            <v>108000</v>
          </cell>
          <cell r="R79">
            <v>0</v>
          </cell>
          <cell r="U79">
            <v>8721311.7481916398</v>
          </cell>
        </row>
        <row r="80">
          <cell r="B80">
            <v>803</v>
          </cell>
          <cell r="F80">
            <v>27765801.921787083</v>
          </cell>
          <cell r="M80">
            <v>1982632.328197774</v>
          </cell>
          <cell r="Q80">
            <v>111000</v>
          </cell>
          <cell r="R80">
            <v>10049.999999999998</v>
          </cell>
          <cell r="U80">
            <v>11353731.919800319</v>
          </cell>
        </row>
        <row r="81">
          <cell r="B81">
            <v>805</v>
          </cell>
          <cell r="F81">
            <v>10930677.959750988</v>
          </cell>
          <cell r="M81">
            <v>984000</v>
          </cell>
          <cell r="Q81">
            <v>-48000</v>
          </cell>
          <cell r="R81">
            <v>0</v>
          </cell>
          <cell r="U81">
            <v>5317514.9832292506</v>
          </cell>
        </row>
        <row r="82">
          <cell r="B82">
            <v>806</v>
          </cell>
          <cell r="F82">
            <v>22434960.361524343</v>
          </cell>
          <cell r="M82">
            <v>2136000</v>
          </cell>
          <cell r="Q82">
            <v>330000</v>
          </cell>
          <cell r="R82">
            <v>1172834.9999999998</v>
          </cell>
          <cell r="U82">
            <v>9675763.4707125351</v>
          </cell>
        </row>
        <row r="83">
          <cell r="B83">
            <v>807</v>
          </cell>
          <cell r="F83">
            <v>16007568.14834236</v>
          </cell>
          <cell r="M83">
            <v>1556000</v>
          </cell>
          <cell r="Q83">
            <v>-174000</v>
          </cell>
          <cell r="R83">
            <v>134670</v>
          </cell>
          <cell r="U83">
            <v>7280384.9369979016</v>
          </cell>
        </row>
        <row r="84">
          <cell r="B84">
            <v>808</v>
          </cell>
          <cell r="F84">
            <v>23445509.290585488</v>
          </cell>
          <cell r="M84">
            <v>2220000</v>
          </cell>
          <cell r="Q84">
            <v>-624000</v>
          </cell>
          <cell r="R84">
            <v>25124.999999999996</v>
          </cell>
          <cell r="U84">
            <v>10719072.944661029</v>
          </cell>
        </row>
        <row r="85">
          <cell r="B85">
            <v>810</v>
          </cell>
          <cell r="F85">
            <v>30307099.45889803</v>
          </cell>
          <cell r="M85">
            <v>2500000</v>
          </cell>
          <cell r="Q85">
            <v>48000</v>
          </cell>
          <cell r="R85">
            <v>0</v>
          </cell>
          <cell r="U85">
            <v>15304599.45889803</v>
          </cell>
        </row>
        <row r="86">
          <cell r="B86">
            <v>811</v>
          </cell>
          <cell r="F86">
            <v>23780642.052749537</v>
          </cell>
          <cell r="M86">
            <v>1588000</v>
          </cell>
          <cell r="Q86">
            <v>-342000</v>
          </cell>
          <cell r="R86">
            <v>0</v>
          </cell>
          <cell r="U86">
            <v>12380394.052749537</v>
          </cell>
        </row>
        <row r="87">
          <cell r="B87">
            <v>812</v>
          </cell>
          <cell r="F87">
            <v>18206205.750665918</v>
          </cell>
          <cell r="M87">
            <v>1480000</v>
          </cell>
          <cell r="Q87">
            <v>42000</v>
          </cell>
          <cell r="R87">
            <v>0</v>
          </cell>
          <cell r="U87">
            <v>8832205.7506659199</v>
          </cell>
        </row>
        <row r="88">
          <cell r="B88">
            <v>813</v>
          </cell>
          <cell r="F88">
            <v>16523776.165297195</v>
          </cell>
          <cell r="M88">
            <v>1388000</v>
          </cell>
          <cell r="Q88">
            <v>-120000</v>
          </cell>
          <cell r="R88">
            <v>0</v>
          </cell>
          <cell r="U88">
            <v>8010652.717308946</v>
          </cell>
        </row>
        <row r="89">
          <cell r="B89">
            <v>815</v>
          </cell>
          <cell r="F89">
            <v>47451034.90023502</v>
          </cell>
          <cell r="M89">
            <v>3588000</v>
          </cell>
          <cell r="Q89">
            <v>-738000</v>
          </cell>
          <cell r="R89">
            <v>100499.99999999999</v>
          </cell>
          <cell r="U89">
            <v>21928534.90023502</v>
          </cell>
        </row>
        <row r="90">
          <cell r="B90">
            <v>816</v>
          </cell>
          <cell r="F90">
            <v>17114155.808465447</v>
          </cell>
          <cell r="M90">
            <v>1032000</v>
          </cell>
          <cell r="Q90">
            <v>1116000</v>
          </cell>
          <cell r="R90">
            <v>217306.12499999997</v>
          </cell>
          <cell r="U90">
            <v>6758688.9456300111</v>
          </cell>
        </row>
        <row r="91">
          <cell r="B91">
            <v>821</v>
          </cell>
          <cell r="F91">
            <v>27949099.89398082</v>
          </cell>
          <cell r="M91">
            <v>2071706.2092177512</v>
          </cell>
          <cell r="Q91">
            <v>-810000</v>
          </cell>
          <cell r="R91">
            <v>55547.354999999996</v>
          </cell>
          <cell r="U91">
            <v>13728199.020954112</v>
          </cell>
        </row>
        <row r="92">
          <cell r="B92">
            <v>822</v>
          </cell>
          <cell r="F92">
            <v>20185533.203267455</v>
          </cell>
          <cell r="M92">
            <v>1582439.6242345076</v>
          </cell>
          <cell r="Q92">
            <v>306000</v>
          </cell>
          <cell r="R92">
            <v>669329.99999999988</v>
          </cell>
          <cell r="U92">
            <v>8429526.2000988349</v>
          </cell>
        </row>
        <row r="93">
          <cell r="B93">
            <v>823</v>
          </cell>
          <cell r="F93">
            <v>27321467.706474118</v>
          </cell>
          <cell r="M93">
            <v>2546642.8105403977</v>
          </cell>
          <cell r="Q93">
            <v>228000</v>
          </cell>
          <cell r="R93">
            <v>665807.47499999998</v>
          </cell>
          <cell r="U93">
            <v>12029757.851346808</v>
          </cell>
        </row>
        <row r="94">
          <cell r="B94">
            <v>825</v>
          </cell>
          <cell r="F94">
            <v>64624001.62059553</v>
          </cell>
          <cell r="M94">
            <v>6254687.5579076326</v>
          </cell>
          <cell r="Q94">
            <v>-1200000</v>
          </cell>
          <cell r="R94">
            <v>238677.44999999998</v>
          </cell>
          <cell r="U94">
            <v>22510703.639987465</v>
          </cell>
        </row>
        <row r="95">
          <cell r="B95">
            <v>826</v>
          </cell>
          <cell r="F95">
            <v>35627477.293262981</v>
          </cell>
          <cell r="M95">
            <v>3525747.7788664075</v>
          </cell>
          <cell r="Q95">
            <v>6000</v>
          </cell>
          <cell r="R95">
            <v>0</v>
          </cell>
          <cell r="U95">
            <v>14553620.132315319</v>
          </cell>
        </row>
        <row r="96">
          <cell r="B96">
            <v>830</v>
          </cell>
          <cell r="F96">
            <v>68021497.925401479</v>
          </cell>
          <cell r="M96">
            <v>3776000</v>
          </cell>
          <cell r="Q96">
            <v>-1446000</v>
          </cell>
          <cell r="R96">
            <v>50249.999999999993</v>
          </cell>
          <cell r="U96">
            <v>32615693.434662931</v>
          </cell>
        </row>
        <row r="97">
          <cell r="B97">
            <v>831</v>
          </cell>
          <cell r="F97">
            <v>33528817.924457215</v>
          </cell>
          <cell r="M97">
            <v>2676000</v>
          </cell>
          <cell r="Q97">
            <v>30000</v>
          </cell>
          <cell r="R97">
            <v>250965.58499999996</v>
          </cell>
          <cell r="U97">
            <v>14926823.913717026</v>
          </cell>
        </row>
        <row r="98">
          <cell r="B98">
            <v>835</v>
          </cell>
          <cell r="F98">
            <v>36007129.669677675</v>
          </cell>
          <cell r="M98">
            <v>2974000</v>
          </cell>
          <cell r="Q98">
            <v>-648000</v>
          </cell>
          <cell r="R98">
            <v>0</v>
          </cell>
          <cell r="U98">
            <v>15665886.387657231</v>
          </cell>
        </row>
        <row r="99">
          <cell r="B99">
            <v>836</v>
          </cell>
          <cell r="F99">
            <v>14583727.805031724</v>
          </cell>
          <cell r="M99">
            <v>1048000</v>
          </cell>
          <cell r="Q99">
            <v>-528000</v>
          </cell>
          <cell r="R99">
            <v>910529.99999999988</v>
          </cell>
          <cell r="U99">
            <v>6229197.8050317243</v>
          </cell>
        </row>
        <row r="100">
          <cell r="B100">
            <v>837</v>
          </cell>
          <cell r="F100">
            <v>17213881.185264602</v>
          </cell>
          <cell r="M100">
            <v>1816000</v>
          </cell>
          <cell r="Q100">
            <v>-204000</v>
          </cell>
          <cell r="R100">
            <v>0</v>
          </cell>
          <cell r="U100">
            <v>7433375.067319762</v>
          </cell>
        </row>
        <row r="101">
          <cell r="B101">
            <v>840</v>
          </cell>
          <cell r="F101">
            <v>52538232.68634548</v>
          </cell>
          <cell r="M101">
            <v>5500000</v>
          </cell>
          <cell r="Q101">
            <v>-726000</v>
          </cell>
          <cell r="R101">
            <v>970829.99999999988</v>
          </cell>
          <cell r="U101">
            <v>25334198.629215781</v>
          </cell>
        </row>
        <row r="102">
          <cell r="B102">
            <v>841</v>
          </cell>
          <cell r="F102">
            <v>12085564.909530278</v>
          </cell>
          <cell r="M102">
            <v>1140000</v>
          </cell>
          <cell r="Q102">
            <v>150000</v>
          </cell>
          <cell r="R102">
            <v>101002.49999999999</v>
          </cell>
          <cell r="U102">
            <v>5404165.0651556496</v>
          </cell>
        </row>
        <row r="103">
          <cell r="B103">
            <v>845</v>
          </cell>
          <cell r="F103">
            <v>50440443.319430344</v>
          </cell>
          <cell r="M103">
            <v>4284872.2603960261</v>
          </cell>
          <cell r="Q103">
            <v>-636000</v>
          </cell>
          <cell r="R103">
            <v>0</v>
          </cell>
          <cell r="U103">
            <v>23563176.259624638</v>
          </cell>
        </row>
        <row r="104">
          <cell r="B104">
            <v>846</v>
          </cell>
          <cell r="F104">
            <v>24159398.082031548</v>
          </cell>
          <cell r="M104">
            <v>1916863.7720817036</v>
          </cell>
          <cell r="Q104">
            <v>-186000</v>
          </cell>
          <cell r="R104">
            <v>0</v>
          </cell>
          <cell r="U104">
            <v>10970201.424267376</v>
          </cell>
        </row>
        <row r="105">
          <cell r="B105">
            <v>850</v>
          </cell>
          <cell r="F105">
            <v>114346574.26977327</v>
          </cell>
          <cell r="M105">
            <v>12114969.599627454</v>
          </cell>
          <cell r="Q105">
            <v>-1266000</v>
          </cell>
          <cell r="R105">
            <v>2786864.9999999995</v>
          </cell>
          <cell r="U105">
            <v>54704264.488049574</v>
          </cell>
        </row>
        <row r="106">
          <cell r="B106">
            <v>851</v>
          </cell>
          <cell r="F106">
            <v>21882563.159832116</v>
          </cell>
          <cell r="M106">
            <v>2191765.7023099405</v>
          </cell>
          <cell r="Q106">
            <v>54000</v>
          </cell>
          <cell r="R106">
            <v>663299.99999999988</v>
          </cell>
          <cell r="U106">
            <v>10955094.195200939</v>
          </cell>
        </row>
        <row r="107">
          <cell r="B107">
            <v>852</v>
          </cell>
          <cell r="F107">
            <v>24678288.204009034</v>
          </cell>
          <cell r="M107">
            <v>2328623.3929481194</v>
          </cell>
          <cell r="Q107">
            <v>60000</v>
          </cell>
          <cell r="R107">
            <v>0</v>
          </cell>
          <cell r="U107">
            <v>12121628.078040143</v>
          </cell>
        </row>
        <row r="108">
          <cell r="B108">
            <v>855</v>
          </cell>
          <cell r="F108">
            <v>62002315.296860091</v>
          </cell>
          <cell r="M108">
            <v>6212000</v>
          </cell>
          <cell r="Q108">
            <v>-840000</v>
          </cell>
          <cell r="R108">
            <v>627879.77999999991</v>
          </cell>
          <cell r="U108">
            <v>26283102.505163915</v>
          </cell>
        </row>
        <row r="109">
          <cell r="B109">
            <v>856</v>
          </cell>
          <cell r="F109">
            <v>48184051.136559844</v>
          </cell>
          <cell r="M109">
            <v>4188000</v>
          </cell>
          <cell r="Q109">
            <v>-150000</v>
          </cell>
          <cell r="R109">
            <v>1842164.9999999998</v>
          </cell>
          <cell r="U109">
            <v>21272324.084069826</v>
          </cell>
        </row>
        <row r="110">
          <cell r="B110">
            <v>857</v>
          </cell>
          <cell r="F110">
            <v>3110856.7990257624</v>
          </cell>
          <cell r="M110">
            <v>104000</v>
          </cell>
          <cell r="Q110">
            <v>-180000</v>
          </cell>
          <cell r="R110">
            <v>0</v>
          </cell>
          <cell r="U110">
            <v>1292840.2792338477</v>
          </cell>
        </row>
        <row r="111">
          <cell r="B111">
            <v>860</v>
          </cell>
          <cell r="F111">
            <v>76561324.857762218</v>
          </cell>
          <cell r="M111">
            <v>10352000</v>
          </cell>
          <cell r="Q111">
            <v>1068000</v>
          </cell>
          <cell r="R111">
            <v>335669.99999999988</v>
          </cell>
          <cell r="U111">
            <v>34788055.828696057</v>
          </cell>
        </row>
        <row r="112">
          <cell r="B112">
            <v>861</v>
          </cell>
          <cell r="F112">
            <v>30776717.938260976</v>
          </cell>
          <cell r="M112">
            <v>3060000</v>
          </cell>
          <cell r="Q112">
            <v>-1026000</v>
          </cell>
          <cell r="R112">
            <v>183462.74999999997</v>
          </cell>
          <cell r="U112">
            <v>14787011.688954461</v>
          </cell>
        </row>
        <row r="113">
          <cell r="B113">
            <v>865</v>
          </cell>
          <cell r="F113">
            <v>43601072.742698729</v>
          </cell>
          <cell r="M113">
            <v>2937334.6498601874</v>
          </cell>
          <cell r="Q113">
            <v>-1392000</v>
          </cell>
          <cell r="R113">
            <v>656264.99999999988</v>
          </cell>
          <cell r="U113">
            <v>20078034.611499839</v>
          </cell>
        </row>
        <row r="114">
          <cell r="B114">
            <v>866</v>
          </cell>
          <cell r="F114">
            <v>26626220.833256401</v>
          </cell>
          <cell r="M114">
            <v>2474396.153770729</v>
          </cell>
          <cell r="Q114">
            <v>-246000</v>
          </cell>
          <cell r="R114">
            <v>470339.99999999994</v>
          </cell>
          <cell r="U114">
            <v>10461007.910230415</v>
          </cell>
        </row>
        <row r="115">
          <cell r="B115">
            <v>867</v>
          </cell>
          <cell r="F115">
            <v>13313342.078865491</v>
          </cell>
          <cell r="M115">
            <v>898227.12078960997</v>
          </cell>
          <cell r="Q115">
            <v>-546000</v>
          </cell>
          <cell r="R115">
            <v>20099.999999999996</v>
          </cell>
          <cell r="U115">
            <v>5354702.9212134788</v>
          </cell>
        </row>
        <row r="116">
          <cell r="B116">
            <v>868</v>
          </cell>
          <cell r="F116">
            <v>16175882.629448486</v>
          </cell>
          <cell r="M116">
            <v>1375275.9744147139</v>
          </cell>
          <cell r="Q116">
            <v>582000</v>
          </cell>
          <cell r="R116">
            <v>32863.5</v>
          </cell>
          <cell r="U116">
            <v>5932546.1794796288</v>
          </cell>
        </row>
        <row r="117">
          <cell r="B117">
            <v>869</v>
          </cell>
          <cell r="F117">
            <v>17688456.376342736</v>
          </cell>
          <cell r="M117">
            <v>1805636.2988121687</v>
          </cell>
          <cell r="Q117">
            <v>855000</v>
          </cell>
          <cell r="R117">
            <v>45224.999999999993</v>
          </cell>
          <cell r="U117">
            <v>6566685.737259415</v>
          </cell>
        </row>
        <row r="118">
          <cell r="B118">
            <v>870</v>
          </cell>
          <cell r="F118">
            <v>17482468.993807241</v>
          </cell>
          <cell r="M118">
            <v>1077489.2598972381</v>
          </cell>
          <cell r="Q118">
            <v>-1938000</v>
          </cell>
          <cell r="R118">
            <v>181904.99999999997</v>
          </cell>
          <cell r="U118">
            <v>8350602.0871819099</v>
          </cell>
        </row>
        <row r="119">
          <cell r="B119">
            <v>871</v>
          </cell>
          <cell r="F119">
            <v>20680706.210330673</v>
          </cell>
          <cell r="M119">
            <v>1383871.4492548059</v>
          </cell>
          <cell r="Q119">
            <v>-24000</v>
          </cell>
          <cell r="R119">
            <v>120599.99999999999</v>
          </cell>
          <cell r="U119">
            <v>8804374.2440427616</v>
          </cell>
        </row>
        <row r="120">
          <cell r="B120">
            <v>872</v>
          </cell>
          <cell r="F120">
            <v>15817584.592205299</v>
          </cell>
          <cell r="M120">
            <v>1304772.1506568117</v>
          </cell>
          <cell r="Q120">
            <v>-540000</v>
          </cell>
          <cell r="R120">
            <v>221099.99999999997</v>
          </cell>
          <cell r="U120">
            <v>6408000.9074890036</v>
          </cell>
        </row>
        <row r="121">
          <cell r="B121">
            <v>873</v>
          </cell>
          <cell r="F121">
            <v>62076632.170684002</v>
          </cell>
          <cell r="M121">
            <v>4878380.7872068342</v>
          </cell>
          <cell r="Q121">
            <v>-306000</v>
          </cell>
          <cell r="R121">
            <v>627119.99999999988</v>
          </cell>
          <cell r="U121">
            <v>26941374.609369159</v>
          </cell>
        </row>
        <row r="122">
          <cell r="B122">
            <v>874</v>
          </cell>
          <cell r="F122">
            <v>27700228.137387738</v>
          </cell>
          <cell r="M122">
            <v>2470788.7647700305</v>
          </cell>
          <cell r="Q122">
            <v>204000</v>
          </cell>
          <cell r="R122">
            <v>250244.99999999997</v>
          </cell>
          <cell r="U122">
            <v>12473955.14864408</v>
          </cell>
        </row>
        <row r="123">
          <cell r="B123">
            <v>876</v>
          </cell>
          <cell r="F123">
            <v>16084996.204943024</v>
          </cell>
          <cell r="M123">
            <v>1457909.4618353888</v>
          </cell>
          <cell r="Q123">
            <v>-51000</v>
          </cell>
          <cell r="R123">
            <v>0</v>
          </cell>
          <cell r="U123">
            <v>7324573.1704063891</v>
          </cell>
        </row>
        <row r="124">
          <cell r="B124">
            <v>877</v>
          </cell>
          <cell r="F124">
            <v>19468424.016099118</v>
          </cell>
          <cell r="M124">
            <v>1620793.1396404461</v>
          </cell>
          <cell r="Q124">
            <v>-531000</v>
          </cell>
          <cell r="R124">
            <v>313082.62499999994</v>
          </cell>
          <cell r="U124">
            <v>9052356.5300331302</v>
          </cell>
        </row>
        <row r="125">
          <cell r="B125">
            <v>878</v>
          </cell>
          <cell r="F125">
            <v>65277787.785959296</v>
          </cell>
          <cell r="M125">
            <v>5004000</v>
          </cell>
          <cell r="Q125">
            <v>-1836000</v>
          </cell>
          <cell r="R125">
            <v>1921560</v>
          </cell>
          <cell r="U125">
            <v>29483998.128189392</v>
          </cell>
        </row>
        <row r="126">
          <cell r="B126">
            <v>879</v>
          </cell>
          <cell r="F126">
            <v>29172022.134136163</v>
          </cell>
          <cell r="M126">
            <v>2608000</v>
          </cell>
          <cell r="Q126">
            <v>510000</v>
          </cell>
          <cell r="R126">
            <v>0</v>
          </cell>
          <cell r="U126">
            <v>13050866.505160911</v>
          </cell>
        </row>
        <row r="127">
          <cell r="B127">
            <v>880</v>
          </cell>
          <cell r="F127">
            <v>16311530.397684889</v>
          </cell>
          <cell r="M127">
            <v>2192000</v>
          </cell>
          <cell r="Q127">
            <v>420000</v>
          </cell>
          <cell r="R127">
            <v>65324.999999999993</v>
          </cell>
          <cell r="U127">
            <v>6466746.3528093137</v>
          </cell>
        </row>
        <row r="128">
          <cell r="B128">
            <v>881</v>
          </cell>
          <cell r="F128">
            <v>136570835.73951244</v>
          </cell>
          <cell r="M128">
            <v>11573143.004357072</v>
          </cell>
          <cell r="Q128">
            <v>-1077000</v>
          </cell>
          <cell r="R128">
            <v>0</v>
          </cell>
          <cell r="U128">
            <v>65693839.236778155</v>
          </cell>
        </row>
        <row r="129">
          <cell r="B129">
            <v>882</v>
          </cell>
          <cell r="F129">
            <v>19435861.142549023</v>
          </cell>
          <cell r="M129">
            <v>2276053.0725916242</v>
          </cell>
          <cell r="Q129">
            <v>369000</v>
          </cell>
          <cell r="R129">
            <v>32159.999999999996</v>
          </cell>
          <cell r="U129">
            <v>9267137.9681791551</v>
          </cell>
        </row>
        <row r="130">
          <cell r="B130">
            <v>883</v>
          </cell>
          <cell r="F130">
            <v>21287975.490859844</v>
          </cell>
          <cell r="M130">
            <v>1584602.0863504412</v>
          </cell>
          <cell r="Q130">
            <v>-204000</v>
          </cell>
          <cell r="R130">
            <v>0</v>
          </cell>
          <cell r="U130">
            <v>9612235.5369177442</v>
          </cell>
        </row>
        <row r="131">
          <cell r="B131">
            <v>884</v>
          </cell>
          <cell r="F131">
            <v>14715708.152964769</v>
          </cell>
          <cell r="M131">
            <v>1356000</v>
          </cell>
          <cell r="Q131">
            <v>-228000</v>
          </cell>
          <cell r="R131">
            <v>279389.99999999994</v>
          </cell>
          <cell r="U131">
            <v>6928697.5749637578</v>
          </cell>
        </row>
        <row r="132">
          <cell r="B132">
            <v>885</v>
          </cell>
          <cell r="F132">
            <v>51034436.556883119</v>
          </cell>
          <cell r="M132">
            <v>5798000</v>
          </cell>
          <cell r="Q132">
            <v>-708000</v>
          </cell>
          <cell r="R132">
            <v>561794.99999999988</v>
          </cell>
          <cell r="U132">
            <v>24411626.533382811</v>
          </cell>
        </row>
        <row r="133">
          <cell r="B133">
            <v>886</v>
          </cell>
          <cell r="F133">
            <v>182095107.05742148</v>
          </cell>
          <cell r="M133">
            <v>18037855.587313365</v>
          </cell>
          <cell r="Q133">
            <v>-1230000</v>
          </cell>
          <cell r="R133">
            <v>2987617.7699999996</v>
          </cell>
          <cell r="U133">
            <v>74414016.199373573</v>
          </cell>
        </row>
        <row r="134">
          <cell r="B134">
            <v>887</v>
          </cell>
          <cell r="F134">
            <v>34777852.412784621</v>
          </cell>
          <cell r="M134">
            <v>3373577.5107397842</v>
          </cell>
          <cell r="Q134">
            <v>6000</v>
          </cell>
          <cell r="R134">
            <v>0</v>
          </cell>
          <cell r="U134">
            <v>15214466.63784039</v>
          </cell>
        </row>
        <row r="135">
          <cell r="B135">
            <v>888</v>
          </cell>
          <cell r="F135">
            <v>113871272.11127964</v>
          </cell>
          <cell r="M135">
            <v>11990000</v>
          </cell>
          <cell r="Q135">
            <v>-1056000</v>
          </cell>
          <cell r="R135">
            <v>613049.99999999988</v>
          </cell>
          <cell r="U135">
            <v>54266316.372096732</v>
          </cell>
        </row>
        <row r="136">
          <cell r="B136">
            <v>889</v>
          </cell>
          <cell r="F136">
            <v>18809875.586528853</v>
          </cell>
          <cell r="M136">
            <v>1056000</v>
          </cell>
          <cell r="Q136">
            <v>-30000</v>
          </cell>
          <cell r="R136">
            <v>362202</v>
          </cell>
          <cell r="U136">
            <v>8985313.655233616</v>
          </cell>
        </row>
        <row r="137">
          <cell r="B137">
            <v>890</v>
          </cell>
          <cell r="F137">
            <v>18957463.07859154</v>
          </cell>
          <cell r="M137">
            <v>1840000</v>
          </cell>
          <cell r="Q137">
            <v>354000</v>
          </cell>
          <cell r="R137">
            <v>1137659.9999999998</v>
          </cell>
          <cell r="U137">
            <v>7943875.8886442278</v>
          </cell>
        </row>
        <row r="138">
          <cell r="B138">
            <v>891</v>
          </cell>
          <cell r="F138">
            <v>66871043.595809594</v>
          </cell>
          <cell r="M138">
            <v>4169265.2463902533</v>
          </cell>
          <cell r="Q138">
            <v>-1410000</v>
          </cell>
          <cell r="R138">
            <v>0</v>
          </cell>
          <cell r="U138">
            <v>35189001.391870894</v>
          </cell>
        </row>
        <row r="139">
          <cell r="B139">
            <v>892</v>
          </cell>
          <cell r="F139">
            <v>36054309.58594016</v>
          </cell>
          <cell r="M139">
            <v>2195090.035792171</v>
          </cell>
          <cell r="Q139">
            <v>-288000</v>
          </cell>
          <cell r="R139">
            <v>1375345.5149999999</v>
          </cell>
          <cell r="U139">
            <v>19751656.219677813</v>
          </cell>
        </row>
        <row r="140">
          <cell r="B140">
            <v>893</v>
          </cell>
          <cell r="F140">
            <v>24273321.596532315</v>
          </cell>
          <cell r="M140">
            <v>1852000</v>
          </cell>
          <cell r="Q140">
            <v>-816000</v>
          </cell>
          <cell r="R140">
            <v>105524.99999999999</v>
          </cell>
          <cell r="U140">
            <v>11192596.35898613</v>
          </cell>
        </row>
        <row r="141">
          <cell r="B141">
            <v>894</v>
          </cell>
          <cell r="F141">
            <v>21287047.956614062</v>
          </cell>
          <cell r="M141">
            <v>2328000</v>
          </cell>
          <cell r="Q141">
            <v>48000</v>
          </cell>
          <cell r="R141">
            <v>20166.329999999998</v>
          </cell>
          <cell r="U141">
            <v>9737818.1901758201</v>
          </cell>
        </row>
        <row r="142">
          <cell r="B142">
            <v>895</v>
          </cell>
          <cell r="F142">
            <v>31326672.459411912</v>
          </cell>
          <cell r="M142">
            <v>1632858.5972556355</v>
          </cell>
          <cell r="Q142">
            <v>-1080000</v>
          </cell>
          <cell r="R142">
            <v>0</v>
          </cell>
          <cell r="U142">
            <v>14250402.720666371</v>
          </cell>
        </row>
        <row r="143">
          <cell r="B143">
            <v>896</v>
          </cell>
          <cell r="F143">
            <v>35209638.015234493</v>
          </cell>
          <cell r="M143">
            <v>3917251.9057314997</v>
          </cell>
          <cell r="Q143">
            <v>462000</v>
          </cell>
          <cell r="R143">
            <v>528515.43000000005</v>
          </cell>
          <cell r="U143">
            <v>13988702.297282429</v>
          </cell>
        </row>
        <row r="144">
          <cell r="B144">
            <v>908</v>
          </cell>
          <cell r="F144">
            <v>43295164.106492728</v>
          </cell>
          <cell r="M144">
            <v>1916000</v>
          </cell>
          <cell r="Q144">
            <v>-114000</v>
          </cell>
          <cell r="R144">
            <v>898469.99999999988</v>
          </cell>
          <cell r="U144">
            <v>22407980.441981498</v>
          </cell>
        </row>
        <row r="145">
          <cell r="B145">
            <v>909</v>
          </cell>
          <cell r="F145">
            <v>41185168.071467258</v>
          </cell>
          <cell r="M145">
            <v>2318000</v>
          </cell>
          <cell r="Q145">
            <v>-624000</v>
          </cell>
          <cell r="R145">
            <v>806650.18499999994</v>
          </cell>
          <cell r="U145">
            <v>18989423.098841369</v>
          </cell>
        </row>
        <row r="146">
          <cell r="B146">
            <v>916</v>
          </cell>
          <cell r="F146">
            <v>56448010.977332458</v>
          </cell>
          <cell r="M146">
            <v>4829302.6053379932</v>
          </cell>
          <cell r="Q146">
            <v>-738000</v>
          </cell>
          <cell r="R146">
            <v>1684564.3055461221</v>
          </cell>
          <cell r="U146">
            <v>25031037.222630151</v>
          </cell>
        </row>
        <row r="147">
          <cell r="B147">
            <v>919</v>
          </cell>
          <cell r="F147">
            <v>110049701.28046568</v>
          </cell>
          <cell r="M147">
            <v>9807438.3596554287</v>
          </cell>
          <cell r="Q147">
            <v>702000</v>
          </cell>
          <cell r="R147">
            <v>1335200.7899999998</v>
          </cell>
          <cell r="U147">
            <v>52231156.733745202</v>
          </cell>
        </row>
        <row r="148">
          <cell r="B148">
            <v>921</v>
          </cell>
          <cell r="F148">
            <v>14186015.850925703</v>
          </cell>
          <cell r="M148">
            <v>1056051.1352229631</v>
          </cell>
          <cell r="Q148">
            <v>-174000</v>
          </cell>
          <cell r="R148">
            <v>12059.999999999998</v>
          </cell>
          <cell r="U148">
            <v>6347512.3091687039</v>
          </cell>
        </row>
        <row r="149">
          <cell r="B149">
            <v>925</v>
          </cell>
          <cell r="F149">
            <v>76976806.319102913</v>
          </cell>
          <cell r="M149">
            <v>7208000</v>
          </cell>
          <cell r="Q149">
            <v>-249000</v>
          </cell>
          <cell r="R149">
            <v>1906661.88</v>
          </cell>
          <cell r="U149">
            <v>31789379.439102922</v>
          </cell>
        </row>
        <row r="150">
          <cell r="B150">
            <v>926</v>
          </cell>
          <cell r="F150">
            <v>78576534.951663226</v>
          </cell>
          <cell r="M150">
            <v>6998000</v>
          </cell>
          <cell r="Q150">
            <v>102000</v>
          </cell>
          <cell r="R150">
            <v>0</v>
          </cell>
          <cell r="U150">
            <v>36709414.592171334</v>
          </cell>
        </row>
        <row r="151">
          <cell r="B151">
            <v>928</v>
          </cell>
          <cell r="F151">
            <v>72826930.447510377</v>
          </cell>
          <cell r="M151">
            <v>6540141.4997798847</v>
          </cell>
          <cell r="Q151">
            <v>-558000</v>
          </cell>
          <cell r="R151">
            <v>1315866.5999999999</v>
          </cell>
          <cell r="U151">
            <v>35195923.462147713</v>
          </cell>
        </row>
        <row r="152">
          <cell r="B152">
            <v>929</v>
          </cell>
          <cell r="F152">
            <v>30606080.520679634</v>
          </cell>
          <cell r="M152">
            <v>3068000</v>
          </cell>
          <cell r="Q152">
            <v>-972000</v>
          </cell>
          <cell r="R152">
            <v>0</v>
          </cell>
          <cell r="U152">
            <v>13595513.382198814</v>
          </cell>
        </row>
        <row r="153">
          <cell r="B153">
            <v>931</v>
          </cell>
          <cell r="F153">
            <v>60709666.37124256</v>
          </cell>
          <cell r="M153">
            <v>4869234.3361128364</v>
          </cell>
          <cell r="Q153">
            <v>990000</v>
          </cell>
          <cell r="R153">
            <v>1615034.9999999998</v>
          </cell>
          <cell r="U153">
            <v>27606924.694450296</v>
          </cell>
        </row>
        <row r="154">
          <cell r="B154">
            <v>933</v>
          </cell>
          <cell r="F154">
            <v>48691250.913403779</v>
          </cell>
          <cell r="M154">
            <v>2700000</v>
          </cell>
          <cell r="Q154">
            <v>-744000</v>
          </cell>
          <cell r="R154">
            <v>2116329.0000000005</v>
          </cell>
          <cell r="U154">
            <v>21929084.201767288</v>
          </cell>
        </row>
        <row r="155">
          <cell r="B155">
            <v>935</v>
          </cell>
          <cell r="F155">
            <v>63165773.107563779</v>
          </cell>
          <cell r="M155">
            <v>4832173.6268911725</v>
          </cell>
          <cell r="Q155">
            <v>-378000</v>
          </cell>
          <cell r="R155">
            <v>120599.99999999999</v>
          </cell>
          <cell r="U155">
            <v>32020214.876516294</v>
          </cell>
        </row>
        <row r="156">
          <cell r="B156">
            <v>936</v>
          </cell>
          <cell r="F156">
            <v>124755439.84663956</v>
          </cell>
          <cell r="M156">
            <v>11593146.690574033</v>
          </cell>
          <cell r="Q156">
            <v>-1170000</v>
          </cell>
          <cell r="R156">
            <v>637169.99999999988</v>
          </cell>
          <cell r="U156">
            <v>49214453.051170573</v>
          </cell>
        </row>
        <row r="157">
          <cell r="B157">
            <v>937</v>
          </cell>
          <cell r="F157">
            <v>54888626.392443366</v>
          </cell>
          <cell r="M157">
            <v>6451256.5252080178</v>
          </cell>
          <cell r="Q157">
            <v>-396000</v>
          </cell>
          <cell r="R157">
            <v>103789.28991690646</v>
          </cell>
          <cell r="U157">
            <v>22101701.845703132</v>
          </cell>
        </row>
        <row r="158">
          <cell r="B158">
            <v>938</v>
          </cell>
          <cell r="F158">
            <v>75227499.6490058</v>
          </cell>
          <cell r="M158">
            <v>7688890.8949720608</v>
          </cell>
          <cell r="Q158">
            <v>-1266000</v>
          </cell>
          <cell r="R158">
            <v>531745.5</v>
          </cell>
          <cell r="U158">
            <v>33641105.69383236</v>
          </cell>
        </row>
      </sheetData>
      <sheetData sheetId="21">
        <row r="8">
          <cell r="N8">
            <v>43531999.998000003</v>
          </cell>
        </row>
        <row r="9">
          <cell r="N9">
            <v>1419000</v>
          </cell>
        </row>
        <row r="10">
          <cell r="N10">
            <v>6000</v>
          </cell>
        </row>
        <row r="11">
          <cell r="N11">
            <v>-678000</v>
          </cell>
        </row>
        <row r="12">
          <cell r="N12">
            <v>2058000</v>
          </cell>
        </row>
        <row r="13">
          <cell r="N13">
            <v>-240000</v>
          </cell>
        </row>
        <row r="14">
          <cell r="N14">
            <v>405000</v>
          </cell>
        </row>
        <row r="15">
          <cell r="N15">
            <v>-204000</v>
          </cell>
        </row>
        <row r="16">
          <cell r="N16">
            <v>-1968000</v>
          </cell>
        </row>
        <row r="17">
          <cell r="N17">
            <v>-1482000</v>
          </cell>
        </row>
        <row r="18">
          <cell r="N18">
            <v>1224000</v>
          </cell>
        </row>
        <row r="19">
          <cell r="N19">
            <v>1060000.0019999999</v>
          </cell>
        </row>
        <row r="20">
          <cell r="N20">
            <v>120000</v>
          </cell>
        </row>
        <row r="21">
          <cell r="N21">
            <v>288000</v>
          </cell>
        </row>
        <row r="22">
          <cell r="N22">
            <v>381000</v>
          </cell>
        </row>
        <row r="23">
          <cell r="N23">
            <v>-1305000</v>
          </cell>
        </row>
        <row r="24">
          <cell r="N24">
            <v>-2067000</v>
          </cell>
        </row>
        <row r="25">
          <cell r="N25">
            <v>483000</v>
          </cell>
        </row>
        <row r="26">
          <cell r="N26">
            <v>-1638000</v>
          </cell>
        </row>
        <row r="27">
          <cell r="N27">
            <v>-1065000</v>
          </cell>
        </row>
        <row r="28">
          <cell r="N28">
            <v>-1566000</v>
          </cell>
        </row>
        <row r="29">
          <cell r="N29">
            <v>-519000</v>
          </cell>
        </row>
        <row r="30">
          <cell r="N30">
            <v>-1479000</v>
          </cell>
        </row>
        <row r="31">
          <cell r="N31">
            <v>-516000</v>
          </cell>
        </row>
        <row r="32">
          <cell r="N32">
            <v>978000</v>
          </cell>
        </row>
        <row r="33">
          <cell r="N33">
            <v>-1029000</v>
          </cell>
        </row>
        <row r="34">
          <cell r="N34">
            <v>1368000</v>
          </cell>
        </row>
        <row r="35">
          <cell r="N35">
            <v>-1176000</v>
          </cell>
        </row>
        <row r="36">
          <cell r="N36">
            <v>-366000</v>
          </cell>
        </row>
        <row r="37">
          <cell r="N37">
            <v>-1479000</v>
          </cell>
        </row>
        <row r="38">
          <cell r="N38">
            <v>318000</v>
          </cell>
        </row>
        <row r="39">
          <cell r="N39">
            <v>18000</v>
          </cell>
        </row>
        <row r="40">
          <cell r="N40">
            <v>405000</v>
          </cell>
        </row>
        <row r="41">
          <cell r="N41">
            <v>-2778000</v>
          </cell>
        </row>
        <row r="42">
          <cell r="N42">
            <v>678000</v>
          </cell>
        </row>
        <row r="43">
          <cell r="N43">
            <v>150000</v>
          </cell>
        </row>
        <row r="44">
          <cell r="N44">
            <v>-576000</v>
          </cell>
        </row>
        <row r="45">
          <cell r="N45">
            <v>186000</v>
          </cell>
        </row>
        <row r="46">
          <cell r="N46">
            <v>18000</v>
          </cell>
        </row>
        <row r="47">
          <cell r="N47">
            <v>246000</v>
          </cell>
        </row>
        <row r="48">
          <cell r="N48">
            <v>-1188000</v>
          </cell>
        </row>
        <row r="49">
          <cell r="N49">
            <v>-279000</v>
          </cell>
        </row>
        <row r="50">
          <cell r="N50">
            <v>465000</v>
          </cell>
        </row>
        <row r="51">
          <cell r="N51">
            <v>-120000</v>
          </cell>
        </row>
        <row r="52">
          <cell r="N52">
            <v>-480000</v>
          </cell>
        </row>
        <row r="53">
          <cell r="N53">
            <v>-480000</v>
          </cell>
        </row>
        <row r="54">
          <cell r="N54">
            <v>24000</v>
          </cell>
        </row>
        <row r="55">
          <cell r="N55">
            <v>-463999.99800000025</v>
          </cell>
        </row>
        <row r="56">
          <cell r="N56">
            <v>55999.998000000232</v>
          </cell>
        </row>
        <row r="57">
          <cell r="N57">
            <v>-372000</v>
          </cell>
        </row>
        <row r="58">
          <cell r="N58">
            <v>-525000</v>
          </cell>
        </row>
        <row r="59">
          <cell r="N59">
            <v>-390000</v>
          </cell>
        </row>
        <row r="60">
          <cell r="N60">
            <v>-408000</v>
          </cell>
        </row>
        <row r="61">
          <cell r="N61">
            <v>-567000</v>
          </cell>
        </row>
        <row r="62">
          <cell r="N62">
            <v>-564000</v>
          </cell>
        </row>
        <row r="63">
          <cell r="N63">
            <v>-393000</v>
          </cell>
        </row>
        <row r="64">
          <cell r="N64">
            <v>-261000</v>
          </cell>
        </row>
        <row r="65">
          <cell r="N65">
            <v>297000</v>
          </cell>
        </row>
        <row r="66">
          <cell r="N66">
            <v>-114000</v>
          </cell>
        </row>
        <row r="67">
          <cell r="N67">
            <v>-966000</v>
          </cell>
        </row>
        <row r="68">
          <cell r="N68">
            <v>-180000</v>
          </cell>
        </row>
        <row r="69">
          <cell r="N69">
            <v>-390000</v>
          </cell>
        </row>
        <row r="70">
          <cell r="N70">
            <v>-42000</v>
          </cell>
        </row>
        <row r="71">
          <cell r="N71">
            <v>-60000</v>
          </cell>
        </row>
        <row r="72">
          <cell r="N72">
            <v>48000</v>
          </cell>
        </row>
        <row r="73">
          <cell r="N73">
            <v>1743000</v>
          </cell>
        </row>
        <row r="74">
          <cell r="N74">
            <v>-480000</v>
          </cell>
        </row>
        <row r="75">
          <cell r="N75">
            <v>174000</v>
          </cell>
        </row>
        <row r="76">
          <cell r="N76">
            <v>-387000</v>
          </cell>
        </row>
        <row r="77">
          <cell r="N77">
            <v>492000</v>
          </cell>
        </row>
        <row r="78">
          <cell r="N78">
            <v>111000</v>
          </cell>
        </row>
        <row r="79">
          <cell r="N79">
            <v>36000</v>
          </cell>
        </row>
        <row r="80">
          <cell r="N80">
            <v>-72000</v>
          </cell>
        </row>
        <row r="81">
          <cell r="N81">
            <v>-12000</v>
          </cell>
        </row>
        <row r="82">
          <cell r="N82">
            <v>561000</v>
          </cell>
        </row>
        <row r="83">
          <cell r="N83">
            <v>-120000</v>
          </cell>
        </row>
        <row r="84">
          <cell r="N84">
            <v>-807000</v>
          </cell>
        </row>
        <row r="85">
          <cell r="N85">
            <v>168000</v>
          </cell>
        </row>
        <row r="86">
          <cell r="N86">
            <v>-429000</v>
          </cell>
        </row>
        <row r="87">
          <cell r="N87">
            <v>-18000</v>
          </cell>
        </row>
        <row r="88">
          <cell r="N88">
            <v>-453000</v>
          </cell>
        </row>
        <row r="89">
          <cell r="N89">
            <v>-1248000</v>
          </cell>
        </row>
        <row r="90">
          <cell r="N90">
            <v>1278000</v>
          </cell>
        </row>
        <row r="91">
          <cell r="N91">
            <v>-798000</v>
          </cell>
        </row>
        <row r="92">
          <cell r="N92">
            <v>477000</v>
          </cell>
        </row>
        <row r="93">
          <cell r="N93">
            <v>165000</v>
          </cell>
        </row>
        <row r="94">
          <cell r="N94">
            <v>-1410000</v>
          </cell>
        </row>
        <row r="95">
          <cell r="N95">
            <v>-36000</v>
          </cell>
        </row>
        <row r="96">
          <cell r="N96">
            <v>-1878000</v>
          </cell>
        </row>
        <row r="97">
          <cell r="N97">
            <v>246000</v>
          </cell>
        </row>
        <row r="98">
          <cell r="N98">
            <v>-576000</v>
          </cell>
        </row>
        <row r="99">
          <cell r="N99">
            <v>-561000</v>
          </cell>
        </row>
        <row r="100">
          <cell r="N100">
            <v>-294000</v>
          </cell>
        </row>
        <row r="101">
          <cell r="N101">
            <v>-732000</v>
          </cell>
        </row>
        <row r="102">
          <cell r="N102">
            <v>84000</v>
          </cell>
        </row>
        <row r="103">
          <cell r="N103">
            <v>-648000</v>
          </cell>
        </row>
        <row r="104">
          <cell r="N104">
            <v>-291000</v>
          </cell>
        </row>
        <row r="105">
          <cell r="N105">
            <v>-1305000</v>
          </cell>
        </row>
        <row r="106">
          <cell r="N106">
            <v>-33000</v>
          </cell>
        </row>
        <row r="107">
          <cell r="N107">
            <v>-186000</v>
          </cell>
        </row>
        <row r="108">
          <cell r="N108">
            <v>-834000</v>
          </cell>
        </row>
        <row r="109">
          <cell r="N109">
            <v>-102000</v>
          </cell>
        </row>
        <row r="110">
          <cell r="N110">
            <v>-222000</v>
          </cell>
        </row>
        <row r="111">
          <cell r="N111">
            <v>1242000</v>
          </cell>
        </row>
        <row r="112">
          <cell r="N112">
            <v>-1008000</v>
          </cell>
        </row>
        <row r="113">
          <cell r="N113">
            <v>-1464000</v>
          </cell>
        </row>
        <row r="114">
          <cell r="N114">
            <v>-345000</v>
          </cell>
        </row>
        <row r="115">
          <cell r="N115">
            <v>-432000</v>
          </cell>
        </row>
        <row r="116">
          <cell r="N116">
            <v>876000</v>
          </cell>
        </row>
        <row r="117">
          <cell r="N117">
            <v>768000</v>
          </cell>
        </row>
        <row r="118">
          <cell r="N118">
            <v>-2106000</v>
          </cell>
        </row>
        <row r="119">
          <cell r="N119">
            <v>-228000</v>
          </cell>
        </row>
        <row r="120">
          <cell r="N120">
            <v>-594000</v>
          </cell>
        </row>
        <row r="121">
          <cell r="N121">
            <v>-492000</v>
          </cell>
        </row>
        <row r="122">
          <cell r="N122">
            <v>378000</v>
          </cell>
        </row>
        <row r="123">
          <cell r="N123">
            <v>-36000</v>
          </cell>
        </row>
        <row r="124">
          <cell r="N124">
            <v>-492000</v>
          </cell>
        </row>
        <row r="125">
          <cell r="N125">
            <v>-2157000</v>
          </cell>
        </row>
        <row r="126">
          <cell r="N126">
            <v>348000</v>
          </cell>
        </row>
        <row r="127">
          <cell r="N127">
            <v>534000</v>
          </cell>
        </row>
        <row r="128">
          <cell r="N128">
            <v>-1005000</v>
          </cell>
        </row>
        <row r="129">
          <cell r="N129">
            <v>384000</v>
          </cell>
        </row>
        <row r="130">
          <cell r="N130">
            <v>-375000</v>
          </cell>
        </row>
        <row r="131">
          <cell r="N131">
            <v>-207000</v>
          </cell>
        </row>
        <row r="132">
          <cell r="N132">
            <v>-1044000</v>
          </cell>
        </row>
        <row r="133">
          <cell r="N133">
            <v>-1617000</v>
          </cell>
        </row>
        <row r="134">
          <cell r="N134">
            <v>240000</v>
          </cell>
        </row>
        <row r="135">
          <cell r="N135">
            <v>-1086000</v>
          </cell>
        </row>
        <row r="136">
          <cell r="N136">
            <v>-60000</v>
          </cell>
        </row>
        <row r="137">
          <cell r="N137">
            <v>282000</v>
          </cell>
        </row>
        <row r="138">
          <cell r="N138">
            <v>-1707000</v>
          </cell>
        </row>
        <row r="139">
          <cell r="N139">
            <v>-96000</v>
          </cell>
        </row>
        <row r="140">
          <cell r="N140">
            <v>-804000</v>
          </cell>
        </row>
        <row r="141">
          <cell r="N141">
            <v>-18000</v>
          </cell>
        </row>
        <row r="142">
          <cell r="N142">
            <v>-738000</v>
          </cell>
        </row>
        <row r="143">
          <cell r="N143">
            <v>60000</v>
          </cell>
        </row>
        <row r="144">
          <cell r="N144">
            <v>42000</v>
          </cell>
        </row>
        <row r="145">
          <cell r="N145">
            <v>-768000</v>
          </cell>
        </row>
        <row r="146">
          <cell r="N146">
            <v>-738000</v>
          </cell>
        </row>
        <row r="147">
          <cell r="N147">
            <v>858000</v>
          </cell>
        </row>
        <row r="148">
          <cell r="N148">
            <v>-183000</v>
          </cell>
        </row>
        <row r="149">
          <cell r="N149">
            <v>-222000</v>
          </cell>
        </row>
        <row r="150">
          <cell r="N150">
            <v>-255000</v>
          </cell>
        </row>
        <row r="151">
          <cell r="N151">
            <v>-729000</v>
          </cell>
        </row>
        <row r="152">
          <cell r="N152">
            <v>-900000</v>
          </cell>
        </row>
        <row r="153">
          <cell r="N153">
            <v>1146000</v>
          </cell>
        </row>
        <row r="154">
          <cell r="N154">
            <v>-888000</v>
          </cell>
        </row>
        <row r="155">
          <cell r="N155">
            <v>87000</v>
          </cell>
        </row>
        <row r="156">
          <cell r="N156">
            <v>-615000</v>
          </cell>
        </row>
        <row r="157">
          <cell r="N157">
            <v>-204000</v>
          </cell>
        </row>
        <row r="158">
          <cell r="N158">
            <v>-1062000</v>
          </cell>
        </row>
      </sheetData>
      <sheetData sheetId="22">
        <row r="8">
          <cell r="B8">
            <v>9999</v>
          </cell>
          <cell r="F8">
            <v>72553333.330000013</v>
          </cell>
          <cell r="J8">
            <v>1</v>
          </cell>
          <cell r="M8">
            <v>29021333.332000002</v>
          </cell>
          <cell r="O8">
            <v>0</v>
          </cell>
          <cell r="Q8">
            <v>0</v>
          </cell>
          <cell r="R8">
            <v>0</v>
          </cell>
          <cell r="T8">
            <v>0</v>
          </cell>
          <cell r="U8">
            <v>0</v>
          </cell>
          <cell r="V8">
            <v>0</v>
          </cell>
          <cell r="X8">
            <v>0</v>
          </cell>
          <cell r="Y8">
            <v>0</v>
          </cell>
          <cell r="AA8">
            <v>0</v>
          </cell>
          <cell r="AB8">
            <v>0</v>
          </cell>
          <cell r="AD8">
            <v>0</v>
          </cell>
          <cell r="AE8">
            <v>0</v>
          </cell>
          <cell r="AG8">
            <v>0</v>
          </cell>
          <cell r="AH8">
            <v>0</v>
          </cell>
          <cell r="AJ8">
            <v>0</v>
          </cell>
          <cell r="AK8">
            <v>0</v>
          </cell>
          <cell r="AM8">
            <v>0</v>
          </cell>
          <cell r="AN8">
            <v>0</v>
          </cell>
          <cell r="AP8">
            <v>0</v>
          </cell>
          <cell r="AQ8">
            <v>0</v>
          </cell>
          <cell r="AS8">
            <v>0</v>
          </cell>
          <cell r="AT8">
            <v>0</v>
          </cell>
          <cell r="AV8">
            <v>0</v>
          </cell>
          <cell r="AW8">
            <v>0</v>
          </cell>
          <cell r="AY8">
            <v>0</v>
          </cell>
          <cell r="AZ8">
            <v>0</v>
          </cell>
          <cell r="BD8">
            <v>43531999.998000003</v>
          </cell>
          <cell r="BE8">
            <v>0</v>
          </cell>
          <cell r="BR8">
            <v>0</v>
          </cell>
        </row>
        <row r="9">
          <cell r="B9">
            <v>202</v>
          </cell>
          <cell r="F9">
            <v>33747988.188677274</v>
          </cell>
          <cell r="J9">
            <v>1.205632878027378</v>
          </cell>
          <cell r="M9">
            <v>1702353.6237746577</v>
          </cell>
          <cell r="O9">
            <v>14265131.572961926</v>
          </cell>
          <cell r="Q9">
            <v>58555.130600351447</v>
          </cell>
          <cell r="R9">
            <v>6861110.0288270609</v>
          </cell>
          <cell r="T9">
            <v>6468.220390616887</v>
          </cell>
          <cell r="U9">
            <v>1586878.0902600416</v>
          </cell>
          <cell r="V9">
            <v>2157503.730298982</v>
          </cell>
          <cell r="X9">
            <v>5031.106000008248</v>
          </cell>
          <cell r="Y9">
            <v>171269.42169395002</v>
          </cell>
          <cell r="AA9">
            <v>5441.0211785375568</v>
          </cell>
          <cell r="AB9">
            <v>240562.16778848658</v>
          </cell>
          <cell r="AD9">
            <v>4542.82468440716</v>
          </cell>
          <cell r="AE9">
            <v>273943.23494391056</v>
          </cell>
          <cell r="AG9">
            <v>6178.8684998903118</v>
          </cell>
          <cell r="AH9">
            <v>398542.10522013239</v>
          </cell>
          <cell r="AJ9">
            <v>10146.606301478412</v>
          </cell>
          <cell r="AK9">
            <v>716666.77588175365</v>
          </cell>
          <cell r="AM9">
            <v>3730.2281246167072</v>
          </cell>
          <cell r="AN9">
            <v>356520.02477074886</v>
          </cell>
          <cell r="AP9">
            <v>417.14897579747276</v>
          </cell>
          <cell r="AQ9">
            <v>1287487.4433286157</v>
          </cell>
          <cell r="AS9">
            <v>1410.5904672920321</v>
          </cell>
          <cell r="AT9">
            <v>718997.48138483951</v>
          </cell>
          <cell r="AV9">
            <v>348.42790174991222</v>
          </cell>
          <cell r="AW9">
            <v>613706.72184093448</v>
          </cell>
          <cell r="AY9">
            <v>432.82220321182871</v>
          </cell>
          <cell r="AZ9">
            <v>626146.24600022449</v>
          </cell>
          <cell r="BD9">
            <v>1419000</v>
          </cell>
          <cell r="BE9">
            <v>2509673.2499999995</v>
          </cell>
          <cell r="BR9">
            <v>2064917.2272722684</v>
          </cell>
          <cell r="BS9">
            <v>0</v>
          </cell>
        </row>
        <row r="10">
          <cell r="B10">
            <v>203</v>
          </cell>
          <cell r="F10">
            <v>43173875.765944019</v>
          </cell>
          <cell r="J10">
            <v>1.205632878027378</v>
          </cell>
          <cell r="M10">
            <v>2570409.2959543699</v>
          </cell>
          <cell r="O10">
            <v>20822254.815020937</v>
          </cell>
          <cell r="Q10">
            <v>77347.408636301261</v>
          </cell>
          <cell r="R10">
            <v>9063067.1583734136</v>
          </cell>
          <cell r="T10">
            <v>8412.303406436029</v>
          </cell>
          <cell r="U10">
            <v>2063828.8676215156</v>
          </cell>
          <cell r="V10">
            <v>2882363.4617013424</v>
          </cell>
          <cell r="X10">
            <v>11612.655881159704</v>
          </cell>
          <cell r="Y10">
            <v>395319.21153992967</v>
          </cell>
          <cell r="AA10">
            <v>12547.021361630923</v>
          </cell>
          <cell r="AB10">
            <v>554737.53161417681</v>
          </cell>
          <cell r="AD10">
            <v>12213.061054417338</v>
          </cell>
          <cell r="AE10">
            <v>736476.90286141552</v>
          </cell>
          <cell r="AG10">
            <v>11433.016582333625</v>
          </cell>
          <cell r="AH10">
            <v>737438.98220536881</v>
          </cell>
          <cell r="AJ10">
            <v>6489.9217824213756</v>
          </cell>
          <cell r="AK10">
            <v>458390.83348045155</v>
          </cell>
          <cell r="AM10">
            <v>0</v>
          </cell>
          <cell r="AN10">
            <v>0</v>
          </cell>
          <cell r="AP10">
            <v>572.67561706300455</v>
          </cell>
          <cell r="AQ10">
            <v>1767504.4380956432</v>
          </cell>
          <cell r="AS10">
            <v>2700.6176467813266</v>
          </cell>
          <cell r="AT10">
            <v>1376542.1865829406</v>
          </cell>
          <cell r="AV10">
            <v>625.72346369620914</v>
          </cell>
          <cell r="AW10">
            <v>1102123.8361088063</v>
          </cell>
          <cell r="AY10">
            <v>726.99662545050887</v>
          </cell>
          <cell r="AZ10">
            <v>1051716.3964850565</v>
          </cell>
          <cell r="BD10">
            <v>6000</v>
          </cell>
          <cell r="BE10">
            <v>468065.31</v>
          </cell>
          <cell r="BR10">
            <v>3227392.3431329504</v>
          </cell>
          <cell r="BS10">
            <v>0</v>
          </cell>
        </row>
        <row r="11">
          <cell r="B11">
            <v>204</v>
          </cell>
          <cell r="F11">
            <v>41296668.25194253</v>
          </cell>
          <cell r="J11">
            <v>1.205632878027378</v>
          </cell>
          <cell r="M11">
            <v>2989969.5375078972</v>
          </cell>
          <cell r="O11">
            <v>19442307.490913831</v>
          </cell>
          <cell r="Q11">
            <v>71405.184168975931</v>
          </cell>
          <cell r="R11">
            <v>8366795.8757667514</v>
          </cell>
          <cell r="T11">
            <v>11501.134839942168</v>
          </cell>
          <cell r="U11">
            <v>2821626.0096990964</v>
          </cell>
          <cell r="V11">
            <v>3342392.3416717374</v>
          </cell>
          <cell r="X11">
            <v>7945.1206662004206</v>
          </cell>
          <cell r="Y11">
            <v>270468.60507144278</v>
          </cell>
          <cell r="AA11">
            <v>8459.9259051181107</v>
          </cell>
          <cell r="AB11">
            <v>374036.05835847778</v>
          </cell>
          <cell r="AD11">
            <v>6187.3079300365034</v>
          </cell>
          <cell r="AE11">
            <v>373109.52275269345</v>
          </cell>
          <cell r="AG11">
            <v>14075.763850969637</v>
          </cell>
          <cell r="AH11">
            <v>907898.35676976503</v>
          </cell>
          <cell r="AJ11">
            <v>17007.863010332221</v>
          </cell>
          <cell r="AK11">
            <v>1201285.4333844937</v>
          </cell>
          <cell r="AM11">
            <v>2255.739114789224</v>
          </cell>
          <cell r="AN11">
            <v>215594.36533486462</v>
          </cell>
          <cell r="AP11">
            <v>618.48966642804487</v>
          </cell>
          <cell r="AQ11">
            <v>1908904.7931432945</v>
          </cell>
          <cell r="AS11">
            <v>2350.9841121533868</v>
          </cell>
          <cell r="AT11">
            <v>1198329.1356413993</v>
          </cell>
          <cell r="AV11">
            <v>581.11504720919618</v>
          </cell>
          <cell r="AW11">
            <v>1023552.3872918009</v>
          </cell>
          <cell r="AY11">
            <v>608.84460340382589</v>
          </cell>
          <cell r="AZ11">
            <v>880790.68030672241</v>
          </cell>
          <cell r="BD11">
            <v>-678000</v>
          </cell>
          <cell r="BE11">
            <v>0</v>
          </cell>
          <cell r="BR11">
            <v>1564748.8396138698</v>
          </cell>
          <cell r="BS11">
            <v>0</v>
          </cell>
        </row>
        <row r="12">
          <cell r="B12">
            <v>205</v>
          </cell>
          <cell r="F12">
            <v>21933137.358136758</v>
          </cell>
          <cell r="J12">
            <v>1.205632878027378</v>
          </cell>
          <cell r="M12">
            <v>2319637.657324675</v>
          </cell>
          <cell r="O12">
            <v>7957023.3850928396</v>
          </cell>
          <cell r="Q12">
            <v>39233.721995627224</v>
          </cell>
          <cell r="R12">
            <v>4597152.8146637781</v>
          </cell>
          <cell r="T12">
            <v>4531.7730480843975</v>
          </cell>
          <cell r="U12">
            <v>1111800.6075470538</v>
          </cell>
          <cell r="V12">
            <v>1433726.2929793808</v>
          </cell>
          <cell r="X12">
            <v>2979.1188416056511</v>
          </cell>
          <cell r="Y12">
            <v>101415.46633255464</v>
          </cell>
          <cell r="AA12">
            <v>2854.9386551688308</v>
          </cell>
          <cell r="AB12">
            <v>126224.50993200447</v>
          </cell>
          <cell r="AD12">
            <v>3293.7890227707967</v>
          </cell>
          <cell r="AE12">
            <v>198623.38584574405</v>
          </cell>
          <cell r="AG12">
            <v>4640.4809475273778</v>
          </cell>
          <cell r="AH12">
            <v>299314.84155947116</v>
          </cell>
          <cell r="AJ12">
            <v>6081.212236770094</v>
          </cell>
          <cell r="AK12">
            <v>429523.19600137422</v>
          </cell>
          <cell r="AM12">
            <v>2915.2202990701999</v>
          </cell>
          <cell r="AN12">
            <v>278624.89330823236</v>
          </cell>
          <cell r="AP12">
            <v>267.65049892207793</v>
          </cell>
          <cell r="AQ12">
            <v>826075.75843627949</v>
          </cell>
          <cell r="AS12">
            <v>904.22465852053347</v>
          </cell>
          <cell r="AT12">
            <v>460895.82140053815</v>
          </cell>
          <cell r="AV12">
            <v>235.0984112153387</v>
          </cell>
          <cell r="AW12">
            <v>414092.77079232608</v>
          </cell>
          <cell r="AY12">
            <v>312.25891540909089</v>
          </cell>
          <cell r="AZ12">
            <v>451732.24989988341</v>
          </cell>
          <cell r="BD12">
            <v>2058000</v>
          </cell>
          <cell r="BE12">
            <v>303000</v>
          </cell>
          <cell r="BR12">
            <v>0</v>
          </cell>
          <cell r="BS12">
            <v>-179768.2834030129</v>
          </cell>
        </row>
        <row r="13">
          <cell r="B13">
            <v>206</v>
          </cell>
          <cell r="F13">
            <v>27787829.994893081</v>
          </cell>
          <cell r="J13">
            <v>1.205632878027378</v>
          </cell>
          <cell r="M13">
            <v>1844618.3033818882</v>
          </cell>
          <cell r="O13">
            <v>12796427.302864652</v>
          </cell>
          <cell r="Q13">
            <v>47520.376754780991</v>
          </cell>
          <cell r="R13">
            <v>5568129.2174235415</v>
          </cell>
          <cell r="T13">
            <v>7552.4862251876257</v>
          </cell>
          <cell r="U13">
            <v>1852885.9862485279</v>
          </cell>
          <cell r="V13">
            <v>2551466.6037466628</v>
          </cell>
          <cell r="X13">
            <v>2454.6685396637413</v>
          </cell>
          <cell r="Y13">
            <v>83562.075861222664</v>
          </cell>
          <cell r="AA13">
            <v>5008.1989753257276</v>
          </cell>
          <cell r="AB13">
            <v>221425.9350749774</v>
          </cell>
          <cell r="AD13">
            <v>7190.3944845552824</v>
          </cell>
          <cell r="AE13">
            <v>433598.05021376931</v>
          </cell>
          <cell r="AG13">
            <v>7173.5156242628991</v>
          </cell>
          <cell r="AH13">
            <v>462697.66362142202</v>
          </cell>
          <cell r="AJ13">
            <v>12299.86662163531</v>
          </cell>
          <cell r="AK13">
            <v>868754.09310190729</v>
          </cell>
          <cell r="AM13">
            <v>5037.1341643983851</v>
          </cell>
          <cell r="AN13">
            <v>481428.78587336419</v>
          </cell>
          <cell r="AP13">
            <v>412.32644428536327</v>
          </cell>
          <cell r="AQ13">
            <v>1272603.1954288632</v>
          </cell>
          <cell r="AS13">
            <v>1736.1113443594243</v>
          </cell>
          <cell r="AT13">
            <v>884919.97708903335</v>
          </cell>
          <cell r="AV13">
            <v>424.38277306563702</v>
          </cell>
          <cell r="AW13">
            <v>747490.54009691672</v>
          </cell>
          <cell r="AY13">
            <v>352.04480038399436</v>
          </cell>
          <cell r="AZ13">
            <v>509288.86861299595</v>
          </cell>
          <cell r="BD13">
            <v>-240000</v>
          </cell>
          <cell r="BE13">
            <v>0</v>
          </cell>
          <cell r="BR13">
            <v>533545.37124196813</v>
          </cell>
          <cell r="BS13">
            <v>0</v>
          </cell>
        </row>
        <row r="14">
          <cell r="B14">
            <v>207</v>
          </cell>
          <cell r="F14">
            <v>15701113.773267619</v>
          </cell>
          <cell r="J14">
            <v>1.205632878027378</v>
          </cell>
          <cell r="M14">
            <v>728202.25832853629</v>
          </cell>
          <cell r="O14">
            <v>6809805.0384025201</v>
          </cell>
          <cell r="Q14">
            <v>31805.665924357916</v>
          </cell>
          <cell r="R14">
            <v>3726781.4316142164</v>
          </cell>
          <cell r="T14">
            <v>2363.6432573726747</v>
          </cell>
          <cell r="U14">
            <v>579883.41024320771</v>
          </cell>
          <cell r="V14">
            <v>706144.69576219539</v>
          </cell>
          <cell r="X14">
            <v>1734.9057114813968</v>
          </cell>
          <cell r="Y14">
            <v>59059.836524705024</v>
          </cell>
          <cell r="AA14">
            <v>1438.320023486662</v>
          </cell>
          <cell r="AB14">
            <v>63591.993390574891</v>
          </cell>
          <cell r="AD14">
            <v>2113.4744351819936</v>
          </cell>
          <cell r="AE14">
            <v>127447.58249911763</v>
          </cell>
          <cell r="AG14">
            <v>1414.2073659261143</v>
          </cell>
          <cell r="AH14">
            <v>91217.539399651767</v>
          </cell>
          <cell r="AJ14">
            <v>3690.442239641804</v>
          </cell>
          <cell r="AK14">
            <v>260660.29003969204</v>
          </cell>
          <cell r="AM14">
            <v>1089.8921217367497</v>
          </cell>
          <cell r="AN14">
            <v>104167.4539084541</v>
          </cell>
          <cell r="AP14">
            <v>191.6956276063531</v>
          </cell>
          <cell r="AQ14">
            <v>591648.85401517316</v>
          </cell>
          <cell r="AS14">
            <v>542.53479511232013</v>
          </cell>
          <cell r="AT14">
            <v>276537.4928403229</v>
          </cell>
          <cell r="AV14">
            <v>115.74075629062828</v>
          </cell>
          <cell r="AW14">
            <v>203861.0563900682</v>
          </cell>
          <cell r="AY14">
            <v>133.82524946103896</v>
          </cell>
          <cell r="AZ14">
            <v>193599.5356713786</v>
          </cell>
          <cell r="BD14">
            <v>405000</v>
          </cell>
          <cell r="BE14">
            <v>1479650</v>
          </cell>
          <cell r="BR14">
            <v>651109.53231775761</v>
          </cell>
          <cell r="BS14">
            <v>0</v>
          </cell>
        </row>
        <row r="15">
          <cell r="B15">
            <v>208</v>
          </cell>
          <cell r="F15">
            <v>40318690.564337686</v>
          </cell>
          <cell r="J15">
            <v>1.205632878027378</v>
          </cell>
          <cell r="M15">
            <v>2382330.5669820989</v>
          </cell>
          <cell r="O15">
            <v>19484986.659505043</v>
          </cell>
          <cell r="Q15">
            <v>69466.550613765459</v>
          </cell>
          <cell r="R15">
            <v>8139639.3825354753</v>
          </cell>
          <cell r="T15">
            <v>9660.7362516333869</v>
          </cell>
          <cell r="U15">
            <v>2370112.6071302355</v>
          </cell>
          <cell r="V15">
            <v>3225566.911859219</v>
          </cell>
          <cell r="X15">
            <v>5386.7676990263244</v>
          </cell>
          <cell r="Y15">
            <v>183376.89339289928</v>
          </cell>
          <cell r="AA15">
            <v>10921.828242050016</v>
          </cell>
          <cell r="AB15">
            <v>482883.37646707275</v>
          </cell>
          <cell r="AD15">
            <v>12424.046808072129</v>
          </cell>
          <cell r="AE15">
            <v>749199.85034421401</v>
          </cell>
          <cell r="AG15">
            <v>12995.516792257107</v>
          </cell>
          <cell r="AH15">
            <v>838221.53213030379</v>
          </cell>
          <cell r="AJ15">
            <v>12655.528320653386</v>
          </cell>
          <cell r="AK15">
            <v>893874.89857780037</v>
          </cell>
          <cell r="AM15">
            <v>816.21345842453491</v>
          </cell>
          <cell r="AN15">
            <v>78010.360946928573</v>
          </cell>
          <cell r="AP15">
            <v>590.76011023341516</v>
          </cell>
          <cell r="AQ15">
            <v>1823320.3677197159</v>
          </cell>
          <cell r="AS15">
            <v>2254.5334819111968</v>
          </cell>
          <cell r="AT15">
            <v>1149166.9146920084</v>
          </cell>
          <cell r="AV15">
            <v>579.90941433116882</v>
          </cell>
          <cell r="AW15">
            <v>1021428.834621071</v>
          </cell>
          <cell r="AY15">
            <v>640.19105823253767</v>
          </cell>
          <cell r="AZ15">
            <v>926138.31929281109</v>
          </cell>
          <cell r="BD15">
            <v>-204000</v>
          </cell>
          <cell r="BE15">
            <v>0</v>
          </cell>
          <cell r="BR15">
            <v>1522074.5231721699</v>
          </cell>
          <cell r="BS15">
            <v>0</v>
          </cell>
        </row>
        <row r="16">
          <cell r="B16">
            <v>209</v>
          </cell>
          <cell r="F16">
            <v>45408911.219311006</v>
          </cell>
          <cell r="J16">
            <v>1.205632878027378</v>
          </cell>
          <cell r="M16">
            <v>3226273.5816012635</v>
          </cell>
          <cell r="O16">
            <v>23746609.852961957</v>
          </cell>
          <cell r="Q16">
            <v>77147.139753299271</v>
          </cell>
          <cell r="R16">
            <v>9039600.9509285837</v>
          </cell>
          <cell r="T16">
            <v>8609.4243819935054</v>
          </cell>
          <cell r="U16">
            <v>2112189.4580702605</v>
          </cell>
          <cell r="V16">
            <v>3447572.1011666507</v>
          </cell>
          <cell r="X16">
            <v>11728.396637450332</v>
          </cell>
          <cell r="Y16">
            <v>399259.27012670634</v>
          </cell>
          <cell r="AA16">
            <v>15200.619326169181</v>
          </cell>
          <cell r="AB16">
            <v>672060.22855688864</v>
          </cell>
          <cell r="AD16">
            <v>9806.6178298746927</v>
          </cell>
          <cell r="AE16">
            <v>591362.59900046932</v>
          </cell>
          <cell r="AG16">
            <v>12038.244287103369</v>
          </cell>
          <cell r="AH16">
            <v>776476.6674386384</v>
          </cell>
          <cell r="AJ16">
            <v>12627.798764458757</v>
          </cell>
          <cell r="AK16">
            <v>891916.32730340888</v>
          </cell>
          <cell r="AM16">
            <v>1218.894839685679</v>
          </cell>
          <cell r="AN16">
            <v>116497.00874053882</v>
          </cell>
          <cell r="AP16">
            <v>532.88973208810103</v>
          </cell>
          <cell r="AQ16">
            <v>1644709.3929226827</v>
          </cell>
          <cell r="AS16">
            <v>2905.575236045981</v>
          </cell>
          <cell r="AT16">
            <v>1481011.9061003961</v>
          </cell>
          <cell r="AV16">
            <v>714.94029667023517</v>
          </cell>
          <cell r="AW16">
            <v>1259266.7337428173</v>
          </cell>
          <cell r="AY16">
            <v>859.61624203352051</v>
          </cell>
          <cell r="AZ16">
            <v>1243571.7921954319</v>
          </cell>
          <cell r="BD16">
            <v>-1968000</v>
          </cell>
          <cell r="BE16">
            <v>176105.4496209588</v>
          </cell>
          <cell r="BR16">
            <v>5109944.9925310835</v>
          </cell>
          <cell r="BS16">
            <v>0</v>
          </cell>
        </row>
        <row r="17">
          <cell r="B17">
            <v>210</v>
          </cell>
          <cell r="F17">
            <v>42561608.306848384</v>
          </cell>
          <cell r="J17">
            <v>1.205632878027378</v>
          </cell>
          <cell r="M17">
            <v>2751254.2276584767</v>
          </cell>
          <cell r="O17">
            <v>19286805.687912494</v>
          </cell>
          <cell r="Q17">
            <v>72094.683200654021</v>
          </cell>
          <cell r="R17">
            <v>8447586.8956587762</v>
          </cell>
          <cell r="T17">
            <v>11009.035686492116</v>
          </cell>
          <cell r="U17">
            <v>2700897.0738115353</v>
          </cell>
          <cell r="V17">
            <v>3375431.5967093194</v>
          </cell>
          <cell r="X17">
            <v>3685.6197081296946</v>
          </cell>
          <cell r="Y17">
            <v>125466.2406226708</v>
          </cell>
          <cell r="AA17">
            <v>8396.0273625826594</v>
          </cell>
          <cell r="AB17">
            <v>371210.93208043883</v>
          </cell>
          <cell r="AD17">
            <v>13851.516135656546</v>
          </cell>
          <cell r="AE17">
            <v>835279.67788497568</v>
          </cell>
          <cell r="AG17">
            <v>18401.574617331869</v>
          </cell>
          <cell r="AH17">
            <v>1186916.7125804645</v>
          </cell>
          <cell r="AJ17">
            <v>11185.861842338012</v>
          </cell>
          <cell r="AK17">
            <v>790070.62103504164</v>
          </cell>
          <cell r="AM17">
            <v>695.65017062179709</v>
          </cell>
          <cell r="AN17">
            <v>66487.412505727887</v>
          </cell>
          <cell r="AP17">
            <v>525.65593481993676</v>
          </cell>
          <cell r="AQ17">
            <v>1622383.0210730536</v>
          </cell>
          <cell r="AS17">
            <v>2435.3784136153035</v>
          </cell>
          <cell r="AT17">
            <v>1241346.0789721161</v>
          </cell>
          <cell r="AV17">
            <v>638.98542535451031</v>
          </cell>
          <cell r="AW17">
            <v>1125482.9154868349</v>
          </cell>
          <cell r="AY17">
            <v>631.75162808634605</v>
          </cell>
          <cell r="AZ17">
            <v>913929.33956578723</v>
          </cell>
          <cell r="BD17">
            <v>-1482000</v>
          </cell>
          <cell r="BE17">
            <v>2578491.4700000007</v>
          </cell>
          <cell r="BR17">
            <v>957990.85122715682</v>
          </cell>
          <cell r="BS17">
            <v>0</v>
          </cell>
        </row>
        <row r="18">
          <cell r="B18">
            <v>211</v>
          </cell>
          <cell r="F18">
            <v>49573819.222751558</v>
          </cell>
          <cell r="J18">
            <v>1.205632878027378</v>
          </cell>
          <cell r="M18">
            <v>2905575.2360459808</v>
          </cell>
          <cell r="O18">
            <v>21058113.082785994</v>
          </cell>
          <cell r="Q18">
            <v>79308.255977289387</v>
          </cell>
          <cell r="R18">
            <v>9292826.5187969357</v>
          </cell>
          <cell r="T18">
            <v>17003.643295259139</v>
          </cell>
          <cell r="U18">
            <v>4171581.5742744636</v>
          </cell>
          <cell r="V18">
            <v>4796887.5057173334</v>
          </cell>
          <cell r="X18">
            <v>1490.1622372418392</v>
          </cell>
          <cell r="Y18">
            <v>50728.254304750117</v>
          </cell>
          <cell r="AA18">
            <v>2205.1025339120743</v>
          </cell>
          <cell r="AB18">
            <v>97493.50872704231</v>
          </cell>
          <cell r="AD18">
            <v>11242.5265876053</v>
          </cell>
          <cell r="AE18">
            <v>677951.34444054298</v>
          </cell>
          <cell r="AG18">
            <v>15866.128674840294</v>
          </cell>
          <cell r="AH18">
            <v>1023378.3618920863</v>
          </cell>
          <cell r="AJ18">
            <v>30626.692000529481</v>
          </cell>
          <cell r="AK18">
            <v>2163199.3949292051</v>
          </cell>
          <cell r="AM18">
            <v>8204.3317349763074</v>
          </cell>
          <cell r="AN18">
            <v>784136.64142370597</v>
          </cell>
          <cell r="AP18">
            <v>786.07263647385048</v>
          </cell>
          <cell r="AQ18">
            <v>2426132.4076597039</v>
          </cell>
          <cell r="AS18">
            <v>2676.504989220779</v>
          </cell>
          <cell r="AT18">
            <v>1364251.6313455929</v>
          </cell>
          <cell r="AV18">
            <v>637.77979247648295</v>
          </cell>
          <cell r="AW18">
            <v>1123359.3628161049</v>
          </cell>
          <cell r="AY18">
            <v>516.01087179571778</v>
          </cell>
          <cell r="AZ18">
            <v>746491.9033094598</v>
          </cell>
          <cell r="BD18">
            <v>1224000</v>
          </cell>
          <cell r="BE18">
            <v>464600</v>
          </cell>
          <cell r="BR18">
            <v>0</v>
          </cell>
          <cell r="BS18">
            <v>0</v>
          </cell>
        </row>
        <row r="19">
          <cell r="B19">
            <v>212</v>
          </cell>
          <cell r="F19">
            <v>39211813.859214276</v>
          </cell>
          <cell r="J19">
            <v>1.205632878027378</v>
          </cell>
          <cell r="M19">
            <v>4287230.5142653557</v>
          </cell>
          <cell r="O19">
            <v>17844426.015926622</v>
          </cell>
          <cell r="Q19">
            <v>69105.006631935452</v>
          </cell>
          <cell r="R19">
            <v>8097276.0061043575</v>
          </cell>
          <cell r="T19">
            <v>5866.6095844812226</v>
          </cell>
          <cell r="U19">
            <v>1439282.1597773267</v>
          </cell>
          <cell r="V19">
            <v>1856452.10123785</v>
          </cell>
          <cell r="X19">
            <v>9118.2014565210593</v>
          </cell>
          <cell r="Y19">
            <v>310402.74053950253</v>
          </cell>
          <cell r="AA19">
            <v>7928.2418059080373</v>
          </cell>
          <cell r="AB19">
            <v>350528.87555441778</v>
          </cell>
          <cell r="AD19">
            <v>4040.0757742697433</v>
          </cell>
          <cell r="AE19">
            <v>243626.26865632809</v>
          </cell>
          <cell r="AG19">
            <v>3292.583389892769</v>
          </cell>
          <cell r="AH19">
            <v>212374.33938657201</v>
          </cell>
          <cell r="AJ19">
            <v>9507.6208761239031</v>
          </cell>
          <cell r="AK19">
            <v>671534.4812979456</v>
          </cell>
          <cell r="AM19">
            <v>711.32339803615298</v>
          </cell>
          <cell r="AN19">
            <v>67985.395803083986</v>
          </cell>
          <cell r="AP19">
            <v>423.17714018760967</v>
          </cell>
          <cell r="AQ19">
            <v>1306092.7532033068</v>
          </cell>
          <cell r="AS19">
            <v>2085.7448789873638</v>
          </cell>
          <cell r="AT19">
            <v>1063133.0280305746</v>
          </cell>
          <cell r="AV19">
            <v>417.14897579747276</v>
          </cell>
          <cell r="AW19">
            <v>734749.2240725375</v>
          </cell>
          <cell r="AY19">
            <v>476.22498682081431</v>
          </cell>
          <cell r="AZ19">
            <v>688935.28459634725</v>
          </cell>
          <cell r="BD19">
            <v>1060000.0019999999</v>
          </cell>
          <cell r="BE19">
            <v>834236.77</v>
          </cell>
          <cell r="BR19">
            <v>3917662.7392590232</v>
          </cell>
          <cell r="BS19">
            <v>0</v>
          </cell>
        </row>
        <row r="20">
          <cell r="B20">
            <v>213</v>
          </cell>
          <cell r="F20">
            <v>24999751.148918647</v>
          </cell>
          <cell r="J20">
            <v>1.205632878027378</v>
          </cell>
          <cell r="M20">
            <v>1070601.9956883115</v>
          </cell>
          <cell r="O20">
            <v>11439465.205362109</v>
          </cell>
          <cell r="Q20">
            <v>52741.465178075916</v>
          </cell>
          <cell r="R20">
            <v>6179902.4604371386</v>
          </cell>
          <cell r="T20">
            <v>4877.3878080597569</v>
          </cell>
          <cell r="U20">
            <v>1196591.8572501384</v>
          </cell>
          <cell r="V20">
            <v>2045710.1692551028</v>
          </cell>
          <cell r="X20">
            <v>2883.8738442414879</v>
          </cell>
          <cell r="Y20">
            <v>98173.126453852965</v>
          </cell>
          <cell r="AA20">
            <v>3569.8789518390663</v>
          </cell>
          <cell r="AB20">
            <v>157833.94168440255</v>
          </cell>
          <cell r="AD20">
            <v>4841.8216381579496</v>
          </cell>
          <cell r="AE20">
            <v>291973.46909096197</v>
          </cell>
          <cell r="AG20">
            <v>4210.070010071604</v>
          </cell>
          <cell r="AH20">
            <v>271552.98174218583</v>
          </cell>
          <cell r="AJ20">
            <v>10974.876088683222</v>
          </cell>
          <cell r="AK20">
            <v>775168.44829510513</v>
          </cell>
          <cell r="AM20">
            <v>4718.8470845991569</v>
          </cell>
          <cell r="AN20">
            <v>451008.20198859437</v>
          </cell>
          <cell r="AP20">
            <v>379.77435657862407</v>
          </cell>
          <cell r="AQ20">
            <v>1172134.5221055318</v>
          </cell>
          <cell r="AS20">
            <v>1048.9006038838188</v>
          </cell>
          <cell r="AT20">
            <v>534639.15282462421</v>
          </cell>
          <cell r="AV20">
            <v>241.12657560547558</v>
          </cell>
          <cell r="AW20">
            <v>424710.53414597537</v>
          </cell>
          <cell r="AY20">
            <v>251.97727150772198</v>
          </cell>
          <cell r="AZ20">
            <v>364525.25184971286</v>
          </cell>
          <cell r="BD20">
            <v>120000</v>
          </cell>
          <cell r="BE20">
            <v>451470</v>
          </cell>
          <cell r="BR20">
            <v>597365.19856333733</v>
          </cell>
          <cell r="BS20">
            <v>0</v>
          </cell>
        </row>
        <row r="21">
          <cell r="B21">
            <v>301</v>
          </cell>
          <cell r="F21">
            <v>32172136.308866505</v>
          </cell>
          <cell r="J21">
            <v>1.1243577599840504</v>
          </cell>
          <cell r="M21">
            <v>1439177.9327795845</v>
          </cell>
          <cell r="O21">
            <v>12482620.907457069</v>
          </cell>
          <cell r="Q21">
            <v>68710.494396169626</v>
          </cell>
          <cell r="R21">
            <v>8051049.6237266604</v>
          </cell>
          <cell r="T21">
            <v>7732.2083154103148</v>
          </cell>
          <cell r="U21">
            <v>1896978.0285858368</v>
          </cell>
          <cell r="V21">
            <v>3311600.4940102794</v>
          </cell>
          <cell r="X21">
            <v>3971.2316082636662</v>
          </cell>
          <cell r="Y21">
            <v>135189.06994981584</v>
          </cell>
          <cell r="AA21">
            <v>17742.365452548314</v>
          </cell>
          <cell r="AB21">
            <v>784437.65515865351</v>
          </cell>
          <cell r="AD21">
            <v>15049.528617386515</v>
          </cell>
          <cell r="AE21">
            <v>907522.7067376551</v>
          </cell>
          <cell r="AG21">
            <v>14141.047547319402</v>
          </cell>
          <cell r="AH21">
            <v>912109.20893149148</v>
          </cell>
          <cell r="AJ21">
            <v>8103.2463762050511</v>
          </cell>
          <cell r="AK21">
            <v>572341.85323266371</v>
          </cell>
          <cell r="AM21">
            <v>0</v>
          </cell>
          <cell r="AN21">
            <v>0</v>
          </cell>
          <cell r="AP21">
            <v>469.98154367333308</v>
          </cell>
          <cell r="AQ21">
            <v>1450549.7344655872</v>
          </cell>
          <cell r="AS21">
            <v>2136.2797439696956</v>
          </cell>
          <cell r="AT21">
            <v>1088891.3480298386</v>
          </cell>
          <cell r="AV21">
            <v>728.5838284696647</v>
          </cell>
          <cell r="AW21">
            <v>1283297.8952339264</v>
          </cell>
          <cell r="AY21">
            <v>608.27754815137132</v>
          </cell>
          <cell r="AZ21">
            <v>879970.34457772248</v>
          </cell>
          <cell r="BD21">
            <v>288000</v>
          </cell>
          <cell r="BE21">
            <v>0</v>
          </cell>
          <cell r="BR21">
            <v>0</v>
          </cell>
          <cell r="BS21">
            <v>-2546394.8911602497</v>
          </cell>
        </row>
        <row r="22">
          <cell r="B22">
            <v>302</v>
          </cell>
          <cell r="F22">
            <v>45410020.857371598</v>
          </cell>
          <cell r="J22">
            <v>1.1116135618035334</v>
          </cell>
          <cell r="M22">
            <v>2965784.9828918274</v>
          </cell>
          <cell r="O22">
            <v>21625987.189735401</v>
          </cell>
          <cell r="Q22">
            <v>97407.862917874605</v>
          </cell>
          <cell r="R22">
            <v>11413620.946623415</v>
          </cell>
          <cell r="T22">
            <v>6979.821554564387</v>
          </cell>
          <cell r="U22">
            <v>1712391.5435736501</v>
          </cell>
          <cell r="V22">
            <v>1703203.5344741372</v>
          </cell>
          <cell r="X22">
            <v>8480.4998629991569</v>
          </cell>
          <cell r="Y22">
            <v>288694.03809204313</v>
          </cell>
          <cell r="AA22">
            <v>7756.8394342650563</v>
          </cell>
          <cell r="AB22">
            <v>342950.71609987109</v>
          </cell>
          <cell r="AD22">
            <v>8076.9841400644736</v>
          </cell>
          <cell r="AE22">
            <v>487061.53497725638</v>
          </cell>
          <cell r="AG22">
            <v>5104.5294758018254</v>
          </cell>
          <cell r="AH22">
            <v>329246.35367792542</v>
          </cell>
          <cell r="AJ22">
            <v>3613.855689423287</v>
          </cell>
          <cell r="AK22">
            <v>255250.89162704116</v>
          </cell>
          <cell r="AM22">
            <v>0</v>
          </cell>
          <cell r="AN22">
            <v>0</v>
          </cell>
          <cell r="AP22">
            <v>568.03453008160557</v>
          </cell>
          <cell r="AQ22">
            <v>1753180.2000928435</v>
          </cell>
          <cell r="AS22">
            <v>2200.9948523709963</v>
          </cell>
          <cell r="AT22">
            <v>1121877.5343305354</v>
          </cell>
          <cell r="AV22">
            <v>646.95909296965647</v>
          </cell>
          <cell r="AW22">
            <v>1139527.4090206879</v>
          </cell>
          <cell r="AY22">
            <v>723.66042873410026</v>
          </cell>
          <cell r="AZ22">
            <v>1046890.0566291155</v>
          </cell>
          <cell r="BD22">
            <v>381000</v>
          </cell>
          <cell r="BE22">
            <v>546557.46</v>
          </cell>
          <cell r="BR22">
            <v>3410137.5217626914</v>
          </cell>
          <cell r="BS22">
            <v>0</v>
          </cell>
        </row>
        <row r="23">
          <cell r="B23">
            <v>303</v>
          </cell>
          <cell r="F23">
            <v>29630461.972099382</v>
          </cell>
          <cell r="J23">
            <v>1.0870826162281</v>
          </cell>
          <cell r="M23">
            <v>2595953.2875527027</v>
          </cell>
          <cell r="O23">
            <v>14696026.132432904</v>
          </cell>
          <cell r="Q23">
            <v>60140.129123361687</v>
          </cell>
          <cell r="R23">
            <v>7046829.8649952048</v>
          </cell>
          <cell r="T23">
            <v>4788.5989244847788</v>
          </cell>
          <cell r="U23">
            <v>1174808.8743746362</v>
          </cell>
          <cell r="V23">
            <v>1273041.2835167246</v>
          </cell>
          <cell r="X23">
            <v>6686.6451724190429</v>
          </cell>
          <cell r="Y23">
            <v>227627.4544306907</v>
          </cell>
          <cell r="AA23">
            <v>7560.6595958664357</v>
          </cell>
          <cell r="AB23">
            <v>334277.07825634925</v>
          </cell>
          <cell r="AD23">
            <v>5770.2345269387552</v>
          </cell>
          <cell r="AE23">
            <v>347958.99523050425</v>
          </cell>
          <cell r="AG23">
            <v>4584.2273926338976</v>
          </cell>
          <cell r="AH23">
            <v>295686.44095606584</v>
          </cell>
          <cell r="AJ23">
            <v>955.5456196644999</v>
          </cell>
          <cell r="AK23">
            <v>67491.314643114674</v>
          </cell>
          <cell r="AM23">
            <v>0</v>
          </cell>
          <cell r="AN23">
            <v>0</v>
          </cell>
          <cell r="AP23">
            <v>334.82144579825479</v>
          </cell>
          <cell r="AQ23">
            <v>1033391.9828001107</v>
          </cell>
          <cell r="AS23">
            <v>2098.0694493202332</v>
          </cell>
          <cell r="AT23">
            <v>1069415.0320806196</v>
          </cell>
          <cell r="AV23">
            <v>442.44262480483667</v>
          </cell>
          <cell r="AW23">
            <v>779300.42774406844</v>
          </cell>
          <cell r="AY23">
            <v>669.64289159650957</v>
          </cell>
          <cell r="AZ23">
            <v>968745.08660241193</v>
          </cell>
          <cell r="BD23">
            <v>-1305000</v>
          </cell>
          <cell r="BE23">
            <v>297950</v>
          </cell>
          <cell r="BR23">
            <v>2427023.6311926581</v>
          </cell>
          <cell r="BS23">
            <v>0</v>
          </cell>
        </row>
        <row r="24">
          <cell r="B24">
            <v>304</v>
          </cell>
          <cell r="F24">
            <v>47869263.565370545</v>
          </cell>
          <cell r="J24">
            <v>1.1488887055594839</v>
          </cell>
          <cell r="M24">
            <v>3690230.5222570621</v>
          </cell>
          <cell r="O24">
            <v>25953945.224596709</v>
          </cell>
          <cell r="Q24">
            <v>83243.349263436015</v>
          </cell>
          <cell r="R24">
            <v>9753915.2010889128</v>
          </cell>
          <cell r="T24">
            <v>6995.5833281516971</v>
          </cell>
          <cell r="U24">
            <v>1716258.451572893</v>
          </cell>
          <cell r="V24">
            <v>2863468.7711115703</v>
          </cell>
          <cell r="X24">
            <v>13007.717924344477</v>
          </cell>
          <cell r="Y24">
            <v>442810.05537487264</v>
          </cell>
          <cell r="AA24">
            <v>7676.8743305484713</v>
          </cell>
          <cell r="AB24">
            <v>339415.2439768489</v>
          </cell>
          <cell r="AD24">
            <v>8525.9030839569295</v>
          </cell>
          <cell r="AE24">
            <v>514132.4250645659</v>
          </cell>
          <cell r="AG24">
            <v>12279.322485019764</v>
          </cell>
          <cell r="AH24">
            <v>792026.40968060086</v>
          </cell>
          <cell r="AJ24">
            <v>9100.3474367366725</v>
          </cell>
          <cell r="AK24">
            <v>642768.27769887703</v>
          </cell>
          <cell r="AM24">
            <v>1384.4108901991781</v>
          </cell>
          <cell r="AN24">
            <v>132316.35931580496</v>
          </cell>
          <cell r="AP24">
            <v>641.07989770219194</v>
          </cell>
          <cell r="AQ24">
            <v>1978627.2203690885</v>
          </cell>
          <cell r="AS24">
            <v>2286.2885240633727</v>
          </cell>
          <cell r="AT24">
            <v>1165352.8991134933</v>
          </cell>
          <cell r="AV24">
            <v>862.81541787517233</v>
          </cell>
          <cell r="AW24">
            <v>1519727.9523212623</v>
          </cell>
          <cell r="AY24">
            <v>894.98430163083788</v>
          </cell>
          <cell r="AZ24">
            <v>1294737.3229395517</v>
          </cell>
          <cell r="BD24">
            <v>-2067000</v>
          </cell>
          <cell r="BE24">
            <v>0</v>
          </cell>
          <cell r="BR24">
            <v>7335102.5995970592</v>
          </cell>
          <cell r="BS24">
            <v>0</v>
          </cell>
        </row>
        <row r="25">
          <cell r="B25">
            <v>305</v>
          </cell>
          <cell r="F25">
            <v>40976958.173622891</v>
          </cell>
          <cell r="J25">
            <v>1.0870826162281</v>
          </cell>
          <cell r="M25">
            <v>3598243.4597150111</v>
          </cell>
          <cell r="O25">
            <v>20673297.326787718</v>
          </cell>
          <cell r="Q25">
            <v>77870.77380590947</v>
          </cell>
          <cell r="R25">
            <v>9124391.6909484658</v>
          </cell>
          <cell r="T25">
            <v>4602.707797109776</v>
          </cell>
          <cell r="U25">
            <v>1129203.3539392082</v>
          </cell>
          <cell r="V25">
            <v>1279819.3474036814</v>
          </cell>
          <cell r="X25">
            <v>2487.2450259298926</v>
          </cell>
          <cell r="Y25">
            <v>84671.047916992407</v>
          </cell>
          <cell r="AA25">
            <v>5209.2998969650553</v>
          </cell>
          <cell r="AB25">
            <v>230317.14723284336</v>
          </cell>
          <cell r="AD25">
            <v>3605.8530380286074</v>
          </cell>
          <cell r="AE25">
            <v>217441.59517324463</v>
          </cell>
          <cell r="AG25">
            <v>3171.0199915373678</v>
          </cell>
          <cell r="AH25">
            <v>204533.40011117957</v>
          </cell>
          <cell r="AJ25">
            <v>6639.9006199212345</v>
          </cell>
          <cell r="AK25">
            <v>468984.01574532926</v>
          </cell>
          <cell r="AM25">
            <v>772.9157401381791</v>
          </cell>
          <cell r="AN25">
            <v>73872.141224092018</v>
          </cell>
          <cell r="AP25">
            <v>311.99271085746471</v>
          </cell>
          <cell r="AQ25">
            <v>962933.43851828517</v>
          </cell>
          <cell r="AS25">
            <v>2467.6775388377869</v>
          </cell>
          <cell r="AT25">
            <v>1257809.3900637338</v>
          </cell>
          <cell r="AV25">
            <v>529.40923410308471</v>
          </cell>
          <cell r="AW25">
            <v>932479.8730008878</v>
          </cell>
          <cell r="AY25">
            <v>572.89253875220868</v>
          </cell>
          <cell r="AZ25">
            <v>828780.29324589472</v>
          </cell>
          <cell r="BD25">
            <v>483000</v>
          </cell>
          <cell r="BE25">
            <v>707000</v>
          </cell>
          <cell r="BR25">
            <v>6927353.6872452721</v>
          </cell>
          <cell r="BS25">
            <v>0</v>
          </cell>
        </row>
        <row r="26">
          <cell r="B26">
            <v>306</v>
          </cell>
          <cell r="F26">
            <v>55317402.627789266</v>
          </cell>
          <cell r="J26">
            <v>1.0870826162281</v>
          </cell>
          <cell r="M26">
            <v>4800556.8332632901</v>
          </cell>
          <cell r="O26">
            <v>27359993.428959522</v>
          </cell>
          <cell r="Q26">
            <v>98616.93783423891</v>
          </cell>
          <cell r="R26">
            <v>11555292.495285636</v>
          </cell>
          <cell r="T26">
            <v>12916.715646022283</v>
          </cell>
          <cell r="U26">
            <v>3168916.9228874985</v>
          </cell>
          <cell r="V26">
            <v>2984705.1880851267</v>
          </cell>
          <cell r="X26">
            <v>14057.065310445561</v>
          </cell>
          <cell r="Y26">
            <v>478532.04572317703</v>
          </cell>
          <cell r="AA26">
            <v>18467.359484482964</v>
          </cell>
          <cell r="AB26">
            <v>816491.58956417849</v>
          </cell>
          <cell r="AD26">
            <v>10879.522823210824</v>
          </cell>
          <cell r="AE26">
            <v>656061.34594327165</v>
          </cell>
          <cell r="AG26">
            <v>11252.392160577063</v>
          </cell>
          <cell r="AH26">
            <v>725788.55829647556</v>
          </cell>
          <cell r="AJ26">
            <v>3653.684673142644</v>
          </cell>
          <cell r="AK26">
            <v>258064.05974460568</v>
          </cell>
          <cell r="AM26">
            <v>520.7125731732599</v>
          </cell>
          <cell r="AN26">
            <v>49767.588813417831</v>
          </cell>
          <cell r="AP26">
            <v>640.29166095835092</v>
          </cell>
          <cell r="AQ26">
            <v>1976194.4086664456</v>
          </cell>
          <cell r="AS26">
            <v>3087.3146300878038</v>
          </cell>
          <cell r="AT26">
            <v>1573646.9902118961</v>
          </cell>
          <cell r="AV26">
            <v>920.75897594520063</v>
          </cell>
          <cell r="AW26">
            <v>1621787.3766565749</v>
          </cell>
          <cell r="AY26">
            <v>1054.4701377412571</v>
          </cell>
          <cell r="AZ26">
            <v>1525458.9837732788</v>
          </cell>
          <cell r="BD26">
            <v>-1638000</v>
          </cell>
          <cell r="BE26">
            <v>388850</v>
          </cell>
          <cell r="BR26">
            <v>4844994.1893882677</v>
          </cell>
          <cell r="BS26">
            <v>0</v>
          </cell>
        </row>
        <row r="27">
          <cell r="B27">
            <v>307</v>
          </cell>
          <cell r="F27">
            <v>47770787.872282282</v>
          </cell>
          <cell r="J27">
            <v>1.1488887055594839</v>
          </cell>
          <cell r="M27">
            <v>3938390.4826579108</v>
          </cell>
          <cell r="O27">
            <v>24602555.986506972</v>
          </cell>
          <cell r="Q27">
            <v>88691.626516270757</v>
          </cell>
          <cell r="R27">
            <v>10392308.95610225</v>
          </cell>
          <cell r="T27">
            <v>8277.7431235560816</v>
          </cell>
          <cell r="U27">
            <v>2030816.5780231063</v>
          </cell>
          <cell r="V27">
            <v>2531816.7382492246</v>
          </cell>
          <cell r="X27">
            <v>15477.828641297367</v>
          </cell>
          <cell r="Y27">
            <v>526897.81540454726</v>
          </cell>
          <cell r="AA27">
            <v>12166.731391874933</v>
          </cell>
          <cell r="AB27">
            <v>537923.89010997151</v>
          </cell>
          <cell r="AD27">
            <v>8576.4541870015473</v>
          </cell>
          <cell r="AE27">
            <v>517180.77794191957</v>
          </cell>
          <cell r="AG27">
            <v>6964.5633331015915</v>
          </cell>
          <cell r="AH27">
            <v>449220.06881397852</v>
          </cell>
          <cell r="AJ27">
            <v>5811.0790727198691</v>
          </cell>
          <cell r="AK27">
            <v>410443.37187235453</v>
          </cell>
          <cell r="AM27">
            <v>943.2376272643362</v>
          </cell>
          <cell r="AN27">
            <v>90150.814106452992</v>
          </cell>
          <cell r="AP27">
            <v>558.35991090190919</v>
          </cell>
          <cell r="AQ27">
            <v>1723320.482256948</v>
          </cell>
          <cell r="AS27">
            <v>2171.3996535074243</v>
          </cell>
          <cell r="AT27">
            <v>1106792.4519218605</v>
          </cell>
          <cell r="AV27">
            <v>776.64876495821113</v>
          </cell>
          <cell r="AW27">
            <v>1367957.5176686731</v>
          </cell>
          <cell r="AY27">
            <v>789.28654071936546</v>
          </cell>
          <cell r="AZ27">
            <v>1141828.6788953429</v>
          </cell>
          <cell r="BD27">
            <v>-1065000</v>
          </cell>
          <cell r="BE27">
            <v>0</v>
          </cell>
          <cell r="BR27">
            <v>5514228.2852922007</v>
          </cell>
          <cell r="BS27">
            <v>0</v>
          </cell>
        </row>
        <row r="28">
          <cell r="B28">
            <v>308</v>
          </cell>
          <cell r="F28">
            <v>46120793.959801331</v>
          </cell>
          <cell r="J28">
            <v>1.0870826162281</v>
          </cell>
          <cell r="M28">
            <v>3324298.6404255298</v>
          </cell>
          <cell r="O28">
            <v>21057171.906844079</v>
          </cell>
          <cell r="Q28">
            <v>88112.144346750676</v>
          </cell>
          <cell r="R28">
            <v>10324408.997822646</v>
          </cell>
          <cell r="T28">
            <v>10015.292143309478</v>
          </cell>
          <cell r="U28">
            <v>2457097.4255649308</v>
          </cell>
          <cell r="V28">
            <v>3919511.3515123585</v>
          </cell>
          <cell r="X28">
            <v>6794.2663514256246</v>
          </cell>
          <cell r="Y28">
            <v>231291.10554248368</v>
          </cell>
          <cell r="AA28">
            <v>8205.299587289699</v>
          </cell>
          <cell r="AB28">
            <v>362778.34459797613</v>
          </cell>
          <cell r="AD28">
            <v>8213.9962482195242</v>
          </cell>
          <cell r="AE28">
            <v>495323.69403950451</v>
          </cell>
          <cell r="AG28">
            <v>16413.860422428083</v>
          </cell>
          <cell r="AH28">
            <v>1058707.5105514913</v>
          </cell>
          <cell r="AJ28">
            <v>23398.366231693624</v>
          </cell>
          <cell r="AK28">
            <v>1652654.2165852105</v>
          </cell>
          <cell r="AM28">
            <v>1242.5354303487184</v>
          </cell>
          <cell r="AN28">
            <v>118756.48019569225</v>
          </cell>
          <cell r="AP28">
            <v>625.07250433115746</v>
          </cell>
          <cell r="AQ28">
            <v>1929222.045811895</v>
          </cell>
          <cell r="AS28">
            <v>2206.7777109430431</v>
          </cell>
          <cell r="AT28">
            <v>1124825.1373697708</v>
          </cell>
          <cell r="AV28">
            <v>1003.3772547785363</v>
          </cell>
          <cell r="AW28">
            <v>1767307.8496505532</v>
          </cell>
          <cell r="AY28">
            <v>960.98103274564039</v>
          </cell>
          <cell r="AZ28">
            <v>1390212.1047995652</v>
          </cell>
          <cell r="BD28">
            <v>-1566000</v>
          </cell>
          <cell r="BE28">
            <v>392738.5</v>
          </cell>
          <cell r="BR28">
            <v>0</v>
          </cell>
          <cell r="BS28">
            <v>0</v>
          </cell>
        </row>
        <row r="29">
          <cell r="B29">
            <v>309</v>
          </cell>
          <cell r="F29">
            <v>34905933.079483263</v>
          </cell>
          <cell r="J29">
            <v>1.1243577599840504</v>
          </cell>
          <cell r="M29">
            <v>1767490.3986949273</v>
          </cell>
          <cell r="O29">
            <v>16458947.773077577</v>
          </cell>
          <cell r="Q29">
            <v>63935.994619587116</v>
          </cell>
          <cell r="R29">
            <v>7491604.7388142832</v>
          </cell>
          <cell r="T29">
            <v>7335.3100261359468</v>
          </cell>
          <cell r="U29">
            <v>1799605.1560991714</v>
          </cell>
          <cell r="V29">
            <v>2753221.5221120436</v>
          </cell>
          <cell r="X29">
            <v>3928.5060133842721</v>
          </cell>
          <cell r="Y29">
            <v>133734.60090732062</v>
          </cell>
          <cell r="AA29">
            <v>5103.4598725676051</v>
          </cell>
          <cell r="AB29">
            <v>225637.67533365835</v>
          </cell>
          <cell r="AD29">
            <v>8636.1919544374905</v>
          </cell>
          <cell r="AE29">
            <v>520783.10873753659</v>
          </cell>
          <cell r="AG29">
            <v>13112.260196933996</v>
          </cell>
          <cell r="AH29">
            <v>845751.57784519787</v>
          </cell>
          <cell r="AJ29">
            <v>11701.191208154012</v>
          </cell>
          <cell r="AK29">
            <v>826468.94222177472</v>
          </cell>
          <cell r="AM29">
            <v>2101.4246534101903</v>
          </cell>
          <cell r="AN29">
            <v>200845.61706655571</v>
          </cell>
          <cell r="AP29">
            <v>557.681448952089</v>
          </cell>
          <cell r="AQ29">
            <v>1721226.4791744766</v>
          </cell>
          <cell r="AS29">
            <v>1832.7031487740021</v>
          </cell>
          <cell r="AT29">
            <v>934154.15646770375</v>
          </cell>
          <cell r="AV29">
            <v>633.01341887102035</v>
          </cell>
          <cell r="AW29">
            <v>1114964.066383797</v>
          </cell>
          <cell r="AY29">
            <v>733.08125950960084</v>
          </cell>
          <cell r="AZ29">
            <v>1060518.7886592883</v>
          </cell>
          <cell r="BD29">
            <v>-519000</v>
          </cell>
          <cell r="BE29">
            <v>323200</v>
          </cell>
          <cell r="BR29">
            <v>294812.20367202535</v>
          </cell>
          <cell r="BS29">
            <v>0</v>
          </cell>
        </row>
        <row r="30">
          <cell r="B30">
            <v>310</v>
          </cell>
          <cell r="F30">
            <v>28037197.5362821</v>
          </cell>
          <cell r="J30">
            <v>1.1116135618035334</v>
          </cell>
          <cell r="M30">
            <v>2369960.1137651335</v>
          </cell>
          <cell r="O30">
            <v>14670609.103239248</v>
          </cell>
          <cell r="Q30">
            <v>61303.31584056509</v>
          </cell>
          <cell r="R30">
            <v>7183124.5324133812</v>
          </cell>
          <cell r="T30">
            <v>3588.8443842827078</v>
          </cell>
          <cell r="U30">
            <v>880467.60605630337</v>
          </cell>
          <cell r="V30">
            <v>802805.81382162508</v>
          </cell>
          <cell r="X30">
            <v>6233.9288545942154</v>
          </cell>
          <cell r="Y30">
            <v>212216.03953600442</v>
          </cell>
          <cell r="AA30">
            <v>7819.0897937260543</v>
          </cell>
          <cell r="AB30">
            <v>345702.97177507787</v>
          </cell>
          <cell r="AD30">
            <v>1198.3194196242091</v>
          </cell>
          <cell r="AE30">
            <v>72261.537944602576</v>
          </cell>
          <cell r="AG30">
            <v>1400.6330878724521</v>
          </cell>
          <cell r="AH30">
            <v>90341.987289674667</v>
          </cell>
          <cell r="AJ30">
            <v>1164.971012770103</v>
          </cell>
          <cell r="AK30">
            <v>82283.277276265508</v>
          </cell>
          <cell r="AM30">
            <v>0</v>
          </cell>
          <cell r="AN30">
            <v>0</v>
          </cell>
          <cell r="AP30">
            <v>366.83247539516606</v>
          </cell>
          <cell r="AQ30">
            <v>1132190.735872091</v>
          </cell>
          <cell r="AS30">
            <v>1534.0267152888762</v>
          </cell>
          <cell r="AT30">
            <v>781914.64513946418</v>
          </cell>
          <cell r="AV30">
            <v>521.3467604858572</v>
          </cell>
          <cell r="AW30">
            <v>918278.96019021072</v>
          </cell>
          <cell r="AY30">
            <v>420.18992636173562</v>
          </cell>
          <cell r="AZ30">
            <v>607871.64578464767</v>
          </cell>
          <cell r="BD30">
            <v>-1479000</v>
          </cell>
          <cell r="BE30">
            <v>168974.38</v>
          </cell>
          <cell r="BR30">
            <v>3296204.0504510775</v>
          </cell>
          <cell r="BS30">
            <v>0</v>
          </cell>
        </row>
        <row r="31">
          <cell r="B31">
            <v>311</v>
          </cell>
          <cell r="F31">
            <v>24624757.139441065</v>
          </cell>
          <cell r="J31">
            <v>1.0870826162281</v>
          </cell>
          <cell r="M31">
            <v>1491477.3494649532</v>
          </cell>
          <cell r="O31">
            <v>10603814.177797958</v>
          </cell>
          <cell r="Q31">
            <v>60404.589146824575</v>
          </cell>
          <cell r="R31">
            <v>7077817.5735119749</v>
          </cell>
          <cell r="T31">
            <v>4698.9146086459623</v>
          </cell>
          <cell r="U31">
            <v>1152806.2110066665</v>
          </cell>
          <cell r="V31">
            <v>1377819.3320338766</v>
          </cell>
          <cell r="X31">
            <v>8448.8060933247925</v>
          </cell>
          <cell r="Y31">
            <v>287615.11556418927</v>
          </cell>
          <cell r="AA31">
            <v>6469.228649173423</v>
          </cell>
          <cell r="AB31">
            <v>286021.98313494382</v>
          </cell>
          <cell r="AD31">
            <v>4913.6134253510118</v>
          </cell>
          <cell r="AE31">
            <v>296302.68621738488</v>
          </cell>
          <cell r="AG31">
            <v>4401.5975131075766</v>
          </cell>
          <cell r="AH31">
            <v>283906.66336995747</v>
          </cell>
          <cell r="AJ31">
            <v>3171.0199915373678</v>
          </cell>
          <cell r="AK31">
            <v>223972.88374740104</v>
          </cell>
          <cell r="AM31">
            <v>0</v>
          </cell>
          <cell r="AN31">
            <v>0</v>
          </cell>
          <cell r="AP31">
            <v>297.8606368464994</v>
          </cell>
          <cell r="AQ31">
            <v>919316.24443905952</v>
          </cell>
          <cell r="AS31">
            <v>1761.073838289522</v>
          </cell>
          <cell r="AT31">
            <v>897643.70568425057</v>
          </cell>
          <cell r="AV31">
            <v>394.6109896908003</v>
          </cell>
          <cell r="AW31">
            <v>695051.73285281775</v>
          </cell>
          <cell r="AY31">
            <v>584.85044753071782</v>
          </cell>
          <cell r="AZ31">
            <v>846079.31264950917</v>
          </cell>
          <cell r="BD31">
            <v>-516000</v>
          </cell>
          <cell r="BE31">
            <v>78931.5</v>
          </cell>
          <cell r="BR31">
            <v>0</v>
          </cell>
          <cell r="BS31">
            <v>0</v>
          </cell>
        </row>
        <row r="32">
          <cell r="B32">
            <v>312</v>
          </cell>
          <cell r="F32">
            <v>38014464.04410807</v>
          </cell>
          <cell r="J32">
            <v>1.1116135618035334</v>
          </cell>
          <cell r="M32">
            <v>3203670.2851177836</v>
          </cell>
          <cell r="O32">
            <v>15937975.040976947</v>
          </cell>
          <cell r="Q32">
            <v>78295.629720599405</v>
          </cell>
          <cell r="R32">
            <v>9174173.5486131832</v>
          </cell>
          <cell r="T32">
            <v>6615.768113073731</v>
          </cell>
          <cell r="U32">
            <v>1623076.6478067497</v>
          </cell>
          <cell r="V32">
            <v>1988845.6137314637</v>
          </cell>
          <cell r="X32">
            <v>14335.368493018366</v>
          </cell>
          <cell r="Y32">
            <v>488006.07094442099</v>
          </cell>
          <cell r="AA32">
            <v>12866.926977875899</v>
          </cell>
          <cell r="AB32">
            <v>568881.4185806833</v>
          </cell>
          <cell r="AD32">
            <v>9504.2959534202109</v>
          </cell>
          <cell r="AE32">
            <v>573131.86403186643</v>
          </cell>
          <cell r="AG32">
            <v>4544.2762406528445</v>
          </cell>
          <cell r="AH32">
            <v>293109.55876205559</v>
          </cell>
          <cell r="AJ32">
            <v>930.42055122955753</v>
          </cell>
          <cell r="AK32">
            <v>65716.701412437236</v>
          </cell>
          <cell r="AM32">
            <v>0</v>
          </cell>
          <cell r="AN32">
            <v>0</v>
          </cell>
          <cell r="AP32">
            <v>446.86865184502045</v>
          </cell>
          <cell r="AQ32">
            <v>1379214.1691532743</v>
          </cell>
          <cell r="AS32">
            <v>2790.150040126869</v>
          </cell>
          <cell r="AT32">
            <v>1422178.0864493153</v>
          </cell>
          <cell r="AV32">
            <v>626.95004885719288</v>
          </cell>
          <cell r="AW32">
            <v>1104284.2932777801</v>
          </cell>
          <cell r="AY32">
            <v>779.24110682427693</v>
          </cell>
          <cell r="AZ32">
            <v>1127296.3589815821</v>
          </cell>
          <cell r="BD32">
            <v>978000</v>
          </cell>
          <cell r="BE32">
            <v>75750</v>
          </cell>
          <cell r="BR32">
            <v>0</v>
          </cell>
          <cell r="BS32">
            <v>0</v>
          </cell>
        </row>
        <row r="33">
          <cell r="B33">
            <v>313</v>
          </cell>
          <cell r="F33">
            <v>39712694.435232908</v>
          </cell>
          <cell r="J33">
            <v>1.1116135618035334</v>
          </cell>
          <cell r="M33">
            <v>2881302.3521947586</v>
          </cell>
          <cell r="O33">
            <v>21161149.328968402</v>
          </cell>
          <cell r="Q33">
            <v>66844.374850473629</v>
          </cell>
          <cell r="R33">
            <v>7832389.8513259795</v>
          </cell>
          <cell r="T33">
            <v>7345.5424163977486</v>
          </cell>
          <cell r="U33">
            <v>1802115.5151990252</v>
          </cell>
          <cell r="V33">
            <v>1721961.977632896</v>
          </cell>
          <cell r="X33">
            <v>13794.012688420047</v>
          </cell>
          <cell r="Y33">
            <v>469577.18163378729</v>
          </cell>
          <cell r="AA33">
            <v>8088.1002756825092</v>
          </cell>
          <cell r="AB33">
            <v>357596.64808579278</v>
          </cell>
          <cell r="AD33">
            <v>7705.7052104220938</v>
          </cell>
          <cell r="AE33">
            <v>464672.52414840914</v>
          </cell>
          <cell r="AG33">
            <v>2597.8408939348578</v>
          </cell>
          <cell r="AH33">
            <v>167562.87642537279</v>
          </cell>
          <cell r="AJ33">
            <v>3717.2357506710159</v>
          </cell>
          <cell r="AK33">
            <v>262552.74733953422</v>
          </cell>
          <cell r="AM33">
            <v>0</v>
          </cell>
          <cell r="AN33">
            <v>0</v>
          </cell>
          <cell r="AP33">
            <v>416.85508567632502</v>
          </cell>
          <cell r="AQ33">
            <v>1286580.3816728303</v>
          </cell>
          <cell r="AS33">
            <v>1978.6721400102895</v>
          </cell>
          <cell r="AT33">
            <v>1008556.571266845</v>
          </cell>
          <cell r="AV33">
            <v>595.8248691266939</v>
          </cell>
          <cell r="AW33">
            <v>1049461.6687888121</v>
          </cell>
          <cell r="AY33">
            <v>571.36937076701622</v>
          </cell>
          <cell r="AZ33">
            <v>826576.78818335687</v>
          </cell>
          <cell r="BD33">
            <v>-1029000</v>
          </cell>
          <cell r="BE33">
            <v>1171600</v>
          </cell>
          <cell r="BR33">
            <v>7224390.0647486821</v>
          </cell>
          <cell r="BS33">
            <v>0</v>
          </cell>
        </row>
        <row r="34">
          <cell r="B34">
            <v>314</v>
          </cell>
          <cell r="F34">
            <v>19975431.657870386</v>
          </cell>
          <cell r="J34">
            <v>1.1116135618035334</v>
          </cell>
          <cell r="M34">
            <v>2038699.2723476803</v>
          </cell>
          <cell r="O34">
            <v>8976122.3101294581</v>
          </cell>
          <cell r="Q34">
            <v>41847.957550327359</v>
          </cell>
          <cell r="R34">
            <v>4903471.9637830816</v>
          </cell>
          <cell r="T34">
            <v>1956.4398687742189</v>
          </cell>
          <cell r="U34">
            <v>479982.34060990985</v>
          </cell>
          <cell r="V34">
            <v>255564.62464787651</v>
          </cell>
          <cell r="X34">
            <v>3348.1800481522428</v>
          </cell>
          <cell r="Y34">
            <v>113979.08542839611</v>
          </cell>
          <cell r="AA34">
            <v>1422.8653591085229</v>
          </cell>
          <cell r="AB34">
            <v>62908.701147583124</v>
          </cell>
          <cell r="AD34">
            <v>780.35272038608048</v>
          </cell>
          <cell r="AE34">
            <v>47057.142520511137</v>
          </cell>
          <cell r="AG34">
            <v>490.22158075535822</v>
          </cell>
          <cell r="AH34">
            <v>31619.695551386132</v>
          </cell>
          <cell r="AJ34">
            <v>0</v>
          </cell>
          <cell r="AK34">
            <v>0</v>
          </cell>
          <cell r="AM34">
            <v>0</v>
          </cell>
          <cell r="AN34">
            <v>0</v>
          </cell>
          <cell r="AP34">
            <v>164.51880714692294</v>
          </cell>
          <cell r="AQ34">
            <v>507770.39063354378</v>
          </cell>
          <cell r="AS34">
            <v>1144.9619686576395</v>
          </cell>
          <cell r="AT34">
            <v>583602.95977800584</v>
          </cell>
          <cell r="AV34">
            <v>251.22466496759856</v>
          </cell>
          <cell r="AW34">
            <v>442496.89766095439</v>
          </cell>
          <cell r="AY34">
            <v>290.1311396307222</v>
          </cell>
          <cell r="AZ34">
            <v>419720.89827987575</v>
          </cell>
          <cell r="BD34">
            <v>1368000</v>
          </cell>
          <cell r="BE34">
            <v>0</v>
          </cell>
          <cell r="BR34">
            <v>2261387.6840846874</v>
          </cell>
          <cell r="BS34">
            <v>0</v>
          </cell>
        </row>
        <row r="35">
          <cell r="B35">
            <v>315</v>
          </cell>
          <cell r="F35">
            <v>26838356.604061805</v>
          </cell>
          <cell r="J35">
            <v>1.1488887055594839</v>
          </cell>
          <cell r="M35">
            <v>2058808.5603625951</v>
          </cell>
          <cell r="O35">
            <v>15277871.307622733</v>
          </cell>
          <cell r="Q35">
            <v>50468.507137797205</v>
          </cell>
          <cell r="R35">
            <v>5913571.9946800387</v>
          </cell>
          <cell r="T35">
            <v>4487.5592839153442</v>
          </cell>
          <cell r="U35">
            <v>1100953.4425757464</v>
          </cell>
          <cell r="V35">
            <v>941031.39669220487</v>
          </cell>
          <cell r="X35">
            <v>5210.2102797122589</v>
          </cell>
          <cell r="Y35">
            <v>177366.50778352297</v>
          </cell>
          <cell r="AA35">
            <v>5711.1257553361938</v>
          </cell>
          <cell r="AB35">
            <v>252504.21697230104</v>
          </cell>
          <cell r="AD35">
            <v>3777.546063879583</v>
          </cell>
          <cell r="AE35">
            <v>227795.09683496738</v>
          </cell>
          <cell r="AG35">
            <v>2626.3595809089802</v>
          </cell>
          <cell r="AH35">
            <v>169402.3552142453</v>
          </cell>
          <cell r="AJ35">
            <v>903.02652256975432</v>
          </cell>
          <cell r="AK35">
            <v>63781.828843746662</v>
          </cell>
          <cell r="AM35">
            <v>525.04213844068408</v>
          </cell>
          <cell r="AN35">
            <v>50181.391043421456</v>
          </cell>
          <cell r="AP35">
            <v>255.05329263420541</v>
          </cell>
          <cell r="AQ35">
            <v>787195.77584576642</v>
          </cell>
          <cell r="AS35">
            <v>1332.7108984490012</v>
          </cell>
          <cell r="AT35">
            <v>679301.18742294086</v>
          </cell>
          <cell r="AV35">
            <v>306.7532843843822</v>
          </cell>
          <cell r="AW35">
            <v>540302.74736321846</v>
          </cell>
          <cell r="AY35">
            <v>459.55548222379355</v>
          </cell>
          <cell r="AZ35">
            <v>664820.19149656058</v>
          </cell>
          <cell r="BD35">
            <v>-1176000</v>
          </cell>
          <cell r="BE35">
            <v>50500</v>
          </cell>
          <cell r="BR35">
            <v>5735594.6647671312</v>
          </cell>
          <cell r="BS35">
            <v>0</v>
          </cell>
        </row>
        <row r="36">
          <cell r="B36">
            <v>316</v>
          </cell>
          <cell r="F36">
            <v>46569580.502281368</v>
          </cell>
          <cell r="J36">
            <v>1.1243577599840504</v>
          </cell>
          <cell r="M36">
            <v>658873.64735065366</v>
          </cell>
          <cell r="O36">
            <v>22742097.659970224</v>
          </cell>
          <cell r="Q36">
            <v>90787.424294047174</v>
          </cell>
          <cell r="R36">
            <v>10637880.932529692</v>
          </cell>
          <cell r="T36">
            <v>9740.8734536218253</v>
          </cell>
          <cell r="U36">
            <v>2389773.0333944168</v>
          </cell>
          <cell r="V36">
            <v>4018205.58321454</v>
          </cell>
          <cell r="X36">
            <v>23618.259106224963</v>
          </cell>
          <cell r="Y36">
            <v>804015.17649089219</v>
          </cell>
          <cell r="AA36">
            <v>23316.931226549237</v>
          </cell>
          <cell r="AB36">
            <v>1030904.1883827731</v>
          </cell>
          <cell r="AD36">
            <v>16589.898748564665</v>
          </cell>
          <cell r="AE36">
            <v>1000410.7237888755</v>
          </cell>
          <cell r="AG36">
            <v>9639.1190763432642</v>
          </cell>
          <cell r="AH36">
            <v>621731.11617791816</v>
          </cell>
          <cell r="AJ36">
            <v>7944.7119320473003</v>
          </cell>
          <cell r="AK36">
            <v>561144.37837408099</v>
          </cell>
          <cell r="AM36">
            <v>0</v>
          </cell>
          <cell r="AN36">
            <v>0</v>
          </cell>
          <cell r="AP36">
            <v>796.04529406870768</v>
          </cell>
          <cell r="AQ36">
            <v>2456911.9904345353</v>
          </cell>
          <cell r="AS36">
            <v>2574.7792703634755</v>
          </cell>
          <cell r="AT36">
            <v>1312400.6247307004</v>
          </cell>
          <cell r="AV36">
            <v>852.26318206791018</v>
          </cell>
          <cell r="AW36">
            <v>1501141.6737458583</v>
          </cell>
          <cell r="AY36">
            <v>842.14396222805374</v>
          </cell>
          <cell r="AZ36">
            <v>1218295.356910747</v>
          </cell>
          <cell r="BD36">
            <v>-366000</v>
          </cell>
          <cell r="BE36">
            <v>0</v>
          </cell>
          <cell r="BR36">
            <v>799141.25570159405</v>
          </cell>
          <cell r="BS36">
            <v>0</v>
          </cell>
        </row>
        <row r="37">
          <cell r="B37">
            <v>317</v>
          </cell>
          <cell r="F37">
            <v>37420963.001059666</v>
          </cell>
          <cell r="J37">
            <v>1.0870826162281</v>
          </cell>
          <cell r="M37">
            <v>2495941.6868597176</v>
          </cell>
          <cell r="O37">
            <v>19881199.289481558</v>
          </cell>
          <cell r="Q37">
            <v>79590.503718138614</v>
          </cell>
          <cell r="R37">
            <v>9325898.4765485376</v>
          </cell>
          <cell r="T37">
            <v>6787.200314420139</v>
          </cell>
          <cell r="U37">
            <v>1665134.8937929715</v>
          </cell>
          <cell r="V37">
            <v>1472983.3797358037</v>
          </cell>
          <cell r="X37">
            <v>12066.61704013191</v>
          </cell>
          <cell r="Y37">
            <v>410773.00344345102</v>
          </cell>
          <cell r="AA37">
            <v>12860.187349978423</v>
          </cell>
          <cell r="AB37">
            <v>568583.44152014551</v>
          </cell>
          <cell r="AD37">
            <v>2974.2580380000813</v>
          </cell>
          <cell r="AE37">
            <v>179354.90032981525</v>
          </cell>
          <cell r="AG37">
            <v>4383.117108631699</v>
          </cell>
          <cell r="AH37">
            <v>282714.66206660122</v>
          </cell>
          <cell r="AJ37">
            <v>446.79095526974908</v>
          </cell>
          <cell r="AK37">
            <v>31557.372375790816</v>
          </cell>
          <cell r="AM37">
            <v>0</v>
          </cell>
          <cell r="AN37">
            <v>0</v>
          </cell>
          <cell r="AP37">
            <v>409.83014631799369</v>
          </cell>
          <cell r="AQ37">
            <v>1264898.628297538</v>
          </cell>
          <cell r="AS37">
            <v>1554.5281412061829</v>
          </cell>
          <cell r="AT37">
            <v>792364.50563486316</v>
          </cell>
          <cell r="AV37">
            <v>578.32795183334918</v>
          </cell>
          <cell r="AW37">
            <v>1018643.3109578487</v>
          </cell>
          <cell r="AY37">
            <v>679.42663514256253</v>
          </cell>
          <cell r="AZ37">
            <v>982898.82975082402</v>
          </cell>
          <cell r="BD37">
            <v>-1479000</v>
          </cell>
          <cell r="BE37">
            <v>0</v>
          </cell>
          <cell r="BR37">
            <v>4790212.420933947</v>
          </cell>
          <cell r="BS37">
            <v>0</v>
          </cell>
        </row>
        <row r="38">
          <cell r="B38">
            <v>318</v>
          </cell>
          <cell r="F38">
            <v>21107468.205746636</v>
          </cell>
          <cell r="J38">
            <v>1.1116135618035334</v>
          </cell>
          <cell r="M38">
            <v>1647411.2985928366</v>
          </cell>
          <cell r="O38">
            <v>11202855.505861316</v>
          </cell>
          <cell r="Q38">
            <v>47947.928077815734</v>
          </cell>
          <cell r="R38">
            <v>5618226.9055378996</v>
          </cell>
          <cell r="T38">
            <v>1827.492695605009</v>
          </cell>
          <cell r="U38">
            <v>448347.1408878931</v>
          </cell>
          <cell r="V38">
            <v>187550.27560278593</v>
          </cell>
          <cell r="X38">
            <v>1704.1035902448168</v>
          </cell>
          <cell r="Y38">
            <v>58011.267583576104</v>
          </cell>
          <cell r="AA38">
            <v>1863.0643295827219</v>
          </cell>
          <cell r="AB38">
            <v>82371.080565116645</v>
          </cell>
          <cell r="AD38">
            <v>412.40863142911093</v>
          </cell>
          <cell r="AE38">
            <v>24869.230591324264</v>
          </cell>
          <cell r="AG38">
            <v>345.71181772089892</v>
          </cell>
          <cell r="AH38">
            <v>22298.696862768906</v>
          </cell>
          <cell r="AJ38">
            <v>0</v>
          </cell>
          <cell r="AK38">
            <v>0</v>
          </cell>
          <cell r="AM38">
            <v>0</v>
          </cell>
          <cell r="AN38">
            <v>0</v>
          </cell>
          <cell r="AP38">
            <v>153.40267152888762</v>
          </cell>
          <cell r="AQ38">
            <v>473461.58045560168</v>
          </cell>
          <cell r="AS38">
            <v>1000.4522056231801</v>
          </cell>
          <cell r="AT38">
            <v>509944.33378660702</v>
          </cell>
          <cell r="AV38">
            <v>185.63946482119007</v>
          </cell>
          <cell r="AW38">
            <v>326977.79605920077</v>
          </cell>
          <cell r="AY38">
            <v>259.00595990022327</v>
          </cell>
          <cell r="AZ38">
            <v>374693.36896249448</v>
          </cell>
          <cell r="BD38">
            <v>318000</v>
          </cell>
          <cell r="BE38">
            <v>0</v>
          </cell>
          <cell r="BR38">
            <v>3994502.4395990223</v>
          </cell>
          <cell r="BS38">
            <v>0</v>
          </cell>
        </row>
        <row r="39">
          <cell r="B39">
            <v>319</v>
          </cell>
          <cell r="F39">
            <v>29846507.932759378</v>
          </cell>
          <cell r="J39">
            <v>1.1116135618035334</v>
          </cell>
          <cell r="M39">
            <v>2492237.6055635219</v>
          </cell>
          <cell r="O39">
            <v>16830504.635167155</v>
          </cell>
          <cell r="Q39">
            <v>51153.665964158477</v>
          </cell>
          <cell r="R39">
            <v>5993854.4574922472</v>
          </cell>
          <cell r="T39">
            <v>4387.5387284385461</v>
          </cell>
          <cell r="U39">
            <v>1076414.9422655194</v>
          </cell>
          <cell r="V39">
            <v>643465.28820849804</v>
          </cell>
          <cell r="X39">
            <v>2626.7428465417497</v>
          </cell>
          <cell r="Y39">
            <v>89419.846901494035</v>
          </cell>
          <cell r="AA39">
            <v>6124.9907255374692</v>
          </cell>
          <cell r="AB39">
            <v>270802.29947123665</v>
          </cell>
          <cell r="AD39">
            <v>1153.8548771520677</v>
          </cell>
          <cell r="AE39">
            <v>69580.219282465187</v>
          </cell>
          <cell r="AG39">
            <v>1263.9046197706175</v>
          </cell>
          <cell r="AH39">
            <v>81522.888530444514</v>
          </cell>
          <cell r="AJ39">
            <v>1870.8456245153468</v>
          </cell>
          <cell r="AK39">
            <v>132140.0340228577</v>
          </cell>
          <cell r="AM39">
            <v>0</v>
          </cell>
          <cell r="AN39">
            <v>0</v>
          </cell>
          <cell r="AP39">
            <v>202.31366824824309</v>
          </cell>
          <cell r="AQ39">
            <v>624420.34523854707</v>
          </cell>
          <cell r="AS39">
            <v>1678.5364783233356</v>
          </cell>
          <cell r="AT39">
            <v>855573.271130863</v>
          </cell>
          <cell r="AV39">
            <v>254.55950565300915</v>
          </cell>
          <cell r="AW39">
            <v>448370.75028477237</v>
          </cell>
          <cell r="AY39">
            <v>411.29701786730737</v>
          </cell>
          <cell r="AZ39">
            <v>595006.63740825304</v>
          </cell>
          <cell r="BD39">
            <v>18000</v>
          </cell>
          <cell r="BE39">
            <v>268660</v>
          </cell>
          <cell r="BR39">
            <v>8104861.1765899025</v>
          </cell>
          <cell r="BS39">
            <v>0</v>
          </cell>
        </row>
        <row r="40">
          <cell r="B40">
            <v>320</v>
          </cell>
          <cell r="F40">
            <v>36413562.704694204</v>
          </cell>
          <cell r="J40">
            <v>1.0870826162281</v>
          </cell>
          <cell r="M40">
            <v>3261247.8486843002</v>
          </cell>
          <cell r="O40">
            <v>15661426.342139134</v>
          </cell>
          <cell r="Q40">
            <v>67461.29463512951</v>
          </cell>
          <cell r="R40">
            <v>7904676.5062798131</v>
          </cell>
          <cell r="T40">
            <v>6659.4681070133402</v>
          </cell>
          <cell r="U40">
            <v>1633797.7671779848</v>
          </cell>
          <cell r="V40">
            <v>2549192.9742840161</v>
          </cell>
          <cell r="X40">
            <v>15751.827109145168</v>
          </cell>
          <cell r="Y40">
            <v>536225.29908969405</v>
          </cell>
          <cell r="AA40">
            <v>11387.190404989347</v>
          </cell>
          <cell r="AB40">
            <v>503458.28824374668</v>
          </cell>
          <cell r="AD40">
            <v>12386.21932930297</v>
          </cell>
          <cell r="AE40">
            <v>746918.76255771751</v>
          </cell>
          <cell r="AG40">
            <v>4920.1359210483806</v>
          </cell>
          <cell r="AH40">
            <v>317352.81758765806</v>
          </cell>
          <cell r="AJ40">
            <v>4617.9269537369692</v>
          </cell>
          <cell r="AK40">
            <v>326169.62981109344</v>
          </cell>
          <cell r="AM40">
            <v>1245.7966781974026</v>
          </cell>
          <cell r="AN40">
            <v>119068.17699410612</v>
          </cell>
          <cell r="AP40">
            <v>563.10879520615583</v>
          </cell>
          <cell r="AQ40">
            <v>1737977.4256183682</v>
          </cell>
          <cell r="AS40">
            <v>1793.6863167763649</v>
          </cell>
          <cell r="AT40">
            <v>914266.73727099597</v>
          </cell>
          <cell r="AV40">
            <v>707.69078316449304</v>
          </cell>
          <cell r="AW40">
            <v>1246497.7357773676</v>
          </cell>
          <cell r="AY40">
            <v>506.58049916229459</v>
          </cell>
          <cell r="AZ40">
            <v>732849.36746221432</v>
          </cell>
          <cell r="BD40">
            <v>405000</v>
          </cell>
          <cell r="BE40">
            <v>366630</v>
          </cell>
          <cell r="BR40">
            <v>54517.038294188678</v>
          </cell>
          <cell r="BS40">
            <v>0</v>
          </cell>
        </row>
        <row r="41">
          <cell r="B41">
            <v>330</v>
          </cell>
          <cell r="F41">
            <v>165789727.40951037</v>
          </cell>
          <cell r="J41">
            <v>1.0050794999200126</v>
          </cell>
          <cell r="M41">
            <v>18326619.601541512</v>
          </cell>
          <cell r="O41">
            <v>64002086.959733739</v>
          </cell>
          <cell r="Q41">
            <v>276108.70015489939</v>
          </cell>
          <cell r="R41">
            <v>32352624.821364734</v>
          </cell>
          <cell r="T41">
            <v>49192.108504335163</v>
          </cell>
          <cell r="U41">
            <v>12068524.955096532</v>
          </cell>
          <cell r="V41">
            <v>12405234.401574671</v>
          </cell>
          <cell r="X41">
            <v>24307.847705565502</v>
          </cell>
          <cell r="Y41">
            <v>827490.22166298772</v>
          </cell>
          <cell r="AA41">
            <v>28626.674316721797</v>
          </cell>
          <cell r="AB41">
            <v>1265662.1991051589</v>
          </cell>
          <cell r="AD41">
            <v>44634.575511947834</v>
          </cell>
          <cell r="AE41">
            <v>2691572.0626553106</v>
          </cell>
          <cell r="AG41">
            <v>38030.198117973436</v>
          </cell>
          <cell r="AH41">
            <v>2452979.0883468245</v>
          </cell>
          <cell r="AJ41">
            <v>54117.500593693156</v>
          </cell>
          <cell r="AK41">
            <v>3822382.924585327</v>
          </cell>
          <cell r="AM41">
            <v>14074.128237379935</v>
          </cell>
          <cell r="AN41">
            <v>1345147.9052190613</v>
          </cell>
          <cell r="AP41">
            <v>2465.4600133037907</v>
          </cell>
          <cell r="AQ41">
            <v>7609388.9553226214</v>
          </cell>
          <cell r="AS41">
            <v>11799.633329060947</v>
          </cell>
          <cell r="AT41">
            <v>6014436.3949561706</v>
          </cell>
          <cell r="AV41">
            <v>3516.773170220124</v>
          </cell>
          <cell r="AW41">
            <v>6194301.096193674</v>
          </cell>
          <cell r="AY41">
            <v>3220.2747177437204</v>
          </cell>
          <cell r="AZ41">
            <v>4658640.2237267606</v>
          </cell>
          <cell r="BD41">
            <v>-2778000</v>
          </cell>
          <cell r="BE41">
            <v>4935870</v>
          </cell>
          <cell r="BR41">
            <v>0</v>
          </cell>
          <cell r="BS41">
            <v>-7255902.879067719</v>
          </cell>
        </row>
        <row r="42">
          <cell r="B42">
            <v>331</v>
          </cell>
          <cell r="F42">
            <v>39727538.586395591</v>
          </cell>
          <cell r="J42">
            <v>1.0050794999200126</v>
          </cell>
          <cell r="M42">
            <v>3670550.3337078858</v>
          </cell>
          <cell r="O42">
            <v>15160240.382533431</v>
          </cell>
          <cell r="Q42">
            <v>76168.621186339253</v>
          </cell>
          <cell r="R42">
            <v>8924944.4983798731</v>
          </cell>
          <cell r="T42">
            <v>8911.5373860407908</v>
          </cell>
          <cell r="U42">
            <v>2186308.2230401039</v>
          </cell>
          <cell r="V42">
            <v>2501704.7310467814</v>
          </cell>
          <cell r="X42">
            <v>8099.9356898553815</v>
          </cell>
          <cell r="Y42">
            <v>275738.83383841306</v>
          </cell>
          <cell r="AA42">
            <v>5341.9975420748669</v>
          </cell>
          <cell r="AB42">
            <v>236184.06671736256</v>
          </cell>
          <cell r="AD42">
            <v>8241.6518993441023</v>
          </cell>
          <cell r="AE42">
            <v>496991.39619837306</v>
          </cell>
          <cell r="AG42">
            <v>7768.2594548817769</v>
          </cell>
          <cell r="AH42">
            <v>501059.13034073176</v>
          </cell>
          <cell r="AJ42">
            <v>6177.218606508397</v>
          </cell>
          <cell r="AK42">
            <v>436304.23918173648</v>
          </cell>
          <cell r="AM42">
            <v>5811.3696685375126</v>
          </cell>
          <cell r="AN42">
            <v>555427.06477016443</v>
          </cell>
          <cell r="AP42">
            <v>499.52451146024623</v>
          </cell>
          <cell r="AQ42">
            <v>1541731.0684041348</v>
          </cell>
          <cell r="AS42">
            <v>3055.4416797568383</v>
          </cell>
          <cell r="AT42">
            <v>1557400.9063600306</v>
          </cell>
          <cell r="AV42">
            <v>943.76965042489178</v>
          </cell>
          <cell r="AW42">
            <v>1662317.4419336552</v>
          </cell>
          <cell r="AY42">
            <v>930.70361692593167</v>
          </cell>
          <cell r="AZ42">
            <v>1346411.0009896941</v>
          </cell>
          <cell r="BD42">
            <v>678000</v>
          </cell>
          <cell r="BE42">
            <v>497930</v>
          </cell>
          <cell r="BR42">
            <v>0</v>
          </cell>
          <cell r="BS42">
            <v>-1572040.9479043745</v>
          </cell>
        </row>
        <row r="43">
          <cell r="B43">
            <v>332</v>
          </cell>
          <cell r="F43">
            <v>33803037.080251247</v>
          </cell>
          <cell r="J43">
            <v>1.0050794999200126</v>
          </cell>
          <cell r="M43">
            <v>3521798.567719724</v>
          </cell>
          <cell r="O43">
            <v>12381841.811473716</v>
          </cell>
          <cell r="Q43">
            <v>65742.798863174976</v>
          </cell>
          <cell r="R43">
            <v>7703314.3292243415</v>
          </cell>
          <cell r="T43">
            <v>6952.6374406966888</v>
          </cell>
          <cell r="U43">
            <v>1705722.3405943636</v>
          </cell>
          <cell r="V43">
            <v>1977133.6195254591</v>
          </cell>
          <cell r="X43">
            <v>7629.5584838928153</v>
          </cell>
          <cell r="Y43">
            <v>259726.20519511023</v>
          </cell>
          <cell r="AA43">
            <v>11750.384433564866</v>
          </cell>
          <cell r="AB43">
            <v>519516.07224697748</v>
          </cell>
          <cell r="AD43">
            <v>5173.1441860883042</v>
          </cell>
          <cell r="AE43">
            <v>311953.01417475927</v>
          </cell>
          <cell r="AG43">
            <v>5728.9531495440715</v>
          </cell>
          <cell r="AH43">
            <v>369522.19471369789</v>
          </cell>
          <cell r="AJ43">
            <v>5403.3073915699879</v>
          </cell>
          <cell r="AK43">
            <v>381641.97686967388</v>
          </cell>
          <cell r="AM43">
            <v>1410.1265383877776</v>
          </cell>
          <cell r="AN43">
            <v>134774.15632524053</v>
          </cell>
          <cell r="AP43">
            <v>393.99116396864491</v>
          </cell>
          <cell r="AQ43">
            <v>1216013.2370511484</v>
          </cell>
          <cell r="AS43">
            <v>2552.9019297968321</v>
          </cell>
          <cell r="AT43">
            <v>1301249.4414981834</v>
          </cell>
          <cell r="AV43">
            <v>813.10931543529011</v>
          </cell>
          <cell r="AW43">
            <v>1432177.6469907635</v>
          </cell>
          <cell r="AY43">
            <v>809.08899743561005</v>
          </cell>
          <cell r="AZ43">
            <v>1170476.0861735463</v>
          </cell>
          <cell r="BD43">
            <v>150000</v>
          </cell>
          <cell r="BE43">
            <v>1243310</v>
          </cell>
          <cell r="BR43">
            <v>0</v>
          </cell>
          <cell r="BS43">
            <v>-2332397.0709252805</v>
          </cell>
        </row>
        <row r="44">
          <cell r="B44">
            <v>333</v>
          </cell>
          <cell r="F44">
            <v>41868126.498332165</v>
          </cell>
          <cell r="J44">
            <v>1.0050794999200126</v>
          </cell>
          <cell r="M44">
            <v>2355906.3478125096</v>
          </cell>
          <cell r="O44">
            <v>17549646.432445642</v>
          </cell>
          <cell r="Q44">
            <v>77790.042572756734</v>
          </cell>
          <cell r="R44">
            <v>9114932.12920307</v>
          </cell>
          <cell r="T44">
            <v>12309.20863552039</v>
          </cell>
          <cell r="U44">
            <v>3019874.4496218511</v>
          </cell>
          <cell r="V44">
            <v>3434731.1885139989</v>
          </cell>
          <cell r="X44">
            <v>8521.0640003218668</v>
          </cell>
          <cell r="Y44">
            <v>290074.92657675466</v>
          </cell>
          <cell r="AA44">
            <v>11862.953337555908</v>
          </cell>
          <cell r="AB44">
            <v>524493.04599530203</v>
          </cell>
          <cell r="AD44">
            <v>13449.973867929608</v>
          </cell>
          <cell r="AE44">
            <v>811065.71511300351</v>
          </cell>
          <cell r="AG44">
            <v>10355.334087675888</v>
          </cell>
          <cell r="AH44">
            <v>667927.57405881211</v>
          </cell>
          <cell r="AJ44">
            <v>13156.490653952964</v>
          </cell>
          <cell r="AK44">
            <v>929258.45930506522</v>
          </cell>
          <cell r="AM44">
            <v>2217.2053768235478</v>
          </cell>
          <cell r="AN44">
            <v>211911.467465061</v>
          </cell>
          <cell r="AP44">
            <v>545.75816845656686</v>
          </cell>
          <cell r="AQ44">
            <v>1684426.4992825862</v>
          </cell>
          <cell r="AS44">
            <v>2361.9368248120295</v>
          </cell>
          <cell r="AT44">
            <v>1203911.8848506815</v>
          </cell>
          <cell r="AV44">
            <v>905.57662942793127</v>
          </cell>
          <cell r="AW44">
            <v>1595045.809565733</v>
          </cell>
          <cell r="AY44">
            <v>1031.2115669179329</v>
          </cell>
          <cell r="AZ44">
            <v>1491811.7570360973</v>
          </cell>
          <cell r="BD44">
            <v>-576000</v>
          </cell>
          <cell r="BE44">
            <v>993840</v>
          </cell>
          <cell r="BR44">
            <v>0</v>
          </cell>
          <cell r="BS44">
            <v>-849688.68791937083</v>
          </cell>
        </row>
        <row r="45">
          <cell r="B45">
            <v>334</v>
          </cell>
          <cell r="F45">
            <v>25054878.473052997</v>
          </cell>
          <cell r="J45">
            <v>1.0050794999200126</v>
          </cell>
          <cell r="M45">
            <v>2942872.7757657971</v>
          </cell>
          <cell r="O45">
            <v>11670480.318496289</v>
          </cell>
          <cell r="Q45">
            <v>45252.893384742136</v>
          </cell>
          <cell r="R45">
            <v>5302440.2379803155</v>
          </cell>
          <cell r="T45">
            <v>4246.460887162054</v>
          </cell>
          <cell r="U45">
            <v>1041803.6702582126</v>
          </cell>
          <cell r="V45">
            <v>735689.02543016477</v>
          </cell>
          <cell r="X45">
            <v>1496.5633753808986</v>
          </cell>
          <cell r="Y45">
            <v>50946.162499739054</v>
          </cell>
          <cell r="AA45">
            <v>1798.0872253569025</v>
          </cell>
          <cell r="AB45">
            <v>79498.26817636154</v>
          </cell>
          <cell r="AD45">
            <v>903.56647042809129</v>
          </cell>
          <cell r="AE45">
            <v>54487.227461260663</v>
          </cell>
          <cell r="AG45">
            <v>1589.0306893735399</v>
          </cell>
          <cell r="AH45">
            <v>102493.78769164147</v>
          </cell>
          <cell r="AJ45">
            <v>4623.3656996320578</v>
          </cell>
          <cell r="AK45">
            <v>326553.77485128347</v>
          </cell>
          <cell r="AM45">
            <v>1273.435726398656</v>
          </cell>
          <cell r="AN45">
            <v>121709.80474987865</v>
          </cell>
          <cell r="AP45">
            <v>220.11241048248274</v>
          </cell>
          <cell r="AQ45">
            <v>679354.33396479988</v>
          </cell>
          <cell r="AS45">
            <v>2160.9209248280272</v>
          </cell>
          <cell r="AT45">
            <v>1101451.2989059426</v>
          </cell>
          <cell r="AV45">
            <v>370.87433547048465</v>
          </cell>
          <cell r="AW45">
            <v>653242.95641482307</v>
          </cell>
          <cell r="AY45">
            <v>512.59054495920645</v>
          </cell>
          <cell r="AZ45">
            <v>741543.85583665664</v>
          </cell>
          <cell r="BD45">
            <v>186000</v>
          </cell>
          <cell r="BE45">
            <v>0</v>
          </cell>
          <cell r="BR45">
            <v>2057442.4113883488</v>
          </cell>
          <cell r="BS45">
            <v>0</v>
          </cell>
        </row>
        <row r="46">
          <cell r="B46">
            <v>335</v>
          </cell>
          <cell r="F46">
            <v>34422065.079148099</v>
          </cell>
          <cell r="J46">
            <v>1.0050794999200126</v>
          </cell>
          <cell r="M46">
            <v>2713714.6497840341</v>
          </cell>
          <cell r="O46">
            <v>13562164.911601396</v>
          </cell>
          <cell r="Q46">
            <v>64236.028905472398</v>
          </cell>
          <cell r="R46">
            <v>7526760.8084323248</v>
          </cell>
          <cell r="T46">
            <v>9753.2914672238021</v>
          </cell>
          <cell r="U46">
            <v>2392819.6014640694</v>
          </cell>
          <cell r="V46">
            <v>2654291.0317221144</v>
          </cell>
          <cell r="X46">
            <v>5508.8407390615885</v>
          </cell>
          <cell r="Y46">
            <v>187532.51622637321</v>
          </cell>
          <cell r="AA46">
            <v>5436.4750150673481</v>
          </cell>
          <cell r="AB46">
            <v>240361.16968470631</v>
          </cell>
          <cell r="AD46">
            <v>8828.6183272973904</v>
          </cell>
          <cell r="AE46">
            <v>532386.88100079389</v>
          </cell>
          <cell r="AG46">
            <v>8160.2404598505818</v>
          </cell>
          <cell r="AH46">
            <v>526342.22787377413</v>
          </cell>
          <cell r="AJ46">
            <v>11227.743093606461</v>
          </cell>
          <cell r="AK46">
            <v>793028.74323123647</v>
          </cell>
          <cell r="AM46">
            <v>3919.8100496880488</v>
          </cell>
          <cell r="AN46">
            <v>374639.49370523018</v>
          </cell>
          <cell r="AP46">
            <v>441.22990046488553</v>
          </cell>
          <cell r="AQ46">
            <v>1361810.7425139139</v>
          </cell>
          <cell r="AS46">
            <v>2392.0892098096297</v>
          </cell>
          <cell r="AT46">
            <v>1219280.9727423922</v>
          </cell>
          <cell r="AV46">
            <v>747.77914794048934</v>
          </cell>
          <cell r="AW46">
            <v>1317107.7495193179</v>
          </cell>
          <cell r="AY46">
            <v>1144.7855504088943</v>
          </cell>
          <cell r="AZ46">
            <v>1656114.6113685332</v>
          </cell>
          <cell r="BD46">
            <v>18000</v>
          </cell>
          <cell r="BE46">
            <v>0</v>
          </cell>
          <cell r="BR46">
            <v>0</v>
          </cell>
          <cell r="BS46">
            <v>-2345339.1815498509</v>
          </cell>
        </row>
        <row r="47">
          <cell r="B47">
            <v>336</v>
          </cell>
          <cell r="F47">
            <v>35107128.113274269</v>
          </cell>
          <cell r="J47">
            <v>1.0050794999200126</v>
          </cell>
          <cell r="M47">
            <v>3312742.0317363613</v>
          </cell>
          <cell r="O47">
            <v>14420808.509229552</v>
          </cell>
          <cell r="Q47">
            <v>57756.535654601546</v>
          </cell>
          <cell r="R47">
            <v>6767535.8580400106</v>
          </cell>
          <cell r="T47">
            <v>9132.6548760231981</v>
          </cell>
          <cell r="U47">
            <v>2240555.9881186392</v>
          </cell>
          <cell r="V47">
            <v>2699517.7772004437</v>
          </cell>
          <cell r="X47">
            <v>5523.9169315603885</v>
          </cell>
          <cell r="Y47">
            <v>188045.74150340215</v>
          </cell>
          <cell r="AA47">
            <v>3200.17312774532</v>
          </cell>
          <cell r="AB47">
            <v>141488.25370236734</v>
          </cell>
          <cell r="AD47">
            <v>8461.7643098265853</v>
          </cell>
          <cell r="AE47">
            <v>510264.70299928088</v>
          </cell>
          <cell r="AG47">
            <v>9432.6711067493179</v>
          </cell>
          <cell r="AH47">
            <v>608415.05217334291</v>
          </cell>
          <cell r="AJ47">
            <v>11602.637747076626</v>
          </cell>
          <cell r="AK47">
            <v>819507.99497461226</v>
          </cell>
          <cell r="AM47">
            <v>4517.8323521404564</v>
          </cell>
          <cell r="AN47">
            <v>431796.03184743843</v>
          </cell>
          <cell r="AP47">
            <v>393.99116396864491</v>
          </cell>
          <cell r="AQ47">
            <v>1216013.2370511484</v>
          </cell>
          <cell r="AS47">
            <v>2000.108204840825</v>
          </cell>
          <cell r="AT47">
            <v>1019482.8301501517</v>
          </cell>
          <cell r="AV47">
            <v>709.58612694352882</v>
          </cell>
          <cell r="AW47">
            <v>1249836.1171513957</v>
          </cell>
          <cell r="AY47">
            <v>1032.2166464178529</v>
          </cell>
          <cell r="AZ47">
            <v>1493265.7645965614</v>
          </cell>
          <cell r="BD47">
            <v>246000</v>
          </cell>
          <cell r="BE47">
            <v>441370</v>
          </cell>
          <cell r="BR47">
            <v>0</v>
          </cell>
          <cell r="BS47">
            <v>0</v>
          </cell>
        </row>
        <row r="48">
          <cell r="B48">
            <v>340</v>
          </cell>
          <cell r="F48">
            <v>19692330.413676139</v>
          </cell>
          <cell r="J48">
            <v>1.0016847182558959</v>
          </cell>
          <cell r="M48">
            <v>2035423.3474959803</v>
          </cell>
          <cell r="O48">
            <v>8859253.341232596</v>
          </cell>
          <cell r="Q48">
            <v>31293.507072442662</v>
          </cell>
          <cell r="R48">
            <v>3666769.9825883098</v>
          </cell>
          <cell r="T48">
            <v>6215.4536767778336</v>
          </cell>
          <cell r="U48">
            <v>1524865.6763478483</v>
          </cell>
          <cell r="V48">
            <v>1494248.0028665031</v>
          </cell>
          <cell r="X48">
            <v>1856.121782928175</v>
          </cell>
          <cell r="Y48">
            <v>63186.286346407884</v>
          </cell>
          <cell r="AA48">
            <v>2999.0440464581525</v>
          </cell>
          <cell r="AB48">
            <v>132595.79653079784</v>
          </cell>
          <cell r="AD48">
            <v>1271.1379074667318</v>
          </cell>
          <cell r="AE48">
            <v>76652.667585104602</v>
          </cell>
          <cell r="AG48">
            <v>2355.9624573378669</v>
          </cell>
          <cell r="AH48">
            <v>151961.51812968639</v>
          </cell>
          <cell r="AJ48">
            <v>5976.0510291146747</v>
          </cell>
          <cell r="AK48">
            <v>422095.53581638611</v>
          </cell>
          <cell r="AM48">
            <v>6777.3988037193913</v>
          </cell>
          <cell r="AN48">
            <v>647756.19845812023</v>
          </cell>
          <cell r="AP48">
            <v>255.42960315525346</v>
          </cell>
          <cell r="AQ48">
            <v>788357.21959548572</v>
          </cell>
          <cell r="AS48">
            <v>1322.2238280977826</v>
          </cell>
          <cell r="AT48">
            <v>673955.78254146106</v>
          </cell>
          <cell r="AV48">
            <v>335.5643806157251</v>
          </cell>
          <cell r="AW48">
            <v>591049.43938179361</v>
          </cell>
          <cell r="AY48">
            <v>782.31576495785464</v>
          </cell>
          <cell r="AZ48">
            <v>1131744.3416261589</v>
          </cell>
          <cell r="BD48">
            <v>-1188000</v>
          </cell>
          <cell r="BE48">
            <v>114663.28</v>
          </cell>
          <cell r="BR48">
            <v>0</v>
          </cell>
          <cell r="BS48">
            <v>0</v>
          </cell>
        </row>
        <row r="49">
          <cell r="B49">
            <v>341</v>
          </cell>
          <cell r="F49">
            <v>53549591.643288277</v>
          </cell>
          <cell r="J49">
            <v>1.0016847182558959</v>
          </cell>
          <cell r="M49">
            <v>5633474.8554711584</v>
          </cell>
          <cell r="O49">
            <v>19616464.380863205</v>
          </cell>
          <cell r="Q49">
            <v>89295.852332628929</v>
          </cell>
          <cell r="R49">
            <v>10463108.214267792</v>
          </cell>
          <cell r="T49">
            <v>16864.864758915402</v>
          </cell>
          <cell r="U49">
            <v>4137534.4012619769</v>
          </cell>
          <cell r="V49">
            <v>4322838.0274276035</v>
          </cell>
          <cell r="X49">
            <v>4902.2450111443541</v>
          </cell>
          <cell r="Y49">
            <v>166882.72281668655</v>
          </cell>
          <cell r="AA49">
            <v>7001.7761806087119</v>
          </cell>
          <cell r="AB49">
            <v>309567.34059795481</v>
          </cell>
          <cell r="AD49">
            <v>7333.3338223514138</v>
          </cell>
          <cell r="AE49">
            <v>442217.63545354665</v>
          </cell>
          <cell r="AG49">
            <v>6839.503256251257</v>
          </cell>
          <cell r="AH49">
            <v>441153.5908968958</v>
          </cell>
          <cell r="AJ49">
            <v>23455.449362680058</v>
          </cell>
          <cell r="AK49">
            <v>1656686.0654838246</v>
          </cell>
          <cell r="AM49">
            <v>13667.9879806017</v>
          </cell>
          <cell r="AN49">
            <v>1306330.672178695</v>
          </cell>
          <cell r="AP49">
            <v>775.30397193006343</v>
          </cell>
          <cell r="AQ49">
            <v>2392896.0312427683</v>
          </cell>
          <cell r="AS49">
            <v>4587.7160096120033</v>
          </cell>
          <cell r="AT49">
            <v>2338422.3363938574</v>
          </cell>
          <cell r="AV49">
            <v>1077.812756843344</v>
          </cell>
          <cell r="AW49">
            <v>1898415.5127606269</v>
          </cell>
          <cell r="AY49">
            <v>1663.7983170230432</v>
          </cell>
          <cell r="AZ49">
            <v>2406949.2335992963</v>
          </cell>
          <cell r="BD49">
            <v>-279000</v>
          </cell>
          <cell r="BE49">
            <v>618488.65</v>
          </cell>
          <cell r="BR49">
            <v>0</v>
          </cell>
          <cell r="BS49">
            <v>-5029522.8974565938</v>
          </cell>
        </row>
        <row r="50">
          <cell r="B50">
            <v>342</v>
          </cell>
          <cell r="F50">
            <v>21189705.345657319</v>
          </cell>
          <cell r="J50">
            <v>1.0016847182558959</v>
          </cell>
          <cell r="M50">
            <v>1590675.3325903625</v>
          </cell>
          <cell r="O50">
            <v>9921978.1594597269</v>
          </cell>
          <cell r="Q50">
            <v>34646.081716623179</v>
          </cell>
          <cell r="R50">
            <v>4059602.9124740507</v>
          </cell>
          <cell r="T50">
            <v>4279.1971163891876</v>
          </cell>
          <cell r="U50">
            <v>1049834.9990907346</v>
          </cell>
          <cell r="V50">
            <v>1248570.3097167653</v>
          </cell>
          <cell r="X50">
            <v>3542.9588484711039</v>
          </cell>
          <cell r="Y50">
            <v>120609.76514152439</v>
          </cell>
          <cell r="AA50">
            <v>2552.2926621160227</v>
          </cell>
          <cell r="AB50">
            <v>112843.7172880671</v>
          </cell>
          <cell r="AD50">
            <v>3534.9453707250568</v>
          </cell>
          <cell r="AE50">
            <v>213165.69259876607</v>
          </cell>
          <cell r="AG50">
            <v>1922.2329743330642</v>
          </cell>
          <cell r="AH50">
            <v>123985.60939237595</v>
          </cell>
          <cell r="AJ50">
            <v>5758.6854452531452</v>
          </cell>
          <cell r="AK50">
            <v>406742.74814086553</v>
          </cell>
          <cell r="AM50">
            <v>2837.7728068189531</v>
          </cell>
          <cell r="AN50">
            <v>271222.7771551662</v>
          </cell>
          <cell r="AP50">
            <v>226.38074632583246</v>
          </cell>
          <cell r="AQ50">
            <v>698700.90834737162</v>
          </cell>
          <cell r="AS50">
            <v>1712.880868217582</v>
          </cell>
          <cell r="AT50">
            <v>873079.08192871092</v>
          </cell>
          <cell r="AV50">
            <v>312.52563209583951</v>
          </cell>
          <cell r="AW50">
            <v>550469.92563319288</v>
          </cell>
          <cell r="AY50">
            <v>505.85078271922742</v>
          </cell>
          <cell r="AZ50">
            <v>731793.71641640249</v>
          </cell>
          <cell r="BD50">
            <v>465000</v>
          </cell>
          <cell r="BE50">
            <v>0</v>
          </cell>
          <cell r="BR50">
            <v>988761.47973865643</v>
          </cell>
          <cell r="BS50">
            <v>0</v>
          </cell>
        </row>
        <row r="51">
          <cell r="B51">
            <v>343</v>
          </cell>
          <cell r="F51">
            <v>27410530.83270837</v>
          </cell>
          <cell r="J51">
            <v>1.0016847182558959</v>
          </cell>
          <cell r="M51">
            <v>2448117.4514174093</v>
          </cell>
          <cell r="O51">
            <v>12282357.636888251</v>
          </cell>
          <cell r="Q51">
            <v>51181.679686746524</v>
          </cell>
          <cell r="R51">
            <v>5997136.923623275</v>
          </cell>
          <cell r="T51">
            <v>5872.8775031343175</v>
          </cell>
          <cell r="U51">
            <v>1440819.8969262585</v>
          </cell>
          <cell r="V51">
            <v>1182023.5678045913</v>
          </cell>
          <cell r="X51">
            <v>5245.8228695061271</v>
          </cell>
          <cell r="Y51">
            <v>178578.83518410043</v>
          </cell>
          <cell r="AA51">
            <v>2104.5395930556374</v>
          </cell>
          <cell r="AB51">
            <v>93047.350872146388</v>
          </cell>
          <cell r="AD51">
            <v>3068.1602920178093</v>
          </cell>
          <cell r="AE51">
            <v>185017.43168886952</v>
          </cell>
          <cell r="AG51">
            <v>1726.9044542731644</v>
          </cell>
          <cell r="AH51">
            <v>111386.75903723612</v>
          </cell>
          <cell r="AJ51">
            <v>5344.9896566134603</v>
          </cell>
          <cell r="AK51">
            <v>377522.92643584247</v>
          </cell>
          <cell r="AM51">
            <v>2474.1612540920628</v>
          </cell>
          <cell r="AN51">
            <v>236470.26458639622</v>
          </cell>
          <cell r="AP51">
            <v>320.53910984188667</v>
          </cell>
          <cell r="AQ51">
            <v>989311.02066884481</v>
          </cell>
          <cell r="AS51">
            <v>2394.0264766315913</v>
          </cell>
          <cell r="AT51">
            <v>1220268.4244500694</v>
          </cell>
          <cell r="AV51">
            <v>491.82719666364488</v>
          </cell>
          <cell r="AW51">
            <v>866284.40219838999</v>
          </cell>
          <cell r="AY51">
            <v>763.28375531099266</v>
          </cell>
          <cell r="AZ51">
            <v>1104211.5087312844</v>
          </cell>
          <cell r="BD51">
            <v>-120000</v>
          </cell>
          <cell r="BE51">
            <v>0</v>
          </cell>
          <cell r="BR51">
            <v>0</v>
          </cell>
          <cell r="BS51">
            <v>0</v>
          </cell>
        </row>
        <row r="52">
          <cell r="B52">
            <v>344</v>
          </cell>
          <cell r="F52">
            <v>36903101.417334959</v>
          </cell>
          <cell r="J52">
            <v>1.0016847182558959</v>
          </cell>
          <cell r="M52">
            <v>4231116.2499129046</v>
          </cell>
          <cell r="O52">
            <v>14518417.85787775</v>
          </cell>
          <cell r="Q52">
            <v>64832.664069255814</v>
          </cell>
          <cell r="R52">
            <v>7596670.6432122113</v>
          </cell>
          <cell r="T52">
            <v>8543.869804363665</v>
          </cell>
          <cell r="U52">
            <v>2096106.6537323084</v>
          </cell>
          <cell r="V52">
            <v>1969930.9966419539</v>
          </cell>
          <cell r="X52">
            <v>4484.5424836316461</v>
          </cell>
          <cell r="Y52">
            <v>152663.25092977233</v>
          </cell>
          <cell r="AA52">
            <v>3293.5393536253855</v>
          </cell>
          <cell r="AB52">
            <v>145616.22544865173</v>
          </cell>
          <cell r="AD52">
            <v>4287.2105941352347</v>
          </cell>
          <cell r="AE52">
            <v>258529.0916187925</v>
          </cell>
          <cell r="AG52">
            <v>3809.4069835271721</v>
          </cell>
          <cell r="AH52">
            <v>245709.88666972678</v>
          </cell>
          <cell r="AJ52">
            <v>6267.5412821271402</v>
          </cell>
          <cell r="AK52">
            <v>442683.83633978001</v>
          </cell>
          <cell r="AM52">
            <v>7582.7533171971318</v>
          </cell>
          <cell r="AN52">
            <v>724728.70563523052</v>
          </cell>
          <cell r="AP52">
            <v>460.77497039771208</v>
          </cell>
          <cell r="AQ52">
            <v>1422134.5922114644</v>
          </cell>
          <cell r="AS52">
            <v>3686.1997631816967</v>
          </cell>
          <cell r="AT52">
            <v>1878907.0301155881</v>
          </cell>
          <cell r="AV52">
            <v>571.96197412411652</v>
          </cell>
          <cell r="AW52">
            <v>1007430.5369761318</v>
          </cell>
          <cell r="AY52">
            <v>891.49939924774731</v>
          </cell>
          <cell r="AZ52">
            <v>1289695.8566546498</v>
          </cell>
          <cell r="BD52">
            <v>-480000</v>
          </cell>
          <cell r="BE52">
            <v>1372691</v>
          </cell>
          <cell r="BR52">
            <v>0</v>
          </cell>
          <cell r="BS52">
            <v>-781121.14282451943</v>
          </cell>
        </row>
        <row r="53">
          <cell r="B53">
            <v>350</v>
          </cell>
          <cell r="F53">
            <v>34284500.691972256</v>
          </cell>
          <cell r="J53">
            <v>1.0082072667712707</v>
          </cell>
          <cell r="M53">
            <v>2996391.9968442167</v>
          </cell>
          <cell r="O53">
            <v>15225443.841654262</v>
          </cell>
          <cell r="Q53">
            <v>64495.819371928003</v>
          </cell>
          <cell r="R53">
            <v>7557201.3685765369</v>
          </cell>
          <cell r="T53">
            <v>8039.4447452341174</v>
          </cell>
          <cell r="U53">
            <v>1972353.7470329646</v>
          </cell>
          <cell r="V53">
            <v>2049481.4002466963</v>
          </cell>
          <cell r="X53">
            <v>8568.7535602890293</v>
          </cell>
          <cell r="Y53">
            <v>291698.37942318677</v>
          </cell>
          <cell r="AA53">
            <v>11655.88421114266</v>
          </cell>
          <cell r="AB53">
            <v>515337.96346621175</v>
          </cell>
          <cell r="AD53">
            <v>5297.1209796162566</v>
          </cell>
          <cell r="AE53">
            <v>319429.11246963608</v>
          </cell>
          <cell r="AG53">
            <v>4387.7180249885705</v>
          </cell>
          <cell r="AH53">
            <v>283011.42495949048</v>
          </cell>
          <cell r="AJ53">
            <v>4926.100705444429</v>
          </cell>
          <cell r="AK53">
            <v>347936.30553353572</v>
          </cell>
          <cell r="AM53">
            <v>3055.8762255837214</v>
          </cell>
          <cell r="AN53">
            <v>292068.21439463529</v>
          </cell>
          <cell r="AP53">
            <v>388.15979770693923</v>
          </cell>
          <cell r="AQ53">
            <v>1198015.3243748839</v>
          </cell>
          <cell r="AS53">
            <v>2298.7125682384972</v>
          </cell>
          <cell r="AT53">
            <v>1171685.6063574869</v>
          </cell>
          <cell r="AV53">
            <v>715.82715940760215</v>
          </cell>
          <cell r="AW53">
            <v>1260828.8176647387</v>
          </cell>
          <cell r="AY53">
            <v>921.50144182894144</v>
          </cell>
          <cell r="AZ53">
            <v>1333098.5892204735</v>
          </cell>
          <cell r="BD53">
            <v>-480000</v>
          </cell>
          <cell r="BE53">
            <v>0</v>
          </cell>
          <cell r="BR53">
            <v>0</v>
          </cell>
          <cell r="BS53">
            <v>0</v>
          </cell>
        </row>
        <row r="54">
          <cell r="B54">
            <v>351</v>
          </cell>
          <cell r="F54">
            <v>25061437.785737067</v>
          </cell>
          <cell r="J54">
            <v>1.0082072667712707</v>
          </cell>
          <cell r="M54">
            <v>1766379.1313832663</v>
          </cell>
          <cell r="O54">
            <v>13645658.930881139</v>
          </cell>
          <cell r="Q54">
            <v>41333.53985750139</v>
          </cell>
          <cell r="R54">
            <v>4843195.8384450031</v>
          </cell>
          <cell r="T54">
            <v>4221.8679296046967</v>
          </cell>
          <cell r="U54">
            <v>1035770.1675069645</v>
          </cell>
          <cell r="V54">
            <v>910005.3877424883</v>
          </cell>
          <cell r="X54">
            <v>4460.3089481961015</v>
          </cell>
          <cell r="Y54">
            <v>151838.29045395672</v>
          </cell>
          <cell r="AA54">
            <v>3677.9401091815957</v>
          </cell>
          <cell r="AB54">
            <v>162611.61583987033</v>
          </cell>
          <cell r="AD54">
            <v>4679.0899250854673</v>
          </cell>
          <cell r="AE54">
            <v>282160.35610422172</v>
          </cell>
          <cell r="AG54">
            <v>1595.9921032989216</v>
          </cell>
          <cell r="AH54">
            <v>102942.80462106464</v>
          </cell>
          <cell r="AJ54">
            <v>1649.4270884377988</v>
          </cell>
          <cell r="AK54">
            <v>116500.98154991082</v>
          </cell>
          <cell r="AM54">
            <v>983.00208510198888</v>
          </cell>
          <cell r="AN54">
            <v>93951.339173464017</v>
          </cell>
          <cell r="AP54">
            <v>212.73173328873813</v>
          </cell>
          <cell r="AQ54">
            <v>656574.63231974153</v>
          </cell>
          <cell r="AS54">
            <v>1502.2288274891935</v>
          </cell>
          <cell r="AT54">
            <v>765706.82169853314</v>
          </cell>
          <cell r="AV54">
            <v>442.60299011258786</v>
          </cell>
          <cell r="AW54">
            <v>779582.88866876101</v>
          </cell>
          <cell r="AY54">
            <v>321.61811810003536</v>
          </cell>
          <cell r="AZ54">
            <v>465271.82709117187</v>
          </cell>
          <cell r="BD54">
            <v>24000</v>
          </cell>
          <cell r="BE54">
            <v>169292.16</v>
          </cell>
          <cell r="BR54">
            <v>4845513.5198245272</v>
          </cell>
          <cell r="BS54">
            <v>0</v>
          </cell>
        </row>
        <row r="55">
          <cell r="B55">
            <v>352</v>
          </cell>
          <cell r="F55">
            <v>74727371.127176851</v>
          </cell>
          <cell r="J55">
            <v>1.0082072667712707</v>
          </cell>
          <cell r="M55">
            <v>5900028.9251454761</v>
          </cell>
          <cell r="O55">
            <v>31740265.604387954</v>
          </cell>
          <cell r="Q55">
            <v>117383.41551483545</v>
          </cell>
          <cell r="R55">
            <v>13754226.506703028</v>
          </cell>
          <cell r="T55">
            <v>20333.356121362442</v>
          </cell>
          <cell r="U55">
            <v>4988475.2500475068</v>
          </cell>
          <cell r="V55">
            <v>6069319.492180068</v>
          </cell>
          <cell r="X55">
            <v>8607.0654364263373</v>
          </cell>
          <cell r="Y55">
            <v>293002.59620375873</v>
          </cell>
          <cell r="AA55">
            <v>13006.881948616163</v>
          </cell>
          <cell r="AB55">
            <v>575069.20393370802</v>
          </cell>
          <cell r="AD55">
            <v>11741.581828818218</v>
          </cell>
          <cell r="AE55">
            <v>708045.57362416852</v>
          </cell>
          <cell r="AG55">
            <v>15403.390621731474</v>
          </cell>
          <cell r="AH55">
            <v>993531.37650071108</v>
          </cell>
          <cell r="AJ55">
            <v>28421.362850282123</v>
          </cell>
          <cell r="AK55">
            <v>2007434.3947995028</v>
          </cell>
          <cell r="AM55">
            <v>15613.097733219898</v>
          </cell>
          <cell r="AN55">
            <v>1492236.3471182194</v>
          </cell>
          <cell r="AP55">
            <v>979.97746330167513</v>
          </cell>
          <cell r="AQ55">
            <v>3024599.7280321741</v>
          </cell>
          <cell r="AS55">
            <v>4617.5892818124203</v>
          </cell>
          <cell r="AT55">
            <v>2353649.1566303908</v>
          </cell>
          <cell r="AV55">
            <v>1455.851293217715</v>
          </cell>
          <cell r="AW55">
            <v>2564277.2009970183</v>
          </cell>
          <cell r="AY55">
            <v>2001.2914245409725</v>
          </cell>
          <cell r="AZ55">
            <v>2895186.7610532166</v>
          </cell>
          <cell r="BD55">
            <v>-463999.99800000025</v>
          </cell>
          <cell r="BE55">
            <v>1901342.5</v>
          </cell>
          <cell r="BR55">
            <v>0</v>
          </cell>
          <cell r="BS55">
            <v>0</v>
          </cell>
        </row>
        <row r="56">
          <cell r="B56">
            <v>353</v>
          </cell>
          <cell r="F56">
            <v>32774576.236259181</v>
          </cell>
          <cell r="J56">
            <v>1.0082072667712707</v>
          </cell>
          <cell r="M56">
            <v>3358674.4733597501</v>
          </cell>
          <cell r="O56">
            <v>13051513.011100166</v>
          </cell>
          <cell r="Q56">
            <v>56984.245738186386</v>
          </cell>
          <cell r="R56">
            <v>6677043.9398024268</v>
          </cell>
          <cell r="T56">
            <v>7699.1747926988146</v>
          </cell>
          <cell r="U56">
            <v>1888873.7633831496</v>
          </cell>
          <cell r="V56">
            <v>2118701.9683212615</v>
          </cell>
          <cell r="X56">
            <v>6111.7524511674428</v>
          </cell>
          <cell r="Y56">
            <v>208056.89799545336</v>
          </cell>
          <cell r="AA56">
            <v>6758.0133091678272</v>
          </cell>
          <cell r="AB56">
            <v>298789.92899524415</v>
          </cell>
          <cell r="AD56">
            <v>8549.5976222203753</v>
          </cell>
          <cell r="AE56">
            <v>515561.26260801556</v>
          </cell>
          <cell r="AG56">
            <v>5471.5408367676864</v>
          </cell>
          <cell r="AH56">
            <v>352918.88861561456</v>
          </cell>
          <cell r="AJ56">
            <v>7310.5108913584836</v>
          </cell>
          <cell r="AK56">
            <v>516350.0105246965</v>
          </cell>
          <cell r="AM56">
            <v>2375.3363205131136</v>
          </cell>
          <cell r="AN56">
            <v>227024.97958223717</v>
          </cell>
          <cell r="AP56">
            <v>423.4470520439337</v>
          </cell>
          <cell r="AQ56">
            <v>1306925.8084089642</v>
          </cell>
          <cell r="AS56">
            <v>2308.7946409062101</v>
          </cell>
          <cell r="AT56">
            <v>1176824.5783151954</v>
          </cell>
          <cell r="AV56">
            <v>669.4496251361237</v>
          </cell>
          <cell r="AW56">
            <v>1179141.3168019527</v>
          </cell>
          <cell r="AY56">
            <v>1044.5027283750364</v>
          </cell>
          <cell r="AZ56">
            <v>1511039.5387663136</v>
          </cell>
          <cell r="BD56">
            <v>55999.998000000232</v>
          </cell>
          <cell r="BE56">
            <v>449837.84</v>
          </cell>
          <cell r="BR56">
            <v>0</v>
          </cell>
          <cell r="BS56">
            <v>-822249.35699572787</v>
          </cell>
        </row>
        <row r="57">
          <cell r="B57">
            <v>354</v>
          </cell>
          <cell r="F57">
            <v>25343072.077436689</v>
          </cell>
          <cell r="J57">
            <v>1.0082072667712707</v>
          </cell>
          <cell r="M57">
            <v>2304761.8118391247</v>
          </cell>
          <cell r="O57">
            <v>9880293.7918790244</v>
          </cell>
          <cell r="Q57">
            <v>49529.065169704372</v>
          </cell>
          <cell r="R57">
            <v>5803494.2842779355</v>
          </cell>
          <cell r="T57">
            <v>6858.834035844955</v>
          </cell>
          <cell r="U57">
            <v>1682709.1222805681</v>
          </cell>
          <cell r="V57">
            <v>1848549.4558286129</v>
          </cell>
          <cell r="X57">
            <v>4693.2048268202652</v>
          </cell>
          <cell r="Y57">
            <v>159766.55562006522</v>
          </cell>
          <cell r="AA57">
            <v>8616.1393018272793</v>
          </cell>
          <cell r="AB57">
            <v>380942.67241434526</v>
          </cell>
          <cell r="AD57">
            <v>5495.7378111701964</v>
          </cell>
          <cell r="AE57">
            <v>331406.18425427983</v>
          </cell>
          <cell r="AG57">
            <v>3931.0001331411845</v>
          </cell>
          <cell r="AH57">
            <v>253552.74492579346</v>
          </cell>
          <cell r="AJ57">
            <v>8220.9220532529416</v>
          </cell>
          <cell r="AK57">
            <v>580653.42515768518</v>
          </cell>
          <cell r="AM57">
            <v>1488.1139257543955</v>
          </cell>
          <cell r="AN57">
            <v>142227.87345644398</v>
          </cell>
          <cell r="AP57">
            <v>343.79867796900334</v>
          </cell>
          <cell r="AQ57">
            <v>1061099.2873034687</v>
          </cell>
          <cell r="AS57">
            <v>2318.8767135739226</v>
          </cell>
          <cell r="AT57">
            <v>1181963.5502729034</v>
          </cell>
          <cell r="AV57">
            <v>544.4319240564862</v>
          </cell>
          <cell r="AW57">
            <v>958940.22751966061</v>
          </cell>
          <cell r="AY57">
            <v>686.58914867123531</v>
          </cell>
          <cell r="AZ57">
            <v>993260.54623538547</v>
          </cell>
          <cell r="BD57">
            <v>-372000</v>
          </cell>
          <cell r="BE57">
            <v>0</v>
          </cell>
          <cell r="BR57">
            <v>0</v>
          </cell>
          <cell r="BS57">
            <v>-2166238.1539812572</v>
          </cell>
        </row>
        <row r="58">
          <cell r="B58">
            <v>355</v>
          </cell>
          <cell r="F58">
            <v>30550430.562565375</v>
          </cell>
          <cell r="J58">
            <v>1.0082072667712707</v>
          </cell>
          <cell r="M58">
            <v>2625371.7226723889</v>
          </cell>
          <cell r="O58">
            <v>14295170.259389002</v>
          </cell>
          <cell r="Q58">
            <v>53488.766947315984</v>
          </cell>
          <cell r="R58">
            <v>6267466.4298267374</v>
          </cell>
          <cell r="T58">
            <v>7259.0923207531396</v>
          </cell>
          <cell r="U58">
            <v>1780906.3178627186</v>
          </cell>
          <cell r="V58">
            <v>2051158.9064877394</v>
          </cell>
          <cell r="X58">
            <v>4245.5608003738207</v>
          </cell>
          <cell r="Y58">
            <v>144527.81218390862</v>
          </cell>
          <cell r="AA58">
            <v>4954.330508914024</v>
          </cell>
          <cell r="AB58">
            <v>219044.26541587789</v>
          </cell>
          <cell r="AD58">
            <v>4720.4264230230892</v>
          </cell>
          <cell r="AE58">
            <v>284653.04617107654</v>
          </cell>
          <cell r="AG58">
            <v>4427.0381083926495</v>
          </cell>
          <cell r="AH58">
            <v>285547.60271073587</v>
          </cell>
          <cell r="AJ58">
            <v>8100.9453885071598</v>
          </cell>
          <cell r="AK58">
            <v>572179.33175643859</v>
          </cell>
          <cell r="AM58">
            <v>5704.4367153918492</v>
          </cell>
          <cell r="AN58">
            <v>545206.84824970202</v>
          </cell>
          <cell r="AP58">
            <v>343.79867796900334</v>
          </cell>
          <cell r="AQ58">
            <v>1061099.2873034687</v>
          </cell>
          <cell r="AS58">
            <v>2308.7946409062101</v>
          </cell>
          <cell r="AT58">
            <v>1176824.5783151954</v>
          </cell>
          <cell r="AV58">
            <v>486.96410985052376</v>
          </cell>
          <cell r="AW58">
            <v>857718.75905925187</v>
          </cell>
          <cell r="AY58">
            <v>663.40038153549608</v>
          </cell>
          <cell r="AZ58">
            <v>959714.30164887465</v>
          </cell>
          <cell r="BD58">
            <v>-525000</v>
          </cell>
          <cell r="BE58">
            <v>0</v>
          </cell>
          <cell r="BR58">
            <v>1431269.339057669</v>
          </cell>
          <cell r="BS58">
            <v>0</v>
          </cell>
        </row>
        <row r="59">
          <cell r="B59">
            <v>356</v>
          </cell>
          <cell r="F59">
            <v>29017951.556647059</v>
          </cell>
          <cell r="J59">
            <v>1.0082072667712707</v>
          </cell>
          <cell r="M59">
            <v>2460025.7309219004</v>
          </cell>
          <cell r="O59">
            <v>13727727.665820554</v>
          </cell>
          <cell r="Q59">
            <v>60696.429607183869</v>
          </cell>
          <cell r="R59">
            <v>7112013.5438540969</v>
          </cell>
          <cell r="T59">
            <v>4528.8670423365484</v>
          </cell>
          <cell r="U59">
            <v>1111087.6638665753</v>
          </cell>
          <cell r="V59">
            <v>991243.09435865236</v>
          </cell>
          <cell r="X59">
            <v>4975.5028615162209</v>
          </cell>
          <cell r="Y59">
            <v>169376.57400322706</v>
          </cell>
          <cell r="AA59">
            <v>6081.5062331643048</v>
          </cell>
          <cell r="AB59">
            <v>268879.73320890835</v>
          </cell>
          <cell r="AD59">
            <v>2340.0490661761191</v>
          </cell>
          <cell r="AE59">
            <v>141110.57671146275</v>
          </cell>
          <cell r="AG59">
            <v>399.25007764142322</v>
          </cell>
          <cell r="AH59">
            <v>25751.958704953635</v>
          </cell>
          <cell r="AJ59">
            <v>2468.0913890560705</v>
          </cell>
          <cell r="AK59">
            <v>174324.207111358</v>
          </cell>
          <cell r="AM59">
            <v>2216.0395723632532</v>
          </cell>
          <cell r="AN59">
            <v>211800.04461874251</v>
          </cell>
          <cell r="AP59">
            <v>293.38831463043977</v>
          </cell>
          <cell r="AQ59">
            <v>905512.88154049648</v>
          </cell>
          <cell r="AS59">
            <v>2137.3994055550938</v>
          </cell>
          <cell r="AT59">
            <v>1089462.0550341546</v>
          </cell>
          <cell r="AV59">
            <v>533.34164412200221</v>
          </cell>
          <cell r="AW59">
            <v>939406.25992203783</v>
          </cell>
          <cell r="AY59">
            <v>705.74508673988953</v>
          </cell>
          <cell r="AZ59">
            <v>1020972.6613285904</v>
          </cell>
          <cell r="BD59">
            <v>-390000</v>
          </cell>
          <cell r="BE59">
            <v>50500</v>
          </cell>
          <cell r="BR59">
            <v>1339470.1702817194</v>
          </cell>
          <cell r="BS59">
            <v>0</v>
          </cell>
        </row>
        <row r="60">
          <cell r="B60">
            <v>357</v>
          </cell>
          <cell r="F60">
            <v>22361659.685330119</v>
          </cell>
          <cell r="J60">
            <v>1.0082072667712707</v>
          </cell>
          <cell r="M60">
            <v>1762346.3023161811</v>
          </cell>
          <cell r="O60">
            <v>8655812.6571818385</v>
          </cell>
          <cell r="Q60">
            <v>47387.738796845195</v>
          </cell>
          <cell r="R60">
            <v>5552587.5626775622</v>
          </cell>
          <cell r="T60">
            <v>6068.9036423296611</v>
          </cell>
          <cell r="U60">
            <v>1488911.8861631448</v>
          </cell>
          <cell r="V60">
            <v>1639837.0407873502</v>
          </cell>
          <cell r="X60">
            <v>6462.6085800038454</v>
          </cell>
          <cell r="Y60">
            <v>220000.77798595448</v>
          </cell>
          <cell r="AA60">
            <v>6295.2461737198146</v>
          </cell>
          <cell r="AB60">
            <v>278329.75035749731</v>
          </cell>
          <cell r="AD60">
            <v>8973.0446742643089</v>
          </cell>
          <cell r="AE60">
            <v>541096.13646360126</v>
          </cell>
          <cell r="AG60">
            <v>2662.6753915429258</v>
          </cell>
          <cell r="AH60">
            <v>171744.75489844076</v>
          </cell>
          <cell r="AJ60">
            <v>3845.3025154656266</v>
          </cell>
          <cell r="AK60">
            <v>271598.25405339844</v>
          </cell>
          <cell r="AM60">
            <v>1643.3778448371713</v>
          </cell>
          <cell r="AN60">
            <v>157067.36702845784</v>
          </cell>
          <cell r="AP60">
            <v>285.32265649626959</v>
          </cell>
          <cell r="AQ60">
            <v>880619.05661842087</v>
          </cell>
          <cell r="AS60">
            <v>1582.8854088308949</v>
          </cell>
          <cell r="AT60">
            <v>806818.5973601992</v>
          </cell>
          <cell r="AV60">
            <v>498.05438978500774</v>
          </cell>
          <cell r="AW60">
            <v>877252.72665687453</v>
          </cell>
          <cell r="AY60">
            <v>711.79433034051715</v>
          </cell>
          <cell r="AZ60">
            <v>1029723.8555685496</v>
          </cell>
          <cell r="BD60">
            <v>-408000</v>
          </cell>
          <cell r="BE60">
            <v>75750</v>
          </cell>
          <cell r="BR60">
            <v>0</v>
          </cell>
          <cell r="BS60">
            <v>-2329505.4371849373</v>
          </cell>
        </row>
        <row r="61">
          <cell r="B61">
            <v>358</v>
          </cell>
          <cell r="F61">
            <v>23868359.77597535</v>
          </cell>
          <cell r="J61">
            <v>1.0082072667712707</v>
          </cell>
          <cell r="M61">
            <v>2476157.047190241</v>
          </cell>
          <cell r="O61">
            <v>11396274.182333272</v>
          </cell>
          <cell r="Q61">
            <v>54450.414194300494</v>
          </cell>
          <cell r="R61">
            <v>6380146.0106394179</v>
          </cell>
          <cell r="T61">
            <v>3428.9129142890915</v>
          </cell>
          <cell r="U61">
            <v>841230.88709043246</v>
          </cell>
          <cell r="V61">
            <v>713174.80910435203</v>
          </cell>
          <cell r="X61">
            <v>2688.8887804789788</v>
          </cell>
          <cell r="Y61">
            <v>91535.425099616303</v>
          </cell>
          <cell r="AA61">
            <v>3147.6230868599073</v>
          </cell>
          <cell r="AB61">
            <v>139164.87517874865</v>
          </cell>
          <cell r="AD61">
            <v>2078.9233840823604</v>
          </cell>
          <cell r="AE61">
            <v>125364.07116718493</v>
          </cell>
          <cell r="AG61">
            <v>1812.7566656547447</v>
          </cell>
          <cell r="AH61">
            <v>116924.29735228946</v>
          </cell>
          <cell r="AJ61">
            <v>2674.7738787441813</v>
          </cell>
          <cell r="AK61">
            <v>188922.43523955587</v>
          </cell>
          <cell r="AM61">
            <v>536.36626592231596</v>
          </cell>
          <cell r="AN61">
            <v>51263.705066956776</v>
          </cell>
          <cell r="AP61">
            <v>224.83022048999337</v>
          </cell>
          <cell r="AQ61">
            <v>693915.36970285478</v>
          </cell>
          <cell r="AS61">
            <v>1300.5873741349392</v>
          </cell>
          <cell r="AT61">
            <v>662927.38254436757</v>
          </cell>
          <cell r="AV61">
            <v>355.89716517025857</v>
          </cell>
          <cell r="AW61">
            <v>626862.77836007439</v>
          </cell>
          <cell r="AY61">
            <v>445.62761191290167</v>
          </cell>
          <cell r="AZ61">
            <v>644671.30901033839</v>
          </cell>
          <cell r="BD61">
            <v>-567000</v>
          </cell>
          <cell r="BE61">
            <v>0</v>
          </cell>
          <cell r="BR61">
            <v>1658897.7382156104</v>
          </cell>
          <cell r="BS61">
            <v>0</v>
          </cell>
        </row>
        <row r="62">
          <cell r="B62">
            <v>359</v>
          </cell>
          <cell r="F62">
            <v>30152478.570008792</v>
          </cell>
          <cell r="J62">
            <v>1.0082072667712707</v>
          </cell>
          <cell r="M62">
            <v>2927833.90270377</v>
          </cell>
          <cell r="O62">
            <v>12527873.113839479</v>
          </cell>
          <cell r="Q62">
            <v>65129.206431338986</v>
          </cell>
          <cell r="R62">
            <v>7631417.5518707791</v>
          </cell>
          <cell r="T62">
            <v>6619.8889136201633</v>
          </cell>
          <cell r="U62">
            <v>1624087.6226509202</v>
          </cell>
          <cell r="V62">
            <v>1681203.9222702808</v>
          </cell>
          <cell r="X62">
            <v>7569.6201589187003</v>
          </cell>
          <cell r="Y62">
            <v>257685.77864563905</v>
          </cell>
          <cell r="AA62">
            <v>6219.6306287119687</v>
          </cell>
          <cell r="AB62">
            <v>274986.58391342103</v>
          </cell>
          <cell r="AD62">
            <v>5678.2233264557963</v>
          </cell>
          <cell r="AE62">
            <v>342410.49893966317</v>
          </cell>
          <cell r="AG62">
            <v>3399.674903552725</v>
          </cell>
          <cell r="AH62">
            <v>219281.83018460521</v>
          </cell>
          <cell r="AJ62">
            <v>5589.5010869799244</v>
          </cell>
          <cell r="AK62">
            <v>394793.05728160485</v>
          </cell>
          <cell r="AM62">
            <v>2009.3570826751425</v>
          </cell>
          <cell r="AN62">
            <v>192046.1733053475</v>
          </cell>
          <cell r="AP62">
            <v>357.91357970380108</v>
          </cell>
          <cell r="AQ62">
            <v>1104663.4809171006</v>
          </cell>
          <cell r="AS62">
            <v>2399.5332949156241</v>
          </cell>
          <cell r="AT62">
            <v>1223075.3259345696</v>
          </cell>
          <cell r="AV62">
            <v>537.37447318908733</v>
          </cell>
          <cell r="AW62">
            <v>946509.52086662804</v>
          </cell>
          <cell r="AY62">
            <v>704.73687947311828</v>
          </cell>
          <cell r="AZ62">
            <v>1019514.1289552638</v>
          </cell>
          <cell r="BD62">
            <v>-564000</v>
          </cell>
          <cell r="BE62">
            <v>30300</v>
          </cell>
          <cell r="BR62">
            <v>0</v>
          </cell>
          <cell r="BS62">
            <v>-1126407.1256445944</v>
          </cell>
        </row>
        <row r="63">
          <cell r="B63">
            <v>370</v>
          </cell>
          <cell r="F63">
            <v>24063824.431924623</v>
          </cell>
          <cell r="J63">
            <v>1</v>
          </cell>
          <cell r="M63">
            <v>1836000</v>
          </cell>
          <cell r="O63">
            <v>9790872.6542681213</v>
          </cell>
          <cell r="Q63">
            <v>47999.452000000005</v>
          </cell>
          <cell r="R63">
            <v>5624264.1442153398</v>
          </cell>
          <cell r="T63">
            <v>6014</v>
          </cell>
          <cell r="U63">
            <v>1475442.1244934897</v>
          </cell>
          <cell r="V63">
            <v>1570863.2570623932</v>
          </cell>
          <cell r="X63">
            <v>5402</v>
          </cell>
          <cell r="Y63">
            <v>183895.43293049306</v>
          </cell>
          <cell r="AA63">
            <v>5438</v>
          </cell>
          <cell r="AB63">
            <v>240428.59336662298</v>
          </cell>
          <cell r="AD63">
            <v>5032</v>
          </cell>
          <cell r="AE63">
            <v>303441.68089278799</v>
          </cell>
          <cell r="AG63">
            <v>2797</v>
          </cell>
          <cell r="AH63">
            <v>180408.80273151936</v>
          </cell>
          <cell r="AJ63">
            <v>7810</v>
          </cell>
          <cell r="AK63">
            <v>551629.5156559844</v>
          </cell>
          <cell r="AM63">
            <v>1162</v>
          </cell>
          <cell r="AN63">
            <v>111059.23148498549</v>
          </cell>
          <cell r="AP63">
            <v>308</v>
          </cell>
          <cell r="AQ63">
            <v>950610.34678828542</v>
          </cell>
          <cell r="AS63">
            <v>2210</v>
          </cell>
          <cell r="AT63">
            <v>1126467.5826931775</v>
          </cell>
          <cell r="AV63">
            <v>581</v>
          </cell>
          <cell r="AW63">
            <v>1023349.747821029</v>
          </cell>
          <cell r="AY63">
            <v>732</v>
          </cell>
          <cell r="AZ63">
            <v>1058954.5745827816</v>
          </cell>
          <cell r="BD63">
            <v>-393000</v>
          </cell>
          <cell r="BE63">
            <v>0</v>
          </cell>
          <cell r="BR63">
            <v>0</v>
          </cell>
          <cell r="BS63">
            <v>-1534345.6979392059</v>
          </cell>
        </row>
        <row r="64">
          <cell r="B64">
            <v>371</v>
          </cell>
          <cell r="F64">
            <v>32328527.484852992</v>
          </cell>
          <cell r="J64">
            <v>1</v>
          </cell>
          <cell r="M64">
            <v>2456000</v>
          </cell>
          <cell r="O64">
            <v>13370279.488845488</v>
          </cell>
          <cell r="Q64">
            <v>62616.125</v>
          </cell>
          <cell r="R64">
            <v>7336950.9861738784</v>
          </cell>
          <cell r="T64">
            <v>7207.4999999999982</v>
          </cell>
          <cell r="U64">
            <v>1768248.9378594654</v>
          </cell>
          <cell r="V64">
            <v>2119206.3105510096</v>
          </cell>
          <cell r="X64">
            <v>8707</v>
          </cell>
          <cell r="Y64">
            <v>296404.57877189986</v>
          </cell>
          <cell r="AA64">
            <v>2711</v>
          </cell>
          <cell r="AB64">
            <v>119860.59518516272</v>
          </cell>
          <cell r="AD64">
            <v>10168</v>
          </cell>
          <cell r="AE64">
            <v>613154.81147016457</v>
          </cell>
          <cell r="AG64">
            <v>4865</v>
          </cell>
          <cell r="AH64">
            <v>313796.50528739422</v>
          </cell>
          <cell r="AJ64">
            <v>8337</v>
          </cell>
          <cell r="AK64">
            <v>588852.1475062666</v>
          </cell>
          <cell r="AM64">
            <v>1958</v>
          </cell>
          <cell r="AN64">
            <v>187137.67233012186</v>
          </cell>
          <cell r="AP64">
            <v>372</v>
          </cell>
          <cell r="AQ64">
            <v>1148139.7694975394</v>
          </cell>
          <cell r="AS64">
            <v>2370</v>
          </cell>
          <cell r="AT64">
            <v>1208021.7968248103</v>
          </cell>
          <cell r="AV64">
            <v>815</v>
          </cell>
          <cell r="AW64">
            <v>1435507.8218143522</v>
          </cell>
          <cell r="AY64">
            <v>1029</v>
          </cell>
          <cell r="AZ64">
            <v>1488612.3732864514</v>
          </cell>
          <cell r="BD64">
            <v>-261000</v>
          </cell>
          <cell r="BE64">
            <v>258560</v>
          </cell>
          <cell r="BR64">
            <v>0</v>
          </cell>
          <cell r="BS64">
            <v>-1266261.6885213219</v>
          </cell>
        </row>
        <row r="65">
          <cell r="B65">
            <v>372</v>
          </cell>
          <cell r="F65">
            <v>30985177.888532817</v>
          </cell>
          <cell r="J65">
            <v>1</v>
          </cell>
          <cell r="M65">
            <v>2944000</v>
          </cell>
          <cell r="O65">
            <v>12800815.872625368</v>
          </cell>
          <cell r="Q65">
            <v>53950.865000000005</v>
          </cell>
          <cell r="R65">
            <v>6321612.0794233717</v>
          </cell>
          <cell r="T65">
            <v>6492</v>
          </cell>
          <cell r="U65">
            <v>1592712.0505839267</v>
          </cell>
          <cell r="V65">
            <v>1727893.8606643165</v>
          </cell>
          <cell r="X65">
            <v>6910</v>
          </cell>
          <cell r="Y65">
            <v>235230.92216766143</v>
          </cell>
          <cell r="AA65">
            <v>6268</v>
          </cell>
          <cell r="AB65">
            <v>277125.12379955733</v>
          </cell>
          <cell r="AD65">
            <v>4451</v>
          </cell>
          <cell r="AE65">
            <v>268405.98602023046</v>
          </cell>
          <cell r="AG65">
            <v>4616</v>
          </cell>
          <cell r="AH65">
            <v>297735.80028912885</v>
          </cell>
          <cell r="AJ65">
            <v>3565</v>
          </cell>
          <cell r="AK65">
            <v>251800.15663426177</v>
          </cell>
          <cell r="AM65">
            <v>4160</v>
          </cell>
          <cell r="AN65">
            <v>397595.87175347644</v>
          </cell>
          <cell r="AP65">
            <v>413</v>
          </cell>
          <cell r="AQ65">
            <v>1274682.0559206554</v>
          </cell>
          <cell r="AS65">
            <v>2580</v>
          </cell>
          <cell r="AT65">
            <v>1315061.7028725783</v>
          </cell>
          <cell r="AV65">
            <v>824</v>
          </cell>
          <cell r="AW65">
            <v>1451360.05542948</v>
          </cell>
          <cell r="AY65">
            <v>871</v>
          </cell>
          <cell r="AZ65">
            <v>1260040.2110131187</v>
          </cell>
          <cell r="BD65">
            <v>297000</v>
          </cell>
          <cell r="BE65">
            <v>0</v>
          </cell>
          <cell r="BR65">
            <v>0</v>
          </cell>
          <cell r="BS65">
            <v>-388265.1387860626</v>
          </cell>
        </row>
        <row r="66">
          <cell r="B66">
            <v>373</v>
          </cell>
          <cell r="F66">
            <v>61051304.329614043</v>
          </cell>
          <cell r="J66">
            <v>1</v>
          </cell>
          <cell r="M66">
            <v>4512000</v>
          </cell>
          <cell r="O66">
            <v>23206114.665483199</v>
          </cell>
          <cell r="Q66">
            <v>112378.51300000001</v>
          </cell>
          <cell r="R66">
            <v>13167784.524834523</v>
          </cell>
          <cell r="T66">
            <v>15481.5</v>
          </cell>
          <cell r="U66">
            <v>3798147.1982617164</v>
          </cell>
          <cell r="V66">
            <v>3636499.1734299683</v>
          </cell>
          <cell r="X66">
            <v>7888</v>
          </cell>
          <cell r="Y66">
            <v>268524.0975482653</v>
          </cell>
          <cell r="AA66">
            <v>8468</v>
          </cell>
          <cell r="AB66">
            <v>374393.03579046769</v>
          </cell>
          <cell r="AD66">
            <v>7188</v>
          </cell>
          <cell r="AE66">
            <v>433453.65704637527</v>
          </cell>
          <cell r="AG66">
            <v>12699</v>
          </cell>
          <cell r="AH66">
            <v>819095.95491153526</v>
          </cell>
          <cell r="AJ66">
            <v>18467</v>
          </cell>
          <cell r="AK66">
            <v>1304346.0007194704</v>
          </cell>
          <cell r="AM66">
            <v>4569</v>
          </cell>
          <cell r="AN66">
            <v>436686.42741385434</v>
          </cell>
          <cell r="AP66">
            <v>828</v>
          </cell>
          <cell r="AQ66">
            <v>2555536.906300975</v>
          </cell>
          <cell r="AS66">
            <v>5560</v>
          </cell>
          <cell r="AT66">
            <v>2834008.9410742386</v>
          </cell>
          <cell r="AV66">
            <v>1744</v>
          </cell>
          <cell r="AW66">
            <v>3071810.6027536569</v>
          </cell>
          <cell r="AY66">
            <v>1936</v>
          </cell>
          <cell r="AZ66">
            <v>2800732.3174757725</v>
          </cell>
          <cell r="BD66">
            <v>-114000</v>
          </cell>
          <cell r="BE66">
            <v>1582670</v>
          </cell>
          <cell r="BR66">
            <v>0</v>
          </cell>
          <cell r="BS66">
            <v>-5239637.8328452334</v>
          </cell>
        </row>
        <row r="67">
          <cell r="B67">
            <v>380</v>
          </cell>
          <cell r="F67">
            <v>72284367.538635418</v>
          </cell>
          <cell r="J67">
            <v>1.0002429734488885</v>
          </cell>
          <cell r="M67">
            <v>4657131.2843780247</v>
          </cell>
          <cell r="O67">
            <v>29371530.833876763</v>
          </cell>
          <cell r="Q67">
            <v>133670.57351078882</v>
          </cell>
          <cell r="R67">
            <v>15662649.934699887</v>
          </cell>
          <cell r="T67">
            <v>18013.375708841031</v>
          </cell>
          <cell r="U67">
            <v>4419303.8452197919</v>
          </cell>
          <cell r="V67">
            <v>4692987.5386717645</v>
          </cell>
          <cell r="X67">
            <v>17305.203683639218</v>
          </cell>
          <cell r="Y67">
            <v>589105.50228678214</v>
          </cell>
          <cell r="AA67">
            <v>22184.388908122895</v>
          </cell>
          <cell r="AB67">
            <v>980831.44903973897</v>
          </cell>
          <cell r="AD67">
            <v>17557.26491294834</v>
          </cell>
          <cell r="AE67">
            <v>1058745.2259668151</v>
          </cell>
          <cell r="AG67">
            <v>8141.9778038739523</v>
          </cell>
          <cell r="AH67">
            <v>525164.27152788884</v>
          </cell>
          <cell r="AJ67">
            <v>15812.841167253478</v>
          </cell>
          <cell r="AK67">
            <v>1116879.6305041036</v>
          </cell>
          <cell r="AM67">
            <v>4418.0732137237401</v>
          </cell>
          <cell r="AN67">
            <v>422261.45934643602</v>
          </cell>
          <cell r="AP67">
            <v>1133.2752889175906</v>
          </cell>
          <cell r="AQ67">
            <v>3497737.7123524193</v>
          </cell>
          <cell r="AS67">
            <v>4671.1346860063095</v>
          </cell>
          <cell r="AT67">
            <v>2380941.9901265986</v>
          </cell>
          <cell r="AV67">
            <v>2072.5034409860968</v>
          </cell>
          <cell r="AW67">
            <v>3650423.1905186521</v>
          </cell>
          <cell r="AY67">
            <v>2251.5469332334478</v>
          </cell>
          <cell r="AZ67">
            <v>3257221.20879152</v>
          </cell>
          <cell r="BD67">
            <v>-966000</v>
          </cell>
          <cell r="BE67">
            <v>1660440</v>
          </cell>
          <cell r="BR67">
            <v>0</v>
          </cell>
          <cell r="BS67">
            <v>-4217390.0308036208</v>
          </cell>
        </row>
        <row r="68">
          <cell r="B68">
            <v>381</v>
          </cell>
          <cell r="F68">
            <v>19953398.359996177</v>
          </cell>
          <cell r="J68">
            <v>1.0002429734488885</v>
          </cell>
          <cell r="M68">
            <v>1384336.2752532617</v>
          </cell>
          <cell r="O68">
            <v>8241303.5069487244</v>
          </cell>
          <cell r="Q68">
            <v>43956.922770713354</v>
          </cell>
          <cell r="R68">
            <v>5150586.8156446023</v>
          </cell>
          <cell r="T68">
            <v>4897.1895980057579</v>
          </cell>
          <cell r="U68">
            <v>1201449.9209393139</v>
          </cell>
          <cell r="V68">
            <v>1205522.7355065704</v>
          </cell>
          <cell r="X68">
            <v>5492.3341672078468</v>
          </cell>
          <cell r="Y68">
            <v>186970.5978299937</v>
          </cell>
          <cell r="AA68">
            <v>3287.7986537264965</v>
          </cell>
          <cell r="AB68">
            <v>145362.41367931926</v>
          </cell>
          <cell r="AD68">
            <v>5326.2938336153311</v>
          </cell>
          <cell r="AE68">
            <v>321188.30560435768</v>
          </cell>
          <cell r="AG68">
            <v>2321.56394137487</v>
          </cell>
          <cell r="AH68">
            <v>149742.78553024938</v>
          </cell>
          <cell r="AJ68">
            <v>3296.8008404875363</v>
          </cell>
          <cell r="AK68">
            <v>232856.93352783381</v>
          </cell>
          <cell r="AM68">
            <v>1772.4305489514304</v>
          </cell>
          <cell r="AN68">
            <v>169401.69933481654</v>
          </cell>
          <cell r="AP68">
            <v>247.06001444187544</v>
          </cell>
          <cell r="AQ68">
            <v>762525.34417568182</v>
          </cell>
          <cell r="AS68">
            <v>1360.3304438904884</v>
          </cell>
          <cell r="AT68">
            <v>693379.25194264972</v>
          </cell>
          <cell r="AV68">
            <v>472.11468346787535</v>
          </cell>
          <cell r="AW68">
            <v>831563.58394054254</v>
          </cell>
          <cell r="AY68">
            <v>458.1112818395909</v>
          </cell>
          <cell r="AZ68">
            <v>662730.92564483173</v>
          </cell>
          <cell r="BD68">
            <v>-180000</v>
          </cell>
          <cell r="BE68">
            <v>0</v>
          </cell>
          <cell r="BR68">
            <v>0</v>
          </cell>
          <cell r="BS68">
            <v>-1185058.7475475743</v>
          </cell>
        </row>
        <row r="69">
          <cell r="B69">
            <v>382</v>
          </cell>
          <cell r="F69">
            <v>41030990.678769432</v>
          </cell>
          <cell r="J69">
            <v>1.0002429734488885</v>
          </cell>
          <cell r="M69">
            <v>3112756.1333729411</v>
          </cell>
          <cell r="O69">
            <v>15415901.418451075</v>
          </cell>
          <cell r="Q69">
            <v>94886.253239848505</v>
          </cell>
          <cell r="R69">
            <v>11118155.096350197</v>
          </cell>
          <cell r="T69">
            <v>13003.15865483555</v>
          </cell>
          <cell r="U69">
            <v>3190124.381579061</v>
          </cell>
          <cell r="V69">
            <v>1970046.3057697753</v>
          </cell>
          <cell r="X69">
            <v>14666.562719681051</v>
          </cell>
          <cell r="Y69">
            <v>499280.61846315744</v>
          </cell>
          <cell r="AA69">
            <v>9075.2044981017643</v>
          </cell>
          <cell r="AB69">
            <v>401239.17837312556</v>
          </cell>
          <cell r="AD69">
            <v>5559.3504464289217</v>
          </cell>
          <cell r="AE69">
            <v>335242.17888244503</v>
          </cell>
          <cell r="AG69">
            <v>4762.1567965901577</v>
          </cell>
          <cell r="AH69">
            <v>307163.03399806865</v>
          </cell>
          <cell r="AJ69">
            <v>4814.1694312095005</v>
          </cell>
          <cell r="AK69">
            <v>340030.46755748306</v>
          </cell>
          <cell r="AM69">
            <v>911.22134881193733</v>
          </cell>
          <cell r="AN69">
            <v>87090.8284954954</v>
          </cell>
          <cell r="AP69">
            <v>604.14675596312861</v>
          </cell>
          <cell r="AQ69">
            <v>1864636.8740166472</v>
          </cell>
          <cell r="AS69">
            <v>2550.6195822946656</v>
          </cell>
          <cell r="AT69">
            <v>1300086.097392468</v>
          </cell>
          <cell r="AV69">
            <v>1148.278933519324</v>
          </cell>
          <cell r="AW69">
            <v>2022531.7677197941</v>
          </cell>
          <cell r="AY69">
            <v>986.23957182060406</v>
          </cell>
          <cell r="AZ69">
            <v>1426752.6041174761</v>
          </cell>
          <cell r="BD69">
            <v>-390000</v>
          </cell>
          <cell r="BE69">
            <v>0</v>
          </cell>
          <cell r="BR69">
            <v>0</v>
          </cell>
          <cell r="BS69">
            <v>-5304783.1000466272</v>
          </cell>
        </row>
        <row r="70">
          <cell r="B70">
            <v>383</v>
          </cell>
          <cell r="F70">
            <v>74975166.789303765</v>
          </cell>
          <cell r="J70">
            <v>1.0002429734488885</v>
          </cell>
          <cell r="M70">
            <v>5257277.068447358</v>
          </cell>
          <cell r="O70">
            <v>29213162.364319034</v>
          </cell>
          <cell r="Q70">
            <v>159968.39163021214</v>
          </cell>
          <cell r="R70">
            <v>18744057.520773351</v>
          </cell>
          <cell r="T70">
            <v>18408.971804840072</v>
          </cell>
          <cell r="U70">
            <v>4516357.2446747571</v>
          </cell>
          <cell r="V70">
            <v>4676410.4928567316</v>
          </cell>
          <cell r="X70">
            <v>10249.48974893076</v>
          </cell>
          <cell r="Y70">
            <v>348914.17154688499</v>
          </cell>
          <cell r="AA70">
            <v>15896.861577023185</v>
          </cell>
          <cell r="AB70">
            <v>702842.96945707977</v>
          </cell>
          <cell r="AD70">
            <v>8941.1719396596145</v>
          </cell>
          <cell r="AE70">
            <v>539174.13404645142</v>
          </cell>
          <cell r="AG70">
            <v>10324.507971939427</v>
          </cell>
          <cell r="AH70">
            <v>665939.26421509439</v>
          </cell>
          <cell r="AJ70">
            <v>22338.426326034027</v>
          </cell>
          <cell r="AK70">
            <v>1577789.4103389296</v>
          </cell>
          <cell r="AM70">
            <v>8807.1393812174629</v>
          </cell>
          <cell r="AN70">
            <v>841750.54325229093</v>
          </cell>
          <cell r="AP70">
            <v>827.20093904223074</v>
          </cell>
          <cell r="AQ70">
            <v>2553070.686774449</v>
          </cell>
          <cell r="AS70">
            <v>4341.0545047681762</v>
          </cell>
          <cell r="AT70">
            <v>2212695.5539934556</v>
          </cell>
          <cell r="AV70">
            <v>1851.4497438538926</v>
          </cell>
          <cell r="AW70">
            <v>3261068.2073600516</v>
          </cell>
          <cell r="AY70">
            <v>2478.6020882063458</v>
          </cell>
          <cell r="AZ70">
            <v>3585692.6501045697</v>
          </cell>
          <cell r="BD70">
            <v>-42000</v>
          </cell>
          <cell r="BE70">
            <v>997375</v>
          </cell>
          <cell r="BR70">
            <v>0</v>
          </cell>
          <cell r="BS70">
            <v>-5142397.8850249127</v>
          </cell>
        </row>
        <row r="71">
          <cell r="B71">
            <v>384</v>
          </cell>
          <cell r="F71">
            <v>32402815.030446321</v>
          </cell>
          <cell r="J71">
            <v>1.0002429734488885</v>
          </cell>
          <cell r="M71">
            <v>2062501.0112516081</v>
          </cell>
          <cell r="O71">
            <v>12587527.165731154</v>
          </cell>
          <cell r="Q71">
            <v>67830.114913506535</v>
          </cell>
          <cell r="R71">
            <v>7947892.4718982419</v>
          </cell>
          <cell r="T71">
            <v>6827.1584152753921</v>
          </cell>
          <cell r="U71">
            <v>1674937.9974206071</v>
          </cell>
          <cell r="V71">
            <v>1906727.2750163495</v>
          </cell>
          <cell r="X71">
            <v>7755.8840161226808</v>
          </cell>
          <cell r="Y71">
            <v>264026.59179999476</v>
          </cell>
          <cell r="AA71">
            <v>8217.9962698560685</v>
          </cell>
          <cell r="AB71">
            <v>363339.69905363169</v>
          </cell>
          <cell r="AD71">
            <v>4899.1900839526561</v>
          </cell>
          <cell r="AE71">
            <v>295432.92410331342</v>
          </cell>
          <cell r="AG71">
            <v>5587.3572496854913</v>
          </cell>
          <cell r="AH71">
            <v>360389.14259886823</v>
          </cell>
          <cell r="AJ71">
            <v>5965.4490936491711</v>
          </cell>
          <cell r="AK71">
            <v>421346.7086043692</v>
          </cell>
          <cell r="AM71">
            <v>2115.5138888443989</v>
          </cell>
          <cell r="AN71">
            <v>202192.2088561721</v>
          </cell>
          <cell r="AP71">
            <v>364.08844233539543</v>
          </cell>
          <cell r="AQ71">
            <v>1123721.5598378472</v>
          </cell>
          <cell r="AS71">
            <v>2850.6924743293321</v>
          </cell>
          <cell r="AT71">
            <v>1453037.4029680523</v>
          </cell>
          <cell r="AV71">
            <v>908.22061989159067</v>
          </cell>
          <cell r="AW71">
            <v>1599702.8267330774</v>
          </cell>
          <cell r="AY71">
            <v>980.23811397991074</v>
          </cell>
          <cell r="AZ71">
            <v>1418070.5395893778</v>
          </cell>
          <cell r="BD71">
            <v>-60000</v>
          </cell>
          <cell r="BE71">
            <v>688696.78</v>
          </cell>
          <cell r="BR71">
            <v>0</v>
          </cell>
          <cell r="BS71">
            <v>-2541985.8640939221</v>
          </cell>
        </row>
        <row r="72">
          <cell r="B72">
            <v>390</v>
          </cell>
          <cell r="F72">
            <v>21943585.133219231</v>
          </cell>
          <cell r="J72">
            <v>1</v>
          </cell>
          <cell r="M72">
            <v>2520000</v>
          </cell>
          <cell r="O72">
            <v>9741376.9483356941</v>
          </cell>
          <cell r="Q72">
            <v>38179.999999999993</v>
          </cell>
          <cell r="R72">
            <v>4473684.5126094697</v>
          </cell>
          <cell r="T72">
            <v>4444.0000000000009</v>
          </cell>
          <cell r="U72">
            <v>1090266.8442382889</v>
          </cell>
          <cell r="V72">
            <v>1081448.605858736</v>
          </cell>
          <cell r="X72">
            <v>4364</v>
          </cell>
          <cell r="Y72">
            <v>148559.7314529196</v>
          </cell>
          <cell r="AA72">
            <v>4639</v>
          </cell>
          <cell r="AB72">
            <v>205102.65623901508</v>
          </cell>
          <cell r="AD72">
            <v>4968</v>
          </cell>
          <cell r="AE72">
            <v>299582.32724073349</v>
          </cell>
          <cell r="AG72">
            <v>1529</v>
          </cell>
          <cell r="AH72">
            <v>98621.758804609621</v>
          </cell>
          <cell r="AJ72">
            <v>2535</v>
          </cell>
          <cell r="AK72">
            <v>179050.04125325487</v>
          </cell>
          <cell r="AM72">
            <v>1575</v>
          </cell>
          <cell r="AN72">
            <v>150532.09086820323</v>
          </cell>
          <cell r="AP72">
            <v>250</v>
          </cell>
          <cell r="AQ72">
            <v>771599.30745802389</v>
          </cell>
          <cell r="AS72">
            <v>1480</v>
          </cell>
          <cell r="AT72">
            <v>754376.48071760312</v>
          </cell>
          <cell r="AV72">
            <v>341</v>
          </cell>
          <cell r="AW72">
            <v>600623.51808428729</v>
          </cell>
          <cell r="AY72">
            <v>596</v>
          </cell>
          <cell r="AZ72">
            <v>862208.91591712821</v>
          </cell>
          <cell r="BD72">
            <v>48000</v>
          </cell>
          <cell r="BE72">
            <v>0</v>
          </cell>
          <cell r="BR72">
            <v>391086.10826576501</v>
          </cell>
          <cell r="BS72">
            <v>0</v>
          </cell>
        </row>
        <row r="73">
          <cell r="B73">
            <v>391</v>
          </cell>
          <cell r="F73">
            <v>37341888.783365108</v>
          </cell>
          <cell r="J73">
            <v>1</v>
          </cell>
          <cell r="M73">
            <v>2754000</v>
          </cell>
          <cell r="O73">
            <v>15267988.920024313</v>
          </cell>
          <cell r="Q73">
            <v>55792.131000000001</v>
          </cell>
          <cell r="R73">
            <v>6537359.674703477</v>
          </cell>
          <cell r="T73">
            <v>9564.4999999999927</v>
          </cell>
          <cell r="U73">
            <v>2346502.5273890877</v>
          </cell>
          <cell r="V73">
            <v>2138726.0602904237</v>
          </cell>
          <cell r="X73">
            <v>4484</v>
          </cell>
          <cell r="Y73">
            <v>152644.7836468587</v>
          </cell>
          <cell r="AA73">
            <v>3176</v>
          </cell>
          <cell r="AB73">
            <v>140419.49476505967</v>
          </cell>
          <cell r="AD73">
            <v>5086</v>
          </cell>
          <cell r="AE73">
            <v>306698.01053670899</v>
          </cell>
          <cell r="AG73">
            <v>3660</v>
          </cell>
          <cell r="AH73">
            <v>236073.01322751553</v>
          </cell>
          <cell r="AJ73">
            <v>11552</v>
          </cell>
          <cell r="AK73">
            <v>815931.39114698232</v>
          </cell>
          <cell r="AM73">
            <v>5095</v>
          </cell>
          <cell r="AN73">
            <v>486959.36696729867</v>
          </cell>
          <cell r="AP73">
            <v>454</v>
          </cell>
          <cell r="AQ73">
            <v>1401224.3423437714</v>
          </cell>
          <cell r="AS73">
            <v>2140</v>
          </cell>
          <cell r="AT73">
            <v>1090787.6140105883</v>
          </cell>
          <cell r="AV73">
            <v>580</v>
          </cell>
          <cell r="AW73">
            <v>1021588.3885304593</v>
          </cell>
          <cell r="AY73">
            <v>730</v>
          </cell>
          <cell r="AZ73">
            <v>1056061.2560729927</v>
          </cell>
          <cell r="BD73">
            <v>1743000</v>
          </cell>
          <cell r="BE73">
            <v>1984650.0000000005</v>
          </cell>
          <cell r="BR73">
            <v>697271.40767248347</v>
          </cell>
          <cell r="BS73">
            <v>0</v>
          </cell>
        </row>
        <row r="74">
          <cell r="B74">
            <v>392</v>
          </cell>
          <cell r="F74">
            <v>19782508.013427936</v>
          </cell>
          <cell r="J74">
            <v>1</v>
          </cell>
          <cell r="M74">
            <v>2170000</v>
          </cell>
          <cell r="O74">
            <v>8781007.8182467632</v>
          </cell>
          <cell r="Q74">
            <v>38722.125999999989</v>
          </cell>
          <cell r="R74">
            <v>4537207.3174833022</v>
          </cell>
          <cell r="T74">
            <v>3831.0000000000018</v>
          </cell>
          <cell r="U74">
            <v>939876.75073737302</v>
          </cell>
          <cell r="V74">
            <v>1050736.3857878563</v>
          </cell>
          <cell r="X74">
            <v>3565</v>
          </cell>
          <cell r="Y74">
            <v>121360.09226160824</v>
          </cell>
          <cell r="AA74">
            <v>3372</v>
          </cell>
          <cell r="AB74">
            <v>149085.18146970443</v>
          </cell>
          <cell r="AD74">
            <v>3716</v>
          </cell>
          <cell r="AE74">
            <v>224083.72142241659</v>
          </cell>
          <cell r="AG74">
            <v>4423</v>
          </cell>
          <cell r="AH74">
            <v>285287.14139489102</v>
          </cell>
          <cell r="AJ74">
            <v>2105</v>
          </cell>
          <cell r="AK74">
            <v>148678.633861184</v>
          </cell>
          <cell r="AM74">
            <v>1279</v>
          </cell>
          <cell r="AN74">
            <v>122241.61537805201</v>
          </cell>
          <cell r="AP74">
            <v>222</v>
          </cell>
          <cell r="AQ74">
            <v>685180.18502272514</v>
          </cell>
          <cell r="AS74">
            <v>1640</v>
          </cell>
          <cell r="AT74">
            <v>835930.69484923582</v>
          </cell>
          <cell r="AV74">
            <v>362</v>
          </cell>
          <cell r="AW74">
            <v>637612.06318625214</v>
          </cell>
          <cell r="AY74">
            <v>432</v>
          </cell>
          <cell r="AZ74">
            <v>624956.79811442853</v>
          </cell>
          <cell r="BD74">
            <v>-480000</v>
          </cell>
          <cell r="BE74">
            <v>0</v>
          </cell>
          <cell r="BR74">
            <v>0</v>
          </cell>
          <cell r="BS74">
            <v>0</v>
          </cell>
        </row>
        <row r="75">
          <cell r="B75">
            <v>393</v>
          </cell>
          <cell r="F75">
            <v>17271622.344262131</v>
          </cell>
          <cell r="J75">
            <v>1</v>
          </cell>
          <cell r="M75">
            <v>1992000</v>
          </cell>
          <cell r="O75">
            <v>7344924.7471680511</v>
          </cell>
          <cell r="Q75">
            <v>28195.165999999997</v>
          </cell>
          <cell r="R75">
            <v>3303726.4920024383</v>
          </cell>
          <cell r="T75">
            <v>4214</v>
          </cell>
          <cell r="U75">
            <v>1033839.8923537688</v>
          </cell>
          <cell r="V75">
            <v>1145188.8860879068</v>
          </cell>
          <cell r="X75">
            <v>2890</v>
          </cell>
          <cell r="Y75">
            <v>98381.673670700649</v>
          </cell>
          <cell r="AA75">
            <v>2158</v>
          </cell>
          <cell r="AB75">
            <v>95410.979125629339</v>
          </cell>
          <cell r="AD75">
            <v>3915</v>
          </cell>
          <cell r="AE75">
            <v>236083.89918427364</v>
          </cell>
          <cell r="AG75">
            <v>4342</v>
          </cell>
          <cell r="AH75">
            <v>280062.57470870827</v>
          </cell>
          <cell r="AJ75">
            <v>4096</v>
          </cell>
          <cell r="AK75">
            <v>289305.31320447021</v>
          </cell>
          <cell r="AM75">
            <v>1527</v>
          </cell>
          <cell r="AN75">
            <v>145944.44619412467</v>
          </cell>
          <cell r="AP75">
            <v>178</v>
          </cell>
          <cell r="AQ75">
            <v>549378.70691011299</v>
          </cell>
          <cell r="AS75">
            <v>1300</v>
          </cell>
          <cell r="AT75">
            <v>662627.98981951619</v>
          </cell>
          <cell r="AV75">
            <v>298</v>
          </cell>
          <cell r="AW75">
            <v>524885.0685897877</v>
          </cell>
          <cell r="AY75">
            <v>374</v>
          </cell>
          <cell r="AZ75">
            <v>541050.56133054697</v>
          </cell>
          <cell r="BD75">
            <v>174000</v>
          </cell>
          <cell r="BE75">
            <v>0</v>
          </cell>
          <cell r="BR75">
            <v>0</v>
          </cell>
          <cell r="BS75">
            <v>-1.862645149230957E-9</v>
          </cell>
        </row>
        <row r="76">
          <cell r="B76">
            <v>394</v>
          </cell>
          <cell r="F76">
            <v>26686207.41279586</v>
          </cell>
          <cell r="J76">
            <v>1</v>
          </cell>
          <cell r="M76">
            <v>2612000</v>
          </cell>
          <cell r="O76">
            <v>9905450.3917676583</v>
          </cell>
          <cell r="Q76">
            <v>51655.03</v>
          </cell>
          <cell r="R76">
            <v>6052601.0400570352</v>
          </cell>
          <cell r="T76">
            <v>8548.5</v>
          </cell>
          <cell r="U76">
            <v>2097242.6008035578</v>
          </cell>
          <cell r="V76">
            <v>1919665.9292190047</v>
          </cell>
          <cell r="X76">
            <v>5796</v>
          </cell>
          <cell r="Y76">
            <v>197308.02096725986</v>
          </cell>
          <cell r="AA76">
            <v>4107</v>
          </cell>
          <cell r="AB76">
            <v>181581.5066121222</v>
          </cell>
          <cell r="AD76">
            <v>6680</v>
          </cell>
          <cell r="AE76">
            <v>402820.03743319237</v>
          </cell>
          <cell r="AG76">
            <v>6517</v>
          </cell>
          <cell r="AH76">
            <v>420351.8653562073</v>
          </cell>
          <cell r="AJ76">
            <v>6666</v>
          </cell>
          <cell r="AK76">
            <v>470827.44575707969</v>
          </cell>
          <cell r="AM76">
            <v>2582</v>
          </cell>
          <cell r="AN76">
            <v>246777.05309314333</v>
          </cell>
          <cell r="AP76">
            <v>328</v>
          </cell>
          <cell r="AQ76">
            <v>1012338.2913849273</v>
          </cell>
          <cell r="AS76">
            <v>2600</v>
          </cell>
          <cell r="AT76">
            <v>1325255.9796390324</v>
          </cell>
          <cell r="AV76">
            <v>539</v>
          </cell>
          <cell r="AW76">
            <v>949372.65761709912</v>
          </cell>
          <cell r="AY76">
            <v>829</v>
          </cell>
          <cell r="AZ76">
            <v>1199280.5223075491</v>
          </cell>
          <cell r="BD76">
            <v>-387000</v>
          </cell>
          <cell r="BE76">
            <v>0</v>
          </cell>
          <cell r="BR76">
            <v>0</v>
          </cell>
          <cell r="BS76">
            <v>-3387443.1925085895</v>
          </cell>
        </row>
        <row r="77">
          <cell r="B77">
            <v>800</v>
          </cell>
          <cell r="F77">
            <v>20268316.699771557</v>
          </cell>
          <cell r="J77">
            <v>1.021975426906069</v>
          </cell>
          <cell r="M77">
            <v>2048038.7555197624</v>
          </cell>
          <cell r="O77">
            <v>10085211.554648781</v>
          </cell>
          <cell r="Q77">
            <v>35784.310144949406</v>
          </cell>
          <cell r="R77">
            <v>4192973.1296457341</v>
          </cell>
          <cell r="T77">
            <v>2565.158321534233</v>
          </cell>
          <cell r="U77">
            <v>629322.02254516503</v>
          </cell>
          <cell r="V77">
            <v>294372.9780238932</v>
          </cell>
          <cell r="X77">
            <v>1586.1058625582191</v>
          </cell>
          <cell r="Y77">
            <v>53994.376947193043</v>
          </cell>
          <cell r="AA77">
            <v>2583.5538792185425</v>
          </cell>
          <cell r="AB77">
            <v>114225.85970345647</v>
          </cell>
          <cell r="AD77">
            <v>405.72424448170938</v>
          </cell>
          <cell r="AE77">
            <v>24466.146010430519</v>
          </cell>
          <cell r="AG77">
            <v>1015.8435743446327</v>
          </cell>
          <cell r="AH77">
            <v>65522.746875231445</v>
          </cell>
          <cell r="AJ77">
            <v>512.00968887994054</v>
          </cell>
          <cell r="AK77">
            <v>36163.848487581679</v>
          </cell>
          <cell r="AM77">
            <v>0</v>
          </cell>
          <cell r="AN77">
            <v>0</v>
          </cell>
          <cell r="AP77">
            <v>146.14248604756787</v>
          </cell>
          <cell r="AQ77">
            <v>451053.76409798913</v>
          </cell>
          <cell r="AS77">
            <v>1175.2717409419793</v>
          </cell>
          <cell r="AT77">
            <v>599052.27014774387</v>
          </cell>
          <cell r="AV77">
            <v>310.68052977944501</v>
          </cell>
          <cell r="AW77">
            <v>547220.03752615955</v>
          </cell>
          <cell r="AY77">
            <v>427.18572844673685</v>
          </cell>
          <cell r="AZ77">
            <v>617992.1876163251</v>
          </cell>
          <cell r="BD77">
            <v>492000</v>
          </cell>
          <cell r="BE77">
            <v>311080</v>
          </cell>
          <cell r="BR77">
            <v>3381602.8201842383</v>
          </cell>
          <cell r="BS77">
            <v>0</v>
          </cell>
        </row>
        <row r="78">
          <cell r="B78">
            <v>801</v>
          </cell>
          <cell r="F78">
            <v>51408228.46229773</v>
          </cell>
          <cell r="J78">
            <v>1.021975426906069</v>
          </cell>
          <cell r="M78">
            <v>3550342.6330716838</v>
          </cell>
          <cell r="O78">
            <v>22148697.220413171</v>
          </cell>
          <cell r="Q78">
            <v>91292.473161746966</v>
          </cell>
          <cell r="R78">
            <v>10697059.2797675</v>
          </cell>
          <cell r="T78">
            <v>10728.187043946455</v>
          </cell>
          <cell r="U78">
            <v>2631995.1918995492</v>
          </cell>
          <cell r="V78">
            <v>2984494.1111245793</v>
          </cell>
          <cell r="X78">
            <v>10966.818306129027</v>
          </cell>
          <cell r="Y78">
            <v>373333.5431832014</v>
          </cell>
          <cell r="AA78">
            <v>8742.9997771814196</v>
          </cell>
          <cell r="AB78">
            <v>386551.51493792329</v>
          </cell>
          <cell r="AD78">
            <v>4835.9877201195186</v>
          </cell>
          <cell r="AE78">
            <v>291621.66982709628</v>
          </cell>
          <cell r="AG78">
            <v>7644.3761932573962</v>
          </cell>
          <cell r="AH78">
            <v>493068.55797457864</v>
          </cell>
          <cell r="AJ78">
            <v>13478.833905464144</v>
          </cell>
          <cell r="AK78">
            <v>952025.94351839274</v>
          </cell>
          <cell r="AM78">
            <v>5104.7672573958143</v>
          </cell>
          <cell r="AN78">
            <v>487892.8816833875</v>
          </cell>
          <cell r="AP78">
            <v>628.51488754723243</v>
          </cell>
          <cell r="AQ78">
            <v>1939846.6078340092</v>
          </cell>
          <cell r="AS78">
            <v>3219.2225947541174</v>
          </cell>
          <cell r="AT78">
            <v>1640882.3051872985</v>
          </cell>
          <cell r="AV78">
            <v>1004.6018446486659</v>
          </cell>
          <cell r="AW78">
            <v>1769464.7923954437</v>
          </cell>
          <cell r="AY78">
            <v>1319.3702761357351</v>
          </cell>
          <cell r="AZ78">
            <v>1908679.220604487</v>
          </cell>
          <cell r="BD78">
            <v>111000</v>
          </cell>
          <cell r="BE78">
            <v>2025767.1</v>
          </cell>
          <cell r="BR78">
            <v>85478.574783593416</v>
          </cell>
          <cell r="BS78">
            <v>0</v>
          </cell>
        </row>
        <row r="79">
          <cell r="B79">
            <v>802</v>
          </cell>
          <cell r="F79">
            <v>21064724.557693258</v>
          </cell>
          <cell r="J79">
            <v>1.021975426906069</v>
          </cell>
          <cell r="M79">
            <v>1459380.9096218667</v>
          </cell>
          <cell r="O79">
            <v>10738608.304307595</v>
          </cell>
          <cell r="Q79">
            <v>42513.053586322887</v>
          </cell>
          <cell r="R79">
            <v>4981403.5990798641</v>
          </cell>
          <cell r="T79">
            <v>2505.8837467736812</v>
          </cell>
          <cell r="U79">
            <v>614779.92003216932</v>
          </cell>
          <cell r="V79">
            <v>531573.97076063382</v>
          </cell>
          <cell r="X79">
            <v>1712.8308154945717</v>
          </cell>
          <cell r="Y79">
            <v>58308.360672355375</v>
          </cell>
          <cell r="AA79">
            <v>2063.3683869233532</v>
          </cell>
          <cell r="AB79">
            <v>91227.061210948814</v>
          </cell>
          <cell r="AD79">
            <v>1721.0066189098202</v>
          </cell>
          <cell r="AE79">
            <v>103780.83093593197</v>
          </cell>
          <cell r="AG79">
            <v>159.42816659734677</v>
          </cell>
          <cell r="AH79">
            <v>10283.248000539343</v>
          </cell>
          <cell r="AJ79">
            <v>2347.4775556032405</v>
          </cell>
          <cell r="AK79">
            <v>165805.10973248523</v>
          </cell>
          <cell r="AM79">
            <v>1068.9862965437483</v>
          </cell>
          <cell r="AN79">
            <v>102169.36020837305</v>
          </cell>
          <cell r="AP79">
            <v>205.41706080811988</v>
          </cell>
          <cell r="AQ79">
            <v>633998.64743843232</v>
          </cell>
          <cell r="AS79">
            <v>1226.3705122872827</v>
          </cell>
          <cell r="AT79">
            <v>625098.02102373273</v>
          </cell>
          <cell r="AV79">
            <v>374.04300624762124</v>
          </cell>
          <cell r="AW79">
            <v>658824.12412688951</v>
          </cell>
          <cell r="AY79">
            <v>542.66895168712267</v>
          </cell>
          <cell r="AZ79">
            <v>785057.06130207807</v>
          </cell>
          <cell r="BD79">
            <v>36000</v>
          </cell>
          <cell r="BE79">
            <v>0</v>
          </cell>
          <cell r="BR79">
            <v>2382815.7008004747</v>
          </cell>
          <cell r="BS79">
            <v>0</v>
          </cell>
        </row>
        <row r="80">
          <cell r="B80">
            <v>803</v>
          </cell>
          <cell r="F80">
            <v>27938722.155699629</v>
          </cell>
          <cell r="J80">
            <v>1.021975426906069</v>
          </cell>
          <cell r="M80">
            <v>1982632.328197774</v>
          </cell>
          <cell r="O80">
            <v>14310431.624642802</v>
          </cell>
          <cell r="Q80">
            <v>57284.034386500818</v>
          </cell>
          <cell r="R80">
            <v>6712171.2272047428</v>
          </cell>
          <cell r="T80">
            <v>3046.5087476069916</v>
          </cell>
          <cell r="U80">
            <v>747413.92398690735</v>
          </cell>
          <cell r="V80">
            <v>451414.84135413513</v>
          </cell>
          <cell r="X80">
            <v>6029.655018745807</v>
          </cell>
          <cell r="Y80">
            <v>205262.12885853025</v>
          </cell>
          <cell r="AA80">
            <v>3225.3544473155539</v>
          </cell>
          <cell r="AB80">
            <v>142601.58750953665</v>
          </cell>
          <cell r="AD80">
            <v>1493.1060987097669</v>
          </cell>
          <cell r="AE80">
            <v>90037.882421256902</v>
          </cell>
          <cell r="AG80">
            <v>209.50496251574415</v>
          </cell>
          <cell r="AH80">
            <v>13513.242564811313</v>
          </cell>
          <cell r="AJ80">
            <v>0</v>
          </cell>
          <cell r="AK80">
            <v>0</v>
          </cell>
          <cell r="AM80">
            <v>0</v>
          </cell>
          <cell r="AN80">
            <v>0</v>
          </cell>
          <cell r="AP80">
            <v>275.93336526463861</v>
          </cell>
          <cell r="AQ80">
            <v>851639.97417102836</v>
          </cell>
          <cell r="AS80">
            <v>1880.4347855071669</v>
          </cell>
          <cell r="AT80">
            <v>958483.63223639026</v>
          </cell>
          <cell r="AV80">
            <v>500.7679591839738</v>
          </cell>
          <cell r="AW80">
            <v>882032.29732834932</v>
          </cell>
          <cell r="AY80">
            <v>763.41564389883354</v>
          </cell>
          <cell r="AZ80">
            <v>1104402.3065774995</v>
          </cell>
          <cell r="BD80">
            <v>-72000</v>
          </cell>
          <cell r="BE80">
            <v>10100</v>
          </cell>
          <cell r="BR80">
            <v>3395907.3934089094</v>
          </cell>
          <cell r="BS80">
            <v>0</v>
          </cell>
        </row>
        <row r="81">
          <cell r="B81">
            <v>805</v>
          </cell>
          <cell r="F81">
            <v>11181758.656760819</v>
          </cell>
          <cell r="J81">
            <v>1</v>
          </cell>
          <cell r="M81">
            <v>984000</v>
          </cell>
          <cell r="O81">
            <v>4691162.976521736</v>
          </cell>
          <cell r="Q81">
            <v>18975.419000000002</v>
          </cell>
          <cell r="R81">
            <v>2223416.3986531035</v>
          </cell>
          <cell r="T81">
            <v>3816</v>
          </cell>
          <cell r="U81">
            <v>936196.73213620833</v>
          </cell>
          <cell r="V81">
            <v>820838.97157385852</v>
          </cell>
          <cell r="X81">
            <v>332</v>
          </cell>
          <cell r="Y81">
            <v>11301.977736564919</v>
          </cell>
          <cell r="AA81">
            <v>1180</v>
          </cell>
          <cell r="AB81">
            <v>52170.97097694283</v>
          </cell>
          <cell r="AD81">
            <v>1357</v>
          </cell>
          <cell r="AE81">
            <v>81830.357903718861</v>
          </cell>
          <cell r="AG81">
            <v>1238</v>
          </cell>
          <cell r="AH81">
            <v>79852.019228323552</v>
          </cell>
          <cell r="AJ81">
            <v>4155</v>
          </cell>
          <cell r="AK81">
            <v>293472.55282338226</v>
          </cell>
          <cell r="AM81">
            <v>3162</v>
          </cell>
          <cell r="AN81">
            <v>302211.0929049261</v>
          </cell>
          <cell r="AP81">
            <v>110</v>
          </cell>
          <cell r="AQ81">
            <v>339503.6952815305</v>
          </cell>
          <cell r="AS81">
            <v>860</v>
          </cell>
          <cell r="AT81">
            <v>438353.90095752612</v>
          </cell>
          <cell r="AV81">
            <v>168</v>
          </cell>
          <cell r="AW81">
            <v>295908.36081571924</v>
          </cell>
          <cell r="AY81">
            <v>321</v>
          </cell>
          <cell r="AZ81">
            <v>464377.62082113785</v>
          </cell>
          <cell r="BD81">
            <v>-12000</v>
          </cell>
          <cell r="BE81">
            <v>0</v>
          </cell>
          <cell r="BR81">
            <v>0</v>
          </cell>
          <cell r="BS81">
            <v>-250614.28834071197</v>
          </cell>
        </row>
        <row r="82">
          <cell r="B82">
            <v>806</v>
          </cell>
          <cell r="F82">
            <v>22758579.046181168</v>
          </cell>
          <cell r="J82">
            <v>1</v>
          </cell>
          <cell r="M82">
            <v>2136000</v>
          </cell>
          <cell r="O82">
            <v>9124361.8908118084</v>
          </cell>
          <cell r="Q82">
            <v>30497.796999999999</v>
          </cell>
          <cell r="R82">
            <v>3573533.8425250803</v>
          </cell>
          <cell r="T82">
            <v>6013.5</v>
          </cell>
          <cell r="U82">
            <v>1475319.4572067843</v>
          </cell>
          <cell r="V82">
            <v>1582092.9449438169</v>
          </cell>
          <cell r="X82">
            <v>2128</v>
          </cell>
          <cell r="Y82">
            <v>72441.592239187201</v>
          </cell>
          <cell r="AA82">
            <v>1556</v>
          </cell>
          <cell r="AB82">
            <v>68794.941389934771</v>
          </cell>
          <cell r="AD82">
            <v>1217</v>
          </cell>
          <cell r="AE82">
            <v>73388.021789849561</v>
          </cell>
          <cell r="AG82">
            <v>739</v>
          </cell>
          <cell r="AH82">
            <v>47666.108408506545</v>
          </cell>
          <cell r="AJ82">
            <v>5372</v>
          </cell>
          <cell r="AK82">
            <v>379430.69886094087</v>
          </cell>
          <cell r="AM82">
            <v>9839</v>
          </cell>
          <cell r="AN82">
            <v>940371.58225539781</v>
          </cell>
          <cell r="AP82">
            <v>260</v>
          </cell>
          <cell r="AQ82">
            <v>802463.27975634485</v>
          </cell>
          <cell r="AS82">
            <v>1350</v>
          </cell>
          <cell r="AT82">
            <v>688113.68173565145</v>
          </cell>
          <cell r="AV82">
            <v>467</v>
          </cell>
          <cell r="AW82">
            <v>822554.7886960766</v>
          </cell>
          <cell r="AY82">
            <v>563</v>
          </cell>
          <cell r="AZ82">
            <v>814469.16050560935</v>
          </cell>
          <cell r="BD82">
            <v>561000</v>
          </cell>
          <cell r="BE82">
            <v>1178670</v>
          </cell>
          <cell r="BR82">
            <v>0</v>
          </cell>
          <cell r="BS82">
            <v>0</v>
          </cell>
        </row>
        <row r="83">
          <cell r="B83">
            <v>807</v>
          </cell>
          <cell r="F83">
            <v>16200188.586729379</v>
          </cell>
          <cell r="J83">
            <v>1</v>
          </cell>
          <cell r="M83">
            <v>1556000</v>
          </cell>
          <cell r="O83">
            <v>7212513.2113444591</v>
          </cell>
          <cell r="Q83">
            <v>26013.361000000004</v>
          </cell>
          <cell r="R83">
            <v>3048076.7476851554</v>
          </cell>
          <cell r="T83">
            <v>3760.5000000000005</v>
          </cell>
          <cell r="U83">
            <v>922580.66331190034</v>
          </cell>
          <cell r="V83">
            <v>972894.71638672007</v>
          </cell>
          <cell r="X83">
            <v>3053</v>
          </cell>
          <cell r="Y83">
            <v>103930.53623413463</v>
          </cell>
          <cell r="AA83">
            <v>1703</v>
          </cell>
          <cell r="AB83">
            <v>75294.20641841834</v>
          </cell>
          <cell r="AD83">
            <v>1715</v>
          </cell>
          <cell r="AE83">
            <v>103418.61739489893</v>
          </cell>
          <cell r="AG83">
            <v>2228</v>
          </cell>
          <cell r="AH83">
            <v>143707.83428166792</v>
          </cell>
          <cell r="AJ83">
            <v>2895</v>
          </cell>
          <cell r="AK83">
            <v>204477.26604661651</v>
          </cell>
          <cell r="AM83">
            <v>3579</v>
          </cell>
          <cell r="AN83">
            <v>342066.25601098372</v>
          </cell>
          <cell r="AP83">
            <v>196</v>
          </cell>
          <cell r="AQ83">
            <v>604933.85704709066</v>
          </cell>
          <cell r="AS83">
            <v>1180</v>
          </cell>
          <cell r="AT83">
            <v>601462.3292207917</v>
          </cell>
          <cell r="AV83">
            <v>273</v>
          </cell>
          <cell r="AW83">
            <v>480851.08632554376</v>
          </cell>
          <cell r="AY83">
            <v>543</v>
          </cell>
          <cell r="AZ83">
            <v>785535.97540771915</v>
          </cell>
          <cell r="BD83">
            <v>-120000</v>
          </cell>
          <cell r="BE83">
            <v>135340</v>
          </cell>
          <cell r="BR83">
            <v>0</v>
          </cell>
          <cell r="BS83">
            <v>-1.862645149230957E-9</v>
          </cell>
        </row>
        <row r="84">
          <cell r="B84">
            <v>808</v>
          </cell>
          <cell r="F84">
            <v>23468223.542539023</v>
          </cell>
          <cell r="J84">
            <v>1</v>
          </cell>
          <cell r="M84">
            <v>2220000</v>
          </cell>
          <cell r="O84">
            <v>11114311.345924458</v>
          </cell>
          <cell r="Q84">
            <v>41223.574000000008</v>
          </cell>
          <cell r="R84">
            <v>4830310.7532270942</v>
          </cell>
          <cell r="T84">
            <v>5060</v>
          </cell>
          <cell r="U84">
            <v>1241392.9414594376</v>
          </cell>
          <cell r="V84">
            <v>1223245.6898718355</v>
          </cell>
          <cell r="X84">
            <v>1878</v>
          </cell>
          <cell r="Y84">
            <v>63931.066835147343</v>
          </cell>
          <cell r="AA84">
            <v>3304</v>
          </cell>
          <cell r="AB84">
            <v>146078.71873543994</v>
          </cell>
          <cell r="AD84">
            <v>2979</v>
          </cell>
          <cell r="AE84">
            <v>179640.85202297606</v>
          </cell>
          <cell r="AG84">
            <v>3337</v>
          </cell>
          <cell r="AH84">
            <v>215239.24730607084</v>
          </cell>
          <cell r="AJ84">
            <v>4863</v>
          </cell>
          <cell r="AK84">
            <v>343479.42825032683</v>
          </cell>
          <cell r="AM84">
            <v>2876</v>
          </cell>
          <cell r="AN84">
            <v>274876.37672187458</v>
          </cell>
          <cell r="AP84">
            <v>289</v>
          </cell>
          <cell r="AQ84">
            <v>891968.79942147562</v>
          </cell>
          <cell r="AS84">
            <v>1820</v>
          </cell>
          <cell r="AT84">
            <v>927679.18574732274</v>
          </cell>
          <cell r="AV84">
            <v>478</v>
          </cell>
          <cell r="AW84">
            <v>841929.74089234404</v>
          </cell>
          <cell r="AY84">
            <v>663</v>
          </cell>
          <cell r="AZ84">
            <v>959135.08599506039</v>
          </cell>
          <cell r="BD84">
            <v>-807000</v>
          </cell>
          <cell r="BE84">
            <v>25250</v>
          </cell>
          <cell r="BR84">
            <v>584414.11730464175</v>
          </cell>
          <cell r="BS84">
            <v>0</v>
          </cell>
        </row>
        <row r="85">
          <cell r="B85">
            <v>810</v>
          </cell>
          <cell r="F85">
            <v>30512862.828947809</v>
          </cell>
          <cell r="J85">
            <v>1</v>
          </cell>
          <cell r="M85">
            <v>2500000</v>
          </cell>
          <cell r="O85">
            <v>12464500</v>
          </cell>
          <cell r="Q85">
            <v>53226.142000000007</v>
          </cell>
          <cell r="R85">
            <v>6236693.743618452</v>
          </cell>
          <cell r="T85">
            <v>9237.5000000000036</v>
          </cell>
          <cell r="U85">
            <v>2266278.1218837076</v>
          </cell>
          <cell r="V85">
            <v>2637624.0529748788</v>
          </cell>
          <cell r="X85">
            <v>3529</v>
          </cell>
          <cell r="Y85">
            <v>120134.57660342651</v>
          </cell>
          <cell r="AA85">
            <v>3446</v>
          </cell>
          <cell r="AB85">
            <v>152356.9203275805</v>
          </cell>
          <cell r="AD85">
            <v>3476</v>
          </cell>
          <cell r="AE85">
            <v>209611.14522721208</v>
          </cell>
          <cell r="AG85">
            <v>3649</v>
          </cell>
          <cell r="AH85">
            <v>235363.50417136724</v>
          </cell>
          <cell r="AJ85">
            <v>9424</v>
          </cell>
          <cell r="AK85">
            <v>665628.24014622241</v>
          </cell>
          <cell r="AM85">
            <v>13126</v>
          </cell>
          <cell r="AN85">
            <v>1254529.6664990701</v>
          </cell>
          <cell r="AP85">
            <v>355</v>
          </cell>
          <cell r="AQ85">
            <v>1095671.0165903938</v>
          </cell>
          <cell r="AS85">
            <v>2120</v>
          </cell>
          <cell r="AT85">
            <v>1080593.3372441342</v>
          </cell>
          <cell r="AV85">
            <v>604</v>
          </cell>
          <cell r="AW85">
            <v>1063861.0115041332</v>
          </cell>
          <cell r="AY85">
            <v>691</v>
          </cell>
          <cell r="AZ85">
            <v>999641.54513210664</v>
          </cell>
          <cell r="BD85">
            <v>168000</v>
          </cell>
          <cell r="BE85">
            <v>0</v>
          </cell>
          <cell r="BR85">
            <v>0</v>
          </cell>
          <cell r="BS85">
            <v>-894504.8469812125</v>
          </cell>
        </row>
        <row r="86">
          <cell r="B86">
            <v>811</v>
          </cell>
          <cell r="F86">
            <v>23815156.416424088</v>
          </cell>
          <cell r="J86">
            <v>1</v>
          </cell>
          <cell r="M86">
            <v>1588000</v>
          </cell>
          <cell r="O86">
            <v>10156248</v>
          </cell>
          <cell r="Q86">
            <v>60521.923000000003</v>
          </cell>
          <cell r="R86">
            <v>7091565.9926255345</v>
          </cell>
          <cell r="T86">
            <v>5029.5000000000027</v>
          </cell>
          <cell r="U86">
            <v>1233910.2369704042</v>
          </cell>
          <cell r="V86">
            <v>666230.74108089157</v>
          </cell>
          <cell r="X86">
            <v>5599</v>
          </cell>
          <cell r="Y86">
            <v>190601.72694887646</v>
          </cell>
          <cell r="AA86">
            <v>2313</v>
          </cell>
          <cell r="AB86">
            <v>102263.94565226167</v>
          </cell>
          <cell r="AD86">
            <v>1906</v>
          </cell>
          <cell r="AE86">
            <v>114936.3759502492</v>
          </cell>
          <cell r="AG86">
            <v>2062</v>
          </cell>
          <cell r="AH86">
            <v>133000.69761615765</v>
          </cell>
          <cell r="AJ86">
            <v>1470</v>
          </cell>
          <cell r="AK86">
            <v>103827.83457289336</v>
          </cell>
          <cell r="AM86">
            <v>226</v>
          </cell>
          <cell r="AN86">
            <v>21600.160340453287</v>
          </cell>
          <cell r="AP86">
            <v>254</v>
          </cell>
          <cell r="AQ86">
            <v>783944.8963773523</v>
          </cell>
          <cell r="AS86">
            <v>1700</v>
          </cell>
          <cell r="AT86">
            <v>866513.52514859813</v>
          </cell>
          <cell r="AV86">
            <v>511</v>
          </cell>
          <cell r="AW86">
            <v>900054.59748114587</v>
          </cell>
          <cell r="AY86">
            <v>662</v>
          </cell>
          <cell r="AZ86">
            <v>957688.42674016592</v>
          </cell>
          <cell r="BD86">
            <v>-429000</v>
          </cell>
          <cell r="BE86">
            <v>0</v>
          </cell>
          <cell r="BR86">
            <v>0</v>
          </cell>
          <cell r="BS86">
            <v>-1148374.9291034341</v>
          </cell>
        </row>
        <row r="87">
          <cell r="B87">
            <v>812</v>
          </cell>
          <cell r="F87">
            <v>18103104.613802172</v>
          </cell>
          <cell r="J87">
            <v>1</v>
          </cell>
          <cell r="M87">
            <v>1480000</v>
          </cell>
          <cell r="O87">
            <v>7857000</v>
          </cell>
          <cell r="Q87">
            <v>32454.936000000005</v>
          </cell>
          <cell r="R87">
            <v>3802858.6836283808</v>
          </cell>
          <cell r="T87">
            <v>3773</v>
          </cell>
          <cell r="U87">
            <v>925647.34547953715</v>
          </cell>
          <cell r="V87">
            <v>1309571.7394075678</v>
          </cell>
          <cell r="X87">
            <v>3231</v>
          </cell>
          <cell r="Y87">
            <v>109990.03032181101</v>
          </cell>
          <cell r="AA87">
            <v>1514</v>
          </cell>
          <cell r="AB87">
            <v>66938.008524653764</v>
          </cell>
          <cell r="AD87">
            <v>2317</v>
          </cell>
          <cell r="AE87">
            <v>139720.66268453692</v>
          </cell>
          <cell r="AG87">
            <v>2529</v>
          </cell>
          <cell r="AH87">
            <v>163122.58209081605</v>
          </cell>
          <cell r="AJ87">
            <v>4379</v>
          </cell>
          <cell r="AK87">
            <v>309293.93713925174</v>
          </cell>
          <cell r="AM87">
            <v>5446</v>
          </cell>
          <cell r="AN87">
            <v>520506.51864649821</v>
          </cell>
          <cell r="AP87">
            <v>237</v>
          </cell>
          <cell r="AQ87">
            <v>731476.14347020665</v>
          </cell>
          <cell r="AS87">
            <v>1140</v>
          </cell>
          <cell r="AT87">
            <v>581073.77568788349</v>
          </cell>
          <cell r="AV87">
            <v>427</v>
          </cell>
          <cell r="AW87">
            <v>752100.41707328637</v>
          </cell>
          <cell r="AY87">
            <v>471</v>
          </cell>
          <cell r="AZ87">
            <v>681376.50905531435</v>
          </cell>
          <cell r="BD87">
            <v>-18000</v>
          </cell>
          <cell r="BE87">
            <v>0</v>
          </cell>
          <cell r="BR87">
            <v>0</v>
          </cell>
          <cell r="BS87">
            <v>0</v>
          </cell>
        </row>
        <row r="88">
          <cell r="B88">
            <v>813</v>
          </cell>
          <cell r="F88">
            <v>16313740.018107366</v>
          </cell>
          <cell r="J88">
            <v>1</v>
          </cell>
          <cell r="M88">
            <v>1388000</v>
          </cell>
          <cell r="O88">
            <v>7245123.4479882503</v>
          </cell>
          <cell r="Q88">
            <v>33807.269000000008</v>
          </cell>
          <cell r="R88">
            <v>3961316.2844138895</v>
          </cell>
          <cell r="T88">
            <v>3206.9999999999991</v>
          </cell>
          <cell r="U88">
            <v>786787.97692893585</v>
          </cell>
          <cell r="V88">
            <v>788318.23373567325</v>
          </cell>
          <cell r="X88">
            <v>3354</v>
          </cell>
          <cell r="Y88">
            <v>114177.20882059861</v>
          </cell>
          <cell r="AA88">
            <v>3489</v>
          </cell>
          <cell r="AB88">
            <v>154258.0658801301</v>
          </cell>
          <cell r="AD88">
            <v>1120</v>
          </cell>
          <cell r="AE88">
            <v>67538.688910954399</v>
          </cell>
          <cell r="AG88">
            <v>1686</v>
          </cell>
          <cell r="AH88">
            <v>108748.38806054404</v>
          </cell>
          <cell r="AJ88">
            <v>2410</v>
          </cell>
          <cell r="AK88">
            <v>170221.14375555987</v>
          </cell>
          <cell r="AM88">
            <v>1814</v>
          </cell>
          <cell r="AN88">
            <v>173374.73830788615</v>
          </cell>
          <cell r="AP88">
            <v>191</v>
          </cell>
          <cell r="AQ88">
            <v>589501.87089793023</v>
          </cell>
          <cell r="AS88">
            <v>1130</v>
          </cell>
          <cell r="AT88">
            <v>575976.63730465644</v>
          </cell>
          <cell r="AV88">
            <v>426</v>
          </cell>
          <cell r="AW88">
            <v>750339.05778271658</v>
          </cell>
          <cell r="AY88">
            <v>471</v>
          </cell>
          <cell r="AZ88">
            <v>681376.50905531435</v>
          </cell>
          <cell r="BD88">
            <v>-453000</v>
          </cell>
          <cell r="BE88">
            <v>0</v>
          </cell>
          <cell r="BR88">
            <v>0</v>
          </cell>
          <cell r="BS88">
            <v>0</v>
          </cell>
        </row>
        <row r="89">
          <cell r="B89">
            <v>815</v>
          </cell>
          <cell r="F89">
            <v>47341541.056719258</v>
          </cell>
          <cell r="J89">
            <v>1</v>
          </cell>
          <cell r="M89">
            <v>3588000</v>
          </cell>
          <cell r="O89">
            <v>22572000</v>
          </cell>
          <cell r="Q89">
            <v>113033.27100000001</v>
          </cell>
          <cell r="R89">
            <v>13244504.816194061</v>
          </cell>
          <cell r="T89">
            <v>6550</v>
          </cell>
          <cell r="U89">
            <v>1606941.4558417622</v>
          </cell>
          <cell r="V89">
            <v>893504.90173643408</v>
          </cell>
          <cell r="X89">
            <v>7499</v>
          </cell>
          <cell r="Y89">
            <v>255281.72001957931</v>
          </cell>
          <cell r="AA89">
            <v>2959</v>
          </cell>
          <cell r="AB89">
            <v>130825.34162777444</v>
          </cell>
          <cell r="AD89">
            <v>3327</v>
          </cell>
          <cell r="AE89">
            <v>200626.08750602257</v>
          </cell>
          <cell r="AG89">
            <v>1208</v>
          </cell>
          <cell r="AH89">
            <v>77916.994529737363</v>
          </cell>
          <cell r="AJ89">
            <v>1025</v>
          </cell>
          <cell r="AK89">
            <v>72396.959481099097</v>
          </cell>
          <cell r="AM89">
            <v>1637</v>
          </cell>
          <cell r="AN89">
            <v>156457.79857222136</v>
          </cell>
          <cell r="AP89">
            <v>413</v>
          </cell>
          <cell r="AQ89">
            <v>1274682.0559206554</v>
          </cell>
          <cell r="AS89">
            <v>3170</v>
          </cell>
          <cell r="AT89">
            <v>1615792.8674829744</v>
          </cell>
          <cell r="AV89">
            <v>1121</v>
          </cell>
          <cell r="AW89">
            <v>1974483.7647286979</v>
          </cell>
          <cell r="AY89">
            <v>1188</v>
          </cell>
          <cell r="AZ89">
            <v>1718631.1948146783</v>
          </cell>
          <cell r="BD89">
            <v>-1248000</v>
          </cell>
          <cell r="BE89">
            <v>101000</v>
          </cell>
          <cell r="BR89">
            <v>747594.0972526744</v>
          </cell>
          <cell r="BS89">
            <v>0</v>
          </cell>
        </row>
        <row r="90">
          <cell r="B90">
            <v>816</v>
          </cell>
          <cell r="F90">
            <v>17325825.294166192</v>
          </cell>
          <cell r="J90">
            <v>1</v>
          </cell>
          <cell r="M90">
            <v>1032000</v>
          </cell>
          <cell r="O90">
            <v>7994160.7378354371</v>
          </cell>
          <cell r="Q90">
            <v>35688.434999999998</v>
          </cell>
          <cell r="R90">
            <v>4181739.1026393338</v>
          </cell>
          <cell r="T90">
            <v>1899</v>
          </cell>
          <cell r="U90">
            <v>465890.3549074055</v>
          </cell>
          <cell r="V90">
            <v>378598.62477642664</v>
          </cell>
          <cell r="X90">
            <v>3493</v>
          </cell>
          <cell r="Y90">
            <v>118909.06094524477</v>
          </cell>
          <cell r="AA90">
            <v>646</v>
          </cell>
          <cell r="AB90">
            <v>28561.395975512769</v>
          </cell>
          <cell r="AD90">
            <v>1557</v>
          </cell>
          <cell r="AE90">
            <v>93890.838066389289</v>
          </cell>
          <cell r="AG90">
            <v>1152</v>
          </cell>
          <cell r="AH90">
            <v>74304.948425709794</v>
          </cell>
          <cell r="AJ90">
            <v>891</v>
          </cell>
          <cell r="AK90">
            <v>62932.381363570057</v>
          </cell>
          <cell r="AM90">
            <v>0</v>
          </cell>
          <cell r="AN90">
            <v>0</v>
          </cell>
          <cell r="AP90">
            <v>139</v>
          </cell>
          <cell r="AQ90">
            <v>429009.21494666126</v>
          </cell>
          <cell r="AS90">
            <v>800</v>
          </cell>
          <cell r="AT90">
            <v>407771.07065816387</v>
          </cell>
          <cell r="AV90">
            <v>317</v>
          </cell>
          <cell r="AW90">
            <v>558350.89511061308</v>
          </cell>
          <cell r="AY90">
            <v>264</v>
          </cell>
          <cell r="AZ90">
            <v>381918.04329215077</v>
          </cell>
          <cell r="BD90">
            <v>1278000</v>
          </cell>
          <cell r="BE90">
            <v>218387.25</v>
          </cell>
          <cell r="BR90">
            <v>1498351.6060211696</v>
          </cell>
          <cell r="BS90">
            <v>0</v>
          </cell>
        </row>
        <row r="91">
          <cell r="B91">
            <v>821</v>
          </cell>
          <cell r="F91">
            <v>28267130.52427233</v>
          </cell>
          <cell r="J91">
            <v>1.023570261471221</v>
          </cell>
          <cell r="M91">
            <v>2071706.2092177512</v>
          </cell>
          <cell r="O91">
            <v>12903647.308808958</v>
          </cell>
          <cell r="Q91">
            <v>56229.293915963986</v>
          </cell>
          <cell r="R91">
            <v>6588583.5868730759</v>
          </cell>
          <cell r="T91">
            <v>5737.1113155461935</v>
          </cell>
          <cell r="U91">
            <v>1407511.7572106943</v>
          </cell>
          <cell r="V91">
            <v>1645285.8611856243</v>
          </cell>
          <cell r="X91">
            <v>9592.9004905082838</v>
          </cell>
          <cell r="Y91">
            <v>326562.49329158833</v>
          </cell>
          <cell r="AA91">
            <v>4697.1639298914333</v>
          </cell>
          <cell r="AB91">
            <v>207674.23988161751</v>
          </cell>
          <cell r="AD91">
            <v>10480.335907203831</v>
          </cell>
          <cell r="AE91">
            <v>631989.41653477203</v>
          </cell>
          <cell r="AG91">
            <v>2809.7003677385014</v>
          </cell>
          <cell r="AH91">
            <v>181227.98690669029</v>
          </cell>
          <cell r="AJ91">
            <v>3684.8529412963953</v>
          </cell>
          <cell r="AK91">
            <v>260265.51130228685</v>
          </cell>
          <cell r="AM91">
            <v>393.05098040494886</v>
          </cell>
          <cell r="AN91">
            <v>37566.213268669286</v>
          </cell>
          <cell r="AP91">
            <v>374.62671569846691</v>
          </cell>
          <cell r="AQ91">
            <v>1156246.8575528443</v>
          </cell>
          <cell r="AS91">
            <v>1934.5477941806078</v>
          </cell>
          <cell r="AT91">
            <v>986065.78159051947</v>
          </cell>
          <cell r="AV91">
            <v>727.75845590603808</v>
          </cell>
          <cell r="AW91">
            <v>1281844.1176008012</v>
          </cell>
          <cell r="AY91">
            <v>669.41495100217855</v>
          </cell>
          <cell r="AZ91">
            <v>968415.33423205698</v>
          </cell>
          <cell r="BD91">
            <v>-798000</v>
          </cell>
          <cell r="BE91">
            <v>55823.71</v>
          </cell>
          <cell r="BR91">
            <v>0</v>
          </cell>
          <cell r="BS91">
            <v>0</v>
          </cell>
        </row>
        <row r="92">
          <cell r="B92">
            <v>822</v>
          </cell>
          <cell r="F92">
            <v>20615516.821527611</v>
          </cell>
          <cell r="J92">
            <v>1.023570261471221</v>
          </cell>
          <cell r="M92">
            <v>1582439.6242345076</v>
          </cell>
          <cell r="O92">
            <v>9199260.9491955824</v>
          </cell>
          <cell r="Q92">
            <v>39030.60515633563</v>
          </cell>
          <cell r="R92">
            <v>4573352.9021915672</v>
          </cell>
          <cell r="T92">
            <v>3044.0979576154114</v>
          </cell>
          <cell r="U92">
            <v>746822.47385273955</v>
          </cell>
          <cell r="V92">
            <v>785830.13686989155</v>
          </cell>
          <cell r="X92">
            <v>4351.1971815141605</v>
          </cell>
          <cell r="Y92">
            <v>148123.89660505141</v>
          </cell>
          <cell r="AA92">
            <v>3051.2629494457096</v>
          </cell>
          <cell r="AB92">
            <v>134904.53455809582</v>
          </cell>
          <cell r="AD92">
            <v>4003.1832926139455</v>
          </cell>
          <cell r="AE92">
            <v>241401.56344052093</v>
          </cell>
          <cell r="AG92">
            <v>2436.097222301506</v>
          </cell>
          <cell r="AH92">
            <v>157130.27644368776</v>
          </cell>
          <cell r="AJ92">
            <v>945.77892159940825</v>
          </cell>
          <cell r="AK92">
            <v>66801.481234253632</v>
          </cell>
          <cell r="AM92">
            <v>392.02741014347765</v>
          </cell>
          <cell r="AN92">
            <v>37468.384588282126</v>
          </cell>
          <cell r="AP92">
            <v>197.54906046394564</v>
          </cell>
          <cell r="AQ92">
            <v>609714.87297185487</v>
          </cell>
          <cell r="AS92">
            <v>1238.5200163801774</v>
          </cell>
          <cell r="AT92">
            <v>631290.79138863948</v>
          </cell>
          <cell r="AV92">
            <v>409.4281045884884</v>
          </cell>
          <cell r="AW92">
            <v>721149.99583730032</v>
          </cell>
          <cell r="AY92">
            <v>425.80522877202793</v>
          </cell>
          <cell r="AZ92">
            <v>615995.07498552848</v>
          </cell>
          <cell r="BD92">
            <v>477000</v>
          </cell>
          <cell r="BE92">
            <v>672660</v>
          </cell>
          <cell r="BR92">
            <v>1294339.8676727228</v>
          </cell>
          <cell r="BS92">
            <v>0</v>
          </cell>
        </row>
        <row r="93">
          <cell r="B93">
            <v>823</v>
          </cell>
          <cell r="F93">
            <v>27576043.615205694</v>
          </cell>
          <cell r="J93">
            <v>1.023570261471221</v>
          </cell>
          <cell r="M93">
            <v>2546642.8105403977</v>
          </cell>
          <cell r="O93">
            <v>11851259.56958691</v>
          </cell>
          <cell r="Q93">
            <v>61236.847339084488</v>
          </cell>
          <cell r="R93">
            <v>7175336.1849631416</v>
          </cell>
          <cell r="T93">
            <v>3092.2057599045588</v>
          </cell>
          <cell r="U93">
            <v>758624.98100508621</v>
          </cell>
          <cell r="V93">
            <v>604235.80668397411</v>
          </cell>
          <cell r="X93">
            <v>4049.2439543801502</v>
          </cell>
          <cell r="Y93">
            <v>137844.77416362817</v>
          </cell>
          <cell r="AA93">
            <v>4265.2172795505776</v>
          </cell>
          <cell r="AB93">
            <v>188576.71771337982</v>
          </cell>
          <cell r="AD93">
            <v>1620.3117239089429</v>
          </cell>
          <cell r="AE93">
            <v>97708.68701773067</v>
          </cell>
          <cell r="AG93">
            <v>2792.2996732934907</v>
          </cell>
          <cell r="AH93">
            <v>180105.62778923538</v>
          </cell>
          <cell r="AJ93">
            <v>0</v>
          </cell>
          <cell r="AK93">
            <v>0</v>
          </cell>
          <cell r="AM93">
            <v>0</v>
          </cell>
          <cell r="AN93">
            <v>0</v>
          </cell>
          <cell r="AP93">
            <v>235.42116013838083</v>
          </cell>
          <cell r="AQ93">
            <v>726603.21649495675</v>
          </cell>
          <cell r="AS93">
            <v>1995.9620098688808</v>
          </cell>
          <cell r="AT93">
            <v>1017369.4571965676</v>
          </cell>
          <cell r="AV93">
            <v>585.48218956153846</v>
          </cell>
          <cell r="AW93">
            <v>1031244.4940473394</v>
          </cell>
          <cell r="AY93">
            <v>712.40490198396981</v>
          </cell>
          <cell r="AZ93">
            <v>1030607.1446873266</v>
          </cell>
          <cell r="BD93">
            <v>165000</v>
          </cell>
          <cell r="BE93">
            <v>669119.94999999995</v>
          </cell>
          <cell r="BR93">
            <v>585342.37372680008</v>
          </cell>
          <cell r="BS93">
            <v>0</v>
          </cell>
        </row>
        <row r="94">
          <cell r="B94">
            <v>825</v>
          </cell>
          <cell r="F94">
            <v>65117266.752169862</v>
          </cell>
          <cell r="J94">
            <v>1.0480374594349251</v>
          </cell>
          <cell r="M94">
            <v>6254687.5579076326</v>
          </cell>
          <cell r="O94">
            <v>36813932.972700424</v>
          </cell>
          <cell r="Q94">
            <v>125925.76504037395</v>
          </cell>
          <cell r="R94">
            <v>14755163.562064432</v>
          </cell>
          <cell r="T94">
            <v>5180.449161986835</v>
          </cell>
          <cell r="U94">
            <v>1270943.2852331849</v>
          </cell>
          <cell r="V94">
            <v>611648.78597559314</v>
          </cell>
          <cell r="X94">
            <v>6315.4737305548588</v>
          </cell>
          <cell r="Y94">
            <v>214991.99848973376</v>
          </cell>
          <cell r="AA94">
            <v>6941.1520938375088</v>
          </cell>
          <cell r="AB94">
            <v>306886.98680859542</v>
          </cell>
          <cell r="AD94">
            <v>290.30637626347425</v>
          </cell>
          <cell r="AE94">
            <v>17506.171460111844</v>
          </cell>
          <cell r="AG94">
            <v>1120.3520441359349</v>
          </cell>
          <cell r="AH94">
            <v>72263.629217152076</v>
          </cell>
          <cell r="AJ94">
            <v>0</v>
          </cell>
          <cell r="AK94">
            <v>0</v>
          </cell>
          <cell r="AM94">
            <v>0</v>
          </cell>
          <cell r="AN94">
            <v>0</v>
          </cell>
          <cell r="AP94">
            <v>474.76096912402107</v>
          </cell>
          <cell r="AQ94">
            <v>1465300.9399367797</v>
          </cell>
          <cell r="AS94">
            <v>3133.632003710426</v>
          </cell>
          <cell r="AT94">
            <v>1597255.5965021097</v>
          </cell>
          <cell r="AV94">
            <v>971.53072489617557</v>
          </cell>
          <cell r="AW94">
            <v>1711214.6683698497</v>
          </cell>
          <cell r="AY94">
            <v>1249.2606516464307</v>
          </cell>
          <cell r="AZ94">
            <v>1807254.483479856</v>
          </cell>
          <cell r="BD94">
            <v>-1410000</v>
          </cell>
          <cell r="BE94">
            <v>239864.9</v>
          </cell>
          <cell r="BR94">
            <v>16005805.222562537</v>
          </cell>
          <cell r="BS94">
            <v>0</v>
          </cell>
        </row>
        <row r="95">
          <cell r="B95">
            <v>826</v>
          </cell>
          <cell r="F95">
            <v>35795265.99016007</v>
          </cell>
          <cell r="J95">
            <v>1.0431206446350318</v>
          </cell>
          <cell r="M95">
            <v>3525747.7788664075</v>
          </cell>
          <cell r="O95">
            <v>17544195.623370524</v>
          </cell>
          <cell r="Q95">
            <v>68319.417150033871</v>
          </cell>
          <cell r="R95">
            <v>8005225.731131807</v>
          </cell>
          <cell r="T95">
            <v>5072.1741345378423</v>
          </cell>
          <cell r="U95">
            <v>1244379.6775629267</v>
          </cell>
          <cell r="V95">
            <v>1434801.7215685225</v>
          </cell>
          <cell r="X95">
            <v>8277.1623151789772</v>
          </cell>
          <cell r="Y95">
            <v>281772.00062676787</v>
          </cell>
          <cell r="AA95">
            <v>5875.8985912291346</v>
          </cell>
          <cell r="AB95">
            <v>259789.26683599528</v>
          </cell>
          <cell r="AD95">
            <v>4287.2258494499811</v>
          </cell>
          <cell r="AE95">
            <v>258530.01155089689</v>
          </cell>
          <cell r="AG95">
            <v>2934.2983733583446</v>
          </cell>
          <cell r="AH95">
            <v>189264.66084898953</v>
          </cell>
          <cell r="AJ95">
            <v>5219.7757057536992</v>
          </cell>
          <cell r="AK95">
            <v>368678.91733646445</v>
          </cell>
          <cell r="AM95">
            <v>803.20289636897451</v>
          </cell>
          <cell r="AN95">
            <v>76766.864369408562</v>
          </cell>
          <cell r="AP95">
            <v>297.28938372098406</v>
          </cell>
          <cell r="AQ95">
            <v>917553.13037493604</v>
          </cell>
          <cell r="AS95">
            <v>2034.0852570383122</v>
          </cell>
          <cell r="AT95">
            <v>1036801.4038406237</v>
          </cell>
          <cell r="AV95">
            <v>616.48430097930384</v>
          </cell>
          <cell r="AW95">
            <v>1085850.3510202994</v>
          </cell>
          <cell r="AY95">
            <v>716.62388286426688</v>
          </cell>
          <cell r="AZ95">
            <v>1036710.5724240312</v>
          </cell>
          <cell r="BD95">
            <v>-36000</v>
          </cell>
          <cell r="BE95">
            <v>0</v>
          </cell>
          <cell r="BR95">
            <v>4168870.9461674392</v>
          </cell>
          <cell r="BS95">
            <v>0</v>
          </cell>
        </row>
        <row r="96">
          <cell r="B96">
            <v>830</v>
          </cell>
          <cell r="F96">
            <v>67838920.440146878</v>
          </cell>
          <cell r="J96">
            <v>1</v>
          </cell>
          <cell r="M96">
            <v>3776000</v>
          </cell>
          <cell r="O96">
            <v>33031554.490738556</v>
          </cell>
          <cell r="Q96">
            <v>145415.28700000001</v>
          </cell>
          <cell r="R96">
            <v>17038819.207662687</v>
          </cell>
          <cell r="T96">
            <v>13609</v>
          </cell>
          <cell r="U96">
            <v>3338758.2095497008</v>
          </cell>
          <cell r="V96">
            <v>2586999.9077341589</v>
          </cell>
          <cell r="X96">
            <v>15220</v>
          </cell>
          <cell r="Y96">
            <v>518120.78659794602</v>
          </cell>
          <cell r="AA96">
            <v>7604</v>
          </cell>
          <cell r="AB96">
            <v>336193.27399040107</v>
          </cell>
          <cell r="AD96">
            <v>8964</v>
          </cell>
          <cell r="AE96">
            <v>540550.7208908886</v>
          </cell>
          <cell r="AG96">
            <v>8378</v>
          </cell>
          <cell r="AH96">
            <v>540387.89749183739</v>
          </cell>
          <cell r="AJ96">
            <v>8172</v>
          </cell>
          <cell r="AK96">
            <v>577198.00280930917</v>
          </cell>
          <cell r="AM96">
            <v>780</v>
          </cell>
          <cell r="AN96">
            <v>74549.22595377684</v>
          </cell>
          <cell r="AP96">
            <v>670</v>
          </cell>
          <cell r="AQ96">
            <v>2067886.1439875038</v>
          </cell>
          <cell r="AS96">
            <v>5250</v>
          </cell>
          <cell r="AT96">
            <v>2675997.6511941999</v>
          </cell>
          <cell r="AV96">
            <v>1426</v>
          </cell>
          <cell r="AW96">
            <v>2511698.3483524742</v>
          </cell>
          <cell r="AY96">
            <v>1824</v>
          </cell>
          <cell r="AZ96">
            <v>2638706.480927587</v>
          </cell>
          <cell r="BD96">
            <v>-1878000</v>
          </cell>
          <cell r="BE96">
            <v>50500</v>
          </cell>
          <cell r="BR96">
            <v>617458.84784211218</v>
          </cell>
          <cell r="BS96">
            <v>0</v>
          </cell>
        </row>
        <row r="97">
          <cell r="B97">
            <v>831</v>
          </cell>
          <cell r="F97">
            <v>34273159.403406143</v>
          </cell>
          <cell r="J97">
            <v>1</v>
          </cell>
          <cell r="M97">
            <v>2676000</v>
          </cell>
          <cell r="O97">
            <v>15647028.42574019</v>
          </cell>
          <cell r="Q97">
            <v>56837.425999999999</v>
          </cell>
          <cell r="R97">
            <v>6659840.55612328</v>
          </cell>
          <cell r="T97">
            <v>6629</v>
          </cell>
          <cell r="U97">
            <v>1626322.8871412277</v>
          </cell>
          <cell r="V97">
            <v>2014876.5760330681</v>
          </cell>
          <cell r="X97">
            <v>5542</v>
          </cell>
          <cell r="Y97">
            <v>188661.32715675535</v>
          </cell>
          <cell r="AA97">
            <v>4716</v>
          </cell>
          <cell r="AB97">
            <v>208507.03315869693</v>
          </cell>
          <cell r="AD97">
            <v>5346</v>
          </cell>
          <cell r="AE97">
            <v>322376.63474818057</v>
          </cell>
          <cell r="AG97">
            <v>6746</v>
          </cell>
          <cell r="AH97">
            <v>435122.55388874852</v>
          </cell>
          <cell r="AJ97">
            <v>8321</v>
          </cell>
          <cell r="AK97">
            <v>587722.04862656153</v>
          </cell>
          <cell r="AM97">
            <v>2851</v>
          </cell>
          <cell r="AN97">
            <v>272486.97845412535</v>
          </cell>
          <cell r="AP97">
            <v>341</v>
          </cell>
          <cell r="AQ97">
            <v>1052461.4553727445</v>
          </cell>
          <cell r="AS97">
            <v>2240</v>
          </cell>
          <cell r="AT97">
            <v>1141758.9978428588</v>
          </cell>
          <cell r="AV97">
            <v>900</v>
          </cell>
          <cell r="AW97">
            <v>1585223.3615127816</v>
          </cell>
          <cell r="AY97">
            <v>948</v>
          </cell>
          <cell r="AZ97">
            <v>1371432.9736399958</v>
          </cell>
          <cell r="BD97">
            <v>246000</v>
          </cell>
          <cell r="BE97">
            <v>252214.17</v>
          </cell>
          <cell r="BR97">
            <v>903090.84536401182</v>
          </cell>
          <cell r="BS97">
            <v>0</v>
          </cell>
        </row>
        <row r="98">
          <cell r="B98">
            <v>835</v>
          </cell>
          <cell r="F98">
            <v>36380877.330077827</v>
          </cell>
          <cell r="J98">
            <v>1</v>
          </cell>
          <cell r="M98">
            <v>2974000</v>
          </cell>
          <cell r="O98">
            <v>18023243.282020446</v>
          </cell>
          <cell r="Q98">
            <v>75003.244999999995</v>
          </cell>
          <cell r="R98">
            <v>8788393.2831836995</v>
          </cell>
          <cell r="T98">
            <v>6757.0000000000036</v>
          </cell>
          <cell r="U98">
            <v>1657725.7125378309</v>
          </cell>
          <cell r="V98">
            <v>487940.73061756062</v>
          </cell>
          <cell r="X98">
            <v>3609</v>
          </cell>
          <cell r="Y98">
            <v>122857.94473271925</v>
          </cell>
          <cell r="AA98">
            <v>2483</v>
          </cell>
          <cell r="AB98">
            <v>109780.10248792291</v>
          </cell>
          <cell r="AD98">
            <v>1187</v>
          </cell>
          <cell r="AE98">
            <v>71578.949765449011</v>
          </cell>
          <cell r="AG98">
            <v>1856</v>
          </cell>
          <cell r="AH98">
            <v>119713.52801919913</v>
          </cell>
          <cell r="AJ98">
            <v>411</v>
          </cell>
          <cell r="AK98">
            <v>29029.414972421204</v>
          </cell>
          <cell r="AM98">
            <v>366</v>
          </cell>
          <cell r="AN98">
            <v>34980.790639849132</v>
          </cell>
          <cell r="AP98">
            <v>350</v>
          </cell>
          <cell r="AQ98">
            <v>1080239.0304412334</v>
          </cell>
          <cell r="AS98">
            <v>2670</v>
          </cell>
          <cell r="AT98">
            <v>1360935.9483216219</v>
          </cell>
          <cell r="AV98">
            <v>779</v>
          </cell>
          <cell r="AW98">
            <v>1372098.887353841</v>
          </cell>
          <cell r="AY98">
            <v>838</v>
          </cell>
          <cell r="AZ98">
            <v>1212300.4556015998</v>
          </cell>
          <cell r="BD98">
            <v>-576000</v>
          </cell>
          <cell r="BE98">
            <v>0</v>
          </cell>
          <cell r="BR98">
            <v>2541163.6479428858</v>
          </cell>
          <cell r="BS98">
            <v>0</v>
          </cell>
        </row>
        <row r="99">
          <cell r="B99">
            <v>836</v>
          </cell>
          <cell r="F99">
            <v>14619298.640866853</v>
          </cell>
          <cell r="J99">
            <v>1</v>
          </cell>
          <cell r="M99">
            <v>1048000</v>
          </cell>
          <cell r="O99">
            <v>6926999.9999999991</v>
          </cell>
          <cell r="Q99">
            <v>29150.495999999996</v>
          </cell>
          <cell r="R99">
            <v>3415665.8588288189</v>
          </cell>
          <cell r="T99">
            <v>2073</v>
          </cell>
          <cell r="U99">
            <v>508578.57068091189</v>
          </cell>
          <cell r="V99">
            <v>443676.20190506947</v>
          </cell>
          <cell r="X99">
            <v>4424</v>
          </cell>
          <cell r="Y99">
            <v>150602.25754988915</v>
          </cell>
          <cell r="AA99">
            <v>1852</v>
          </cell>
          <cell r="AB99">
            <v>81881.896821439077</v>
          </cell>
          <cell r="AD99">
            <v>1512</v>
          </cell>
          <cell r="AE99">
            <v>91177.23002978845</v>
          </cell>
          <cell r="AG99">
            <v>816</v>
          </cell>
          <cell r="AH99">
            <v>52632.671801544442</v>
          </cell>
          <cell r="AJ99">
            <v>954</v>
          </cell>
          <cell r="AK99">
            <v>67382.14570240835</v>
          </cell>
          <cell r="AM99">
            <v>0</v>
          </cell>
          <cell r="AN99">
            <v>0</v>
          </cell>
          <cell r="AP99">
            <v>159</v>
          </cell>
          <cell r="AQ99">
            <v>490737.15954330319</v>
          </cell>
          <cell r="AS99">
            <v>860</v>
          </cell>
          <cell r="AT99">
            <v>438353.90095752612</v>
          </cell>
          <cell r="AV99">
            <v>306</v>
          </cell>
          <cell r="AW99">
            <v>538975.94291434577</v>
          </cell>
          <cell r="AY99">
            <v>314</v>
          </cell>
          <cell r="AZ99">
            <v>454251.00603687624</v>
          </cell>
          <cell r="BD99">
            <v>-561000</v>
          </cell>
          <cell r="BE99">
            <v>915060</v>
          </cell>
          <cell r="BR99">
            <v>954583.77324009128</v>
          </cell>
          <cell r="BS99">
            <v>0</v>
          </cell>
        </row>
        <row r="100">
          <cell r="B100">
            <v>837</v>
          </cell>
          <cell r="F100">
            <v>17317739.771725122</v>
          </cell>
          <cell r="J100">
            <v>1</v>
          </cell>
          <cell r="M100">
            <v>1816000</v>
          </cell>
          <cell r="O100">
            <v>8222506.1179448385</v>
          </cell>
          <cell r="Q100">
            <v>34613.145000000004</v>
          </cell>
          <cell r="R100">
            <v>4055743.6018650061</v>
          </cell>
          <cell r="T100">
            <v>2545</v>
          </cell>
          <cell r="U100">
            <v>624376.48933088314</v>
          </cell>
          <cell r="V100">
            <v>650967.10898127151</v>
          </cell>
          <cell r="X100">
            <v>4390</v>
          </cell>
          <cell r="Y100">
            <v>149444.82609493975</v>
          </cell>
          <cell r="AA100">
            <v>3446</v>
          </cell>
          <cell r="AB100">
            <v>152356.9203275805</v>
          </cell>
          <cell r="AD100">
            <v>2522</v>
          </cell>
          <cell r="AE100">
            <v>152082.6548512741</v>
          </cell>
          <cell r="AG100">
            <v>1356</v>
          </cell>
          <cell r="AH100">
            <v>87463.116376095917</v>
          </cell>
          <cell r="AJ100">
            <v>1552</v>
          </cell>
          <cell r="AK100">
            <v>109619.59133138128</v>
          </cell>
          <cell r="AM100">
            <v>0</v>
          </cell>
          <cell r="AN100">
            <v>0</v>
          </cell>
          <cell r="AP100">
            <v>193</v>
          </cell>
          <cell r="AQ100">
            <v>595674.66535759449</v>
          </cell>
          <cell r="AS100">
            <v>1020</v>
          </cell>
          <cell r="AT100">
            <v>519908.11508915888</v>
          </cell>
          <cell r="AV100">
            <v>270</v>
          </cell>
          <cell r="AW100">
            <v>475567.00845383451</v>
          </cell>
          <cell r="AY100">
            <v>450</v>
          </cell>
          <cell r="AZ100">
            <v>650996.66470252979</v>
          </cell>
          <cell r="BD100">
            <v>-294000</v>
          </cell>
          <cell r="BE100">
            <v>0</v>
          </cell>
          <cell r="BR100">
            <v>1326415.5367408786</v>
          </cell>
          <cell r="BS100">
            <v>0</v>
          </cell>
        </row>
        <row r="101">
          <cell r="B101">
            <v>840</v>
          </cell>
          <cell r="F101">
            <v>52739045.47769209</v>
          </cell>
          <cell r="J101">
            <v>1</v>
          </cell>
          <cell r="M101">
            <v>5500000</v>
          </cell>
          <cell r="O101">
            <v>21460204.0571297</v>
          </cell>
          <cell r="Q101">
            <v>96074.405000000013</v>
          </cell>
          <cell r="R101">
            <v>11257375.005413041</v>
          </cell>
          <cell r="T101">
            <v>13054</v>
          </cell>
          <cell r="U101">
            <v>3202597.5213066204</v>
          </cell>
          <cell r="V101">
            <v>3051695.1518359468</v>
          </cell>
          <cell r="X101">
            <v>12209</v>
          </cell>
          <cell r="Y101">
            <v>415620.01863169007</v>
          </cell>
          <cell r="AA101">
            <v>13424</v>
          </cell>
          <cell r="AB101">
            <v>593511.11389362754</v>
          </cell>
          <cell r="AD101">
            <v>10561</v>
          </cell>
          <cell r="AE101">
            <v>636853.65498981206</v>
          </cell>
          <cell r="AG101">
            <v>6983</v>
          </cell>
          <cell r="AH101">
            <v>450409.2490075794</v>
          </cell>
          <cell r="AJ101">
            <v>7076</v>
          </cell>
          <cell r="AK101">
            <v>499786.22954951931</v>
          </cell>
          <cell r="AM101">
            <v>4766</v>
          </cell>
          <cell r="AN101">
            <v>455514.88576371846</v>
          </cell>
          <cell r="AP101">
            <v>659</v>
          </cell>
          <cell r="AQ101">
            <v>2033935.7744593511</v>
          </cell>
          <cell r="AS101">
            <v>4240</v>
          </cell>
          <cell r="AT101">
            <v>2161186.6744882683</v>
          </cell>
          <cell r="AV101">
            <v>1036</v>
          </cell>
          <cell r="AW101">
            <v>1824768.2250302685</v>
          </cell>
          <cell r="AY101">
            <v>1385</v>
          </cell>
          <cell r="AZ101">
            <v>2003623.068028897</v>
          </cell>
          <cell r="BD101">
            <v>-732000</v>
          </cell>
          <cell r="BE101">
            <v>975660</v>
          </cell>
          <cell r="BR101">
            <v>0</v>
          </cell>
          <cell r="BS101">
            <v>-1239198.843061395</v>
          </cell>
        </row>
        <row r="102">
          <cell r="B102">
            <v>841</v>
          </cell>
          <cell r="F102">
            <v>12098691.928556893</v>
          </cell>
          <cell r="J102">
            <v>1</v>
          </cell>
          <cell r="M102">
            <v>1140000</v>
          </cell>
          <cell r="O102">
            <v>5290397.3443746297</v>
          </cell>
          <cell r="Q102">
            <v>21256.175000000003</v>
          </cell>
          <cell r="R102">
            <v>2490660.5787013262</v>
          </cell>
          <cell r="T102">
            <v>2617</v>
          </cell>
          <cell r="U102">
            <v>642040.57861647208</v>
          </cell>
          <cell r="V102">
            <v>596217.27500978822</v>
          </cell>
          <cell r="X102">
            <v>3217</v>
          </cell>
          <cell r="Y102">
            <v>109513.44089918477</v>
          </cell>
          <cell r="AA102">
            <v>2021</v>
          </cell>
          <cell r="AB102">
            <v>89353.840969831741</v>
          </cell>
          <cell r="AD102">
            <v>1420</v>
          </cell>
          <cell r="AE102">
            <v>85629.409154960042</v>
          </cell>
          <cell r="AG102">
            <v>1899</v>
          </cell>
          <cell r="AH102">
            <v>122487.06342050599</v>
          </cell>
          <cell r="AJ102">
            <v>1621</v>
          </cell>
          <cell r="AK102">
            <v>114493.14275010893</v>
          </cell>
          <cell r="AM102">
            <v>782</v>
          </cell>
          <cell r="AN102">
            <v>74740.377815196785</v>
          </cell>
          <cell r="AP102">
            <v>133</v>
          </cell>
          <cell r="AQ102">
            <v>410490.83156766876</v>
          </cell>
          <cell r="AS102">
            <v>850</v>
          </cell>
          <cell r="AT102">
            <v>433256.76257429906</v>
          </cell>
          <cell r="AV102">
            <v>235</v>
          </cell>
          <cell r="AW102">
            <v>413919.43328389298</v>
          </cell>
          <cell r="AY102">
            <v>343</v>
          </cell>
          <cell r="AZ102">
            <v>496204.12442881707</v>
          </cell>
          <cell r="BD102">
            <v>84000</v>
          </cell>
          <cell r="BE102">
            <v>101505</v>
          </cell>
          <cell r="BR102">
            <v>0</v>
          </cell>
          <cell r="BS102">
            <v>0</v>
          </cell>
        </row>
        <row r="103">
          <cell r="B103">
            <v>845</v>
          </cell>
          <cell r="F103">
            <v>50850526.752030842</v>
          </cell>
          <cell r="J103">
            <v>1.0025438138502634</v>
          </cell>
          <cell r="M103">
            <v>4284872.2603960261</v>
          </cell>
          <cell r="O103">
            <v>23239407.51847893</v>
          </cell>
          <cell r="Q103">
            <v>103719.93774662282</v>
          </cell>
          <cell r="R103">
            <v>12153228.893291906</v>
          </cell>
          <cell r="T103">
            <v>8584.7826779998031</v>
          </cell>
          <cell r="U103">
            <v>2106143.9961328465</v>
          </cell>
          <cell r="V103">
            <v>1762019.034520518</v>
          </cell>
          <cell r="X103">
            <v>12325.273647475138</v>
          </cell>
          <cell r="Y103">
            <v>419578.21795432019</v>
          </cell>
          <cell r="AA103">
            <v>5941.0746408766609</v>
          </cell>
          <cell r="AB103">
            <v>262670.87513646379</v>
          </cell>
          <cell r="AD103">
            <v>5411.7315071637213</v>
          </cell>
          <cell r="AE103">
            <v>326340.40243923303</v>
          </cell>
          <cell r="AG103">
            <v>5324.5101953587491</v>
          </cell>
          <cell r="AH103">
            <v>343435.29119643912</v>
          </cell>
          <cell r="AJ103">
            <v>3753.5240390553859</v>
          </cell>
          <cell r="AK103">
            <v>265115.83196763339</v>
          </cell>
          <cell r="AM103">
            <v>1515.8462465415982</v>
          </cell>
          <cell r="AN103">
            <v>144878.41582642836</v>
          </cell>
          <cell r="AP103">
            <v>611.5517264486607</v>
          </cell>
          <cell r="AQ103">
            <v>1887491.5544101819</v>
          </cell>
          <cell r="AS103">
            <v>3779.5901782154929</v>
          </cell>
          <cell r="AT103">
            <v>1926509.4170250148</v>
          </cell>
          <cell r="AV103">
            <v>1035.627759707322</v>
          </cell>
          <cell r="AW103">
            <v>1824112.5761324356</v>
          </cell>
          <cell r="AY103">
            <v>1600.0599269050203</v>
          </cell>
          <cell r="AZ103">
            <v>2314741.5016429815</v>
          </cell>
          <cell r="BD103">
            <v>-648000</v>
          </cell>
          <cell r="BE103">
            <v>0</v>
          </cell>
          <cell r="BR103">
            <v>268504.83739619702</v>
          </cell>
          <cell r="BS103">
            <v>0</v>
          </cell>
        </row>
        <row r="104">
          <cell r="B104">
            <v>846</v>
          </cell>
          <cell r="F104">
            <v>24172173.048557132</v>
          </cell>
          <cell r="J104">
            <v>1.0025438138502634</v>
          </cell>
          <cell r="M104">
            <v>1916863.7720817036</v>
          </cell>
          <cell r="O104">
            <v>11464348.14856557</v>
          </cell>
          <cell r="Q104">
            <v>49185.299776857028</v>
          </cell>
          <cell r="R104">
            <v>5763214.0874745762</v>
          </cell>
          <cell r="T104">
            <v>4011.1777992149036</v>
          </cell>
          <cell r="U104">
            <v>984080.59424588596</v>
          </cell>
          <cell r="V104">
            <v>916989.02711106522</v>
          </cell>
          <cell r="X104">
            <v>3756.5316704969368</v>
          </cell>
          <cell r="Y104">
            <v>127880.23285137772</v>
          </cell>
          <cell r="AA104">
            <v>3023.6721425723945</v>
          </cell>
          <cell r="AB104">
            <v>133684.67084231775</v>
          </cell>
          <cell r="AD104">
            <v>2213.6167409813816</v>
          </cell>
          <cell r="AE104">
            <v>133486.4039618056</v>
          </cell>
          <cell r="AG104">
            <v>2360.9906816173702</v>
          </cell>
          <cell r="AH104">
            <v>152285.84273538206</v>
          </cell>
          <cell r="AJ104">
            <v>4667.8439972868264</v>
          </cell>
          <cell r="AK104">
            <v>329695.32949821081</v>
          </cell>
          <cell r="AM104">
            <v>418.0607703755598</v>
          </cell>
          <cell r="AN104">
            <v>39956.547221971305</v>
          </cell>
          <cell r="AP104">
            <v>256.65121634566742</v>
          </cell>
          <cell r="AQ104">
            <v>792127.60316230578</v>
          </cell>
          <cell r="AS104">
            <v>1684.2736072684424</v>
          </cell>
          <cell r="AT104">
            <v>858497.56514642574</v>
          </cell>
          <cell r="AV104">
            <v>467.18541725422273</v>
          </cell>
          <cell r="AW104">
            <v>822881.37509943382</v>
          </cell>
          <cell r="AY104">
            <v>652.6560228165215</v>
          </cell>
          <cell r="AZ104">
            <v>944170.87567016354</v>
          </cell>
          <cell r="BD104">
            <v>-291000</v>
          </cell>
          <cell r="BE104">
            <v>0</v>
          </cell>
          <cell r="BR104">
            <v>749136.60896524414</v>
          </cell>
          <cell r="BS104">
            <v>0</v>
          </cell>
        </row>
        <row r="105">
          <cell r="B105">
            <v>850</v>
          </cell>
          <cell r="F105">
            <v>114913661.91292734</v>
          </cell>
          <cell r="J105">
            <v>1.0213260495386489</v>
          </cell>
          <cell r="M105">
            <v>12114969.599627454</v>
          </cell>
          <cell r="O105">
            <v>46009539.160244867</v>
          </cell>
          <cell r="Q105">
            <v>277823.59790310788</v>
          </cell>
          <cell r="R105">
            <v>32553565.405358162</v>
          </cell>
          <cell r="T105">
            <v>15054.856633224465</v>
          </cell>
          <cell r="U105">
            <v>3693476.8298752261</v>
          </cell>
          <cell r="V105">
            <v>2216405.657461571</v>
          </cell>
          <cell r="X105">
            <v>14929.744192155969</v>
          </cell>
          <cell r="Y105">
            <v>508239.86889263906</v>
          </cell>
          <cell r="AA105">
            <v>10256.156189467112</v>
          </cell>
          <cell r="AB105">
            <v>453452.22618278069</v>
          </cell>
          <cell r="AD105">
            <v>10664.686609282571</v>
          </cell>
          <cell r="AE105">
            <v>643106.20646174706</v>
          </cell>
          <cell r="AG105">
            <v>7173.7941719594701</v>
          </cell>
          <cell r="AH105">
            <v>462715.63017717534</v>
          </cell>
          <cell r="AJ105">
            <v>2108.0169662477715</v>
          </cell>
          <cell r="AK105">
            <v>148891.72574722866</v>
          </cell>
          <cell r="AM105">
            <v>0</v>
          </cell>
          <cell r="AN105">
            <v>0</v>
          </cell>
          <cell r="AP105">
            <v>1175.5462830189849</v>
          </cell>
          <cell r="AQ105">
            <v>3628202.7914492115</v>
          </cell>
          <cell r="AS105">
            <v>8272.7410012630571</v>
          </cell>
          <cell r="AT105">
            <v>4216730.5692034084</v>
          </cell>
          <cell r="AV105">
            <v>2353.1352181370471</v>
          </cell>
          <cell r="AW105">
            <v>4144716.5784325805</v>
          </cell>
          <cell r="AY105">
            <v>3345.864138288614</v>
          </cell>
          <cell r="AZ105">
            <v>4840325.3212748701</v>
          </cell>
          <cell r="BD105">
            <v>-1305000</v>
          </cell>
          <cell r="BE105">
            <v>2800730</v>
          </cell>
          <cell r="BR105">
            <v>0</v>
          </cell>
          <cell r="BS105">
            <v>-3138563.4067843854</v>
          </cell>
        </row>
        <row r="106">
          <cell r="B106">
            <v>851</v>
          </cell>
          <cell r="F106">
            <v>22207511.156870104</v>
          </cell>
          <cell r="J106">
            <v>1.0213260495386489</v>
          </cell>
          <cell r="M106">
            <v>2191765.7023099405</v>
          </cell>
          <cell r="O106">
            <v>8202241.9512381935</v>
          </cell>
          <cell r="Q106">
            <v>43139.50197119097</v>
          </cell>
          <cell r="R106">
            <v>5054806.753541193</v>
          </cell>
          <cell r="T106">
            <v>4967.2192419312196</v>
          </cell>
          <cell r="U106">
            <v>1218630.6137578883</v>
          </cell>
          <cell r="V106">
            <v>1344594.8887906838</v>
          </cell>
          <cell r="X106">
            <v>6767.3064042430879</v>
          </cell>
          <cell r="Y106">
            <v>230373.33228092943</v>
          </cell>
          <cell r="AA106">
            <v>3299.9044660593745</v>
          </cell>
          <cell r="AB106">
            <v>145897.64417412513</v>
          </cell>
          <cell r="AD106">
            <v>5188.3363316563364</v>
          </cell>
          <cell r="AE106">
            <v>312869.13702601753</v>
          </cell>
          <cell r="AG106">
            <v>2682.0022060884921</v>
          </cell>
          <cell r="AH106">
            <v>172991.35034812961</v>
          </cell>
          <cell r="AJ106">
            <v>4012.7900486373514</v>
          </cell>
          <cell r="AK106">
            <v>283428.09615351807</v>
          </cell>
          <cell r="AM106">
            <v>2082.4838150093051</v>
          </cell>
          <cell r="AN106">
            <v>199035.32880796396</v>
          </cell>
          <cell r="AP106">
            <v>253.28886028558492</v>
          </cell>
          <cell r="AQ106">
            <v>781750.03673275793</v>
          </cell>
          <cell r="AS106">
            <v>1562.6288557941327</v>
          </cell>
          <cell r="AT106">
            <v>796493.55196064385</v>
          </cell>
          <cell r="AV106">
            <v>486.15119958039691</v>
          </cell>
          <cell r="AW106">
            <v>856286.93200256431</v>
          </cell>
          <cell r="AY106">
            <v>779.27177579798911</v>
          </cell>
          <cell r="AZ106">
            <v>1127340.7265362409</v>
          </cell>
          <cell r="BD106">
            <v>-33000</v>
          </cell>
          <cell r="BE106">
            <v>666600</v>
          </cell>
          <cell r="BR106">
            <v>0</v>
          </cell>
          <cell r="BS106">
            <v>-1741300.9641252495</v>
          </cell>
        </row>
        <row r="107">
          <cell r="B107">
            <v>852</v>
          </cell>
          <cell r="F107">
            <v>24812108.669978485</v>
          </cell>
          <cell r="J107">
            <v>1.0213260495386489</v>
          </cell>
          <cell r="M107">
            <v>2328623.3929481194</v>
          </cell>
          <cell r="O107">
            <v>10168036.733020771</v>
          </cell>
          <cell r="Q107">
            <v>49237.931732330704</v>
          </cell>
          <cell r="R107">
            <v>5769381.1582988547</v>
          </cell>
          <cell r="T107">
            <v>6139.7015468015888</v>
          </cell>
          <cell r="U107">
            <v>1506281.0598551547</v>
          </cell>
          <cell r="V107">
            <v>1556518.9242080629</v>
          </cell>
          <cell r="X107">
            <v>6997.1047653892838</v>
          </cell>
          <cell r="Y107">
            <v>238196.15144229514</v>
          </cell>
          <cell r="AA107">
            <v>5613.2079682644144</v>
          </cell>
          <cell r="AB107">
            <v>248175.00847446354</v>
          </cell>
          <cell r="AD107">
            <v>3577.7051515338871</v>
          </cell>
          <cell r="AE107">
            <v>215744.21003979124</v>
          </cell>
          <cell r="AG107">
            <v>3998.4914839438106</v>
          </cell>
          <cell r="AH107">
            <v>257905.99261726104</v>
          </cell>
          <cell r="AJ107">
            <v>6547.7213035922778</v>
          </cell>
          <cell r="AK107">
            <v>462473.28186312155</v>
          </cell>
          <cell r="AM107">
            <v>1402.280666016565</v>
          </cell>
          <cell r="AN107">
            <v>134024.27977113021</v>
          </cell>
          <cell r="AP107">
            <v>298.22720646528546</v>
          </cell>
          <cell r="AQ107">
            <v>920447.6238950215</v>
          </cell>
          <cell r="AS107">
            <v>2012.0123175911383</v>
          </cell>
          <cell r="AT107">
            <v>1025550.5211519401</v>
          </cell>
          <cell r="AV107">
            <v>508.62037267024715</v>
          </cell>
          <cell r="AW107">
            <v>895863.21877579205</v>
          </cell>
          <cell r="AY107">
            <v>571.94258774164337</v>
          </cell>
          <cell r="AZ107">
            <v>827406.03782476392</v>
          </cell>
          <cell r="BD107">
            <v>-186000</v>
          </cell>
          <cell r="BE107">
            <v>0</v>
          </cell>
          <cell r="BR107">
            <v>0</v>
          </cell>
          <cell r="BS107">
            <v>-578287.91138186306</v>
          </cell>
        </row>
        <row r="108">
          <cell r="B108">
            <v>855</v>
          </cell>
          <cell r="F108">
            <v>62549581.36551249</v>
          </cell>
          <cell r="J108">
            <v>1</v>
          </cell>
          <cell r="M108">
            <v>6212000</v>
          </cell>
          <cell r="O108">
            <v>29719333.011696178</v>
          </cell>
          <cell r="Q108">
            <v>133515.587</v>
          </cell>
          <cell r="R108">
            <v>15644489.621630758</v>
          </cell>
          <cell r="T108">
            <v>6849</v>
          </cell>
          <cell r="U108">
            <v>1680296.4932916381</v>
          </cell>
          <cell r="V108">
            <v>984855.57698824548</v>
          </cell>
          <cell r="X108">
            <v>9016</v>
          </cell>
          <cell r="Y108">
            <v>306923.58817129309</v>
          </cell>
          <cell r="AA108">
            <v>4081</v>
          </cell>
          <cell r="AB108">
            <v>180431.97674313872</v>
          </cell>
          <cell r="AD108">
            <v>3684</v>
          </cell>
          <cell r="AE108">
            <v>222154.04459638931</v>
          </cell>
          <cell r="AG108">
            <v>1661</v>
          </cell>
          <cell r="AH108">
            <v>107135.86747838887</v>
          </cell>
          <cell r="AJ108">
            <v>1345</v>
          </cell>
          <cell r="AK108">
            <v>94998.937075198352</v>
          </cell>
          <cell r="AM108">
            <v>766</v>
          </cell>
          <cell r="AN108">
            <v>73211.162923837241</v>
          </cell>
          <cell r="AP108">
            <v>580</v>
          </cell>
          <cell r="AQ108">
            <v>1790110.3933026155</v>
          </cell>
          <cell r="AS108">
            <v>4170</v>
          </cell>
          <cell r="AT108">
            <v>2125506.7058056789</v>
          </cell>
          <cell r="AV108">
            <v>1264</v>
          </cell>
          <cell r="AW108">
            <v>2226358.1432801732</v>
          </cell>
          <cell r="AY108">
            <v>1638</v>
          </cell>
          <cell r="AZ108">
            <v>2369627.8595172078</v>
          </cell>
          <cell r="BD108">
            <v>-834000</v>
          </cell>
          <cell r="BE108">
            <v>631003.56000000006</v>
          </cell>
          <cell r="BR108">
            <v>4337307.9387949705</v>
          </cell>
          <cell r="BS108">
            <v>0</v>
          </cell>
        </row>
        <row r="109">
          <cell r="B109">
            <v>856</v>
          </cell>
          <cell r="F109">
            <v>48818244.983745858</v>
          </cell>
          <cell r="J109">
            <v>1</v>
          </cell>
          <cell r="M109">
            <v>4188000</v>
          </cell>
          <cell r="O109">
            <v>21035562.052490015</v>
          </cell>
          <cell r="Q109">
            <v>80578.794000000009</v>
          </cell>
          <cell r="R109">
            <v>9441699.9152055774</v>
          </cell>
          <cell r="T109">
            <v>9119</v>
          </cell>
          <cell r="U109">
            <v>2237205.9749345081</v>
          </cell>
          <cell r="V109">
            <v>3151373.173720188</v>
          </cell>
          <cell r="X109">
            <v>9495</v>
          </cell>
          <cell r="Y109">
            <v>323229.75484543346</v>
          </cell>
          <cell r="AA109">
            <v>9555</v>
          </cell>
          <cell r="AB109">
            <v>422452.22685143107</v>
          </cell>
          <cell r="AD109">
            <v>6062</v>
          </cell>
          <cell r="AE109">
            <v>365553.15373054071</v>
          </cell>
          <cell r="AG109">
            <v>9916</v>
          </cell>
          <cell r="AH109">
            <v>639590.1637060229</v>
          </cell>
          <cell r="AJ109">
            <v>10913</v>
          </cell>
          <cell r="AK109">
            <v>770798.06713876547</v>
          </cell>
          <cell r="AM109">
            <v>6589</v>
          </cell>
          <cell r="AN109">
            <v>629749.80744799424</v>
          </cell>
          <cell r="AP109">
            <v>596</v>
          </cell>
          <cell r="AQ109">
            <v>1839492.7489799289</v>
          </cell>
          <cell r="AS109">
            <v>2490</v>
          </cell>
          <cell r="AT109">
            <v>1269187.4574235349</v>
          </cell>
          <cell r="AV109">
            <v>1077</v>
          </cell>
          <cell r="AW109">
            <v>1896983.9559436287</v>
          </cell>
          <cell r="AY109">
            <v>1389</v>
          </cell>
          <cell r="AZ109">
            <v>2009409.7050484752</v>
          </cell>
          <cell r="BD109">
            <v>-102000</v>
          </cell>
          <cell r="BE109">
            <v>1851330</v>
          </cell>
          <cell r="BR109">
            <v>670053.83509986848</v>
          </cell>
          <cell r="BS109">
            <v>0</v>
          </cell>
        </row>
        <row r="110">
          <cell r="B110">
            <v>857</v>
          </cell>
          <cell r="F110">
            <v>3068551.6793802497</v>
          </cell>
          <cell r="J110">
            <v>1</v>
          </cell>
          <cell r="M110">
            <v>104000</v>
          </cell>
          <cell r="O110">
            <v>1894016.5197919146</v>
          </cell>
          <cell r="Q110">
            <v>7626.5959999999995</v>
          </cell>
          <cell r="R110">
            <v>893635.00285828533</v>
          </cell>
          <cell r="T110">
            <v>216</v>
          </cell>
          <cell r="U110">
            <v>52992.267856766506</v>
          </cell>
          <cell r="V110">
            <v>0</v>
          </cell>
          <cell r="X110">
            <v>0</v>
          </cell>
          <cell r="Y110">
            <v>0</v>
          </cell>
          <cell r="AA110">
            <v>0</v>
          </cell>
          <cell r="AB110">
            <v>0</v>
          </cell>
          <cell r="AD110">
            <v>0</v>
          </cell>
          <cell r="AE110">
            <v>0</v>
          </cell>
          <cell r="AG110">
            <v>0</v>
          </cell>
          <cell r="AH110">
            <v>0</v>
          </cell>
          <cell r="AJ110">
            <v>0</v>
          </cell>
          <cell r="AK110">
            <v>0</v>
          </cell>
          <cell r="AM110">
            <v>0</v>
          </cell>
          <cell r="AN110">
            <v>0</v>
          </cell>
          <cell r="AP110">
            <v>22</v>
          </cell>
          <cell r="AQ110">
            <v>67900.739056306105</v>
          </cell>
          <cell r="AS110">
            <v>190</v>
          </cell>
          <cell r="AT110">
            <v>96845.629281313915</v>
          </cell>
          <cell r="AV110">
            <v>70</v>
          </cell>
          <cell r="AW110">
            <v>123295.15033988301</v>
          </cell>
          <cell r="AY110">
            <v>40</v>
          </cell>
          <cell r="AZ110">
            <v>57866.370195780422</v>
          </cell>
          <cell r="BD110">
            <v>-222000</v>
          </cell>
          <cell r="BE110">
            <v>0</v>
          </cell>
          <cell r="BR110">
            <v>664664.82143562241</v>
          </cell>
          <cell r="BS110">
            <v>0</v>
          </cell>
        </row>
        <row r="111">
          <cell r="B111">
            <v>860</v>
          </cell>
          <cell r="F111">
            <v>77039120.504898682</v>
          </cell>
          <cell r="J111">
            <v>1</v>
          </cell>
          <cell r="M111">
            <v>10352000</v>
          </cell>
          <cell r="O111">
            <v>30027599.02906616</v>
          </cell>
          <cell r="Q111">
            <v>161215.78</v>
          </cell>
          <cell r="R111">
            <v>18890218.391153891</v>
          </cell>
          <cell r="T111">
            <v>10865.000000000005</v>
          </cell>
          <cell r="U111">
            <v>2665560.1401100392</v>
          </cell>
          <cell r="V111">
            <v>2239499.2266409965</v>
          </cell>
          <cell r="X111">
            <v>16340</v>
          </cell>
          <cell r="Y111">
            <v>556247.94040804449</v>
          </cell>
          <cell r="AA111">
            <v>12172</v>
          </cell>
          <cell r="AB111">
            <v>538156.82943334582</v>
          </cell>
          <cell r="AD111">
            <v>9075</v>
          </cell>
          <cell r="AE111">
            <v>547244.28738117078</v>
          </cell>
          <cell r="AG111">
            <v>4568</v>
          </cell>
          <cell r="AH111">
            <v>294639.76077139092</v>
          </cell>
          <cell r="AJ111">
            <v>3324</v>
          </cell>
          <cell r="AK111">
            <v>234778.0422587058</v>
          </cell>
          <cell r="AM111">
            <v>716</v>
          </cell>
          <cell r="AN111">
            <v>68432.366388338734</v>
          </cell>
          <cell r="AP111">
            <v>823</v>
          </cell>
          <cell r="AQ111">
            <v>2540104.9201518148</v>
          </cell>
          <cell r="AS111">
            <v>5310</v>
          </cell>
          <cell r="AT111">
            <v>2706580.4814935625</v>
          </cell>
          <cell r="AV111">
            <v>1751</v>
          </cell>
          <cell r="AW111">
            <v>3084140.1177876452</v>
          </cell>
          <cell r="AY111">
            <v>2042</v>
          </cell>
          <cell r="AZ111">
            <v>2954078.1984945904</v>
          </cell>
          <cell r="BD111">
            <v>1242000</v>
          </cell>
          <cell r="BE111">
            <v>337339.99999999994</v>
          </cell>
          <cell r="BR111">
            <v>0</v>
          </cell>
          <cell r="BS111">
            <v>-1375414.7887820378</v>
          </cell>
        </row>
        <row r="112">
          <cell r="B112">
            <v>861</v>
          </cell>
          <cell r="F112">
            <v>31150329.297751442</v>
          </cell>
          <cell r="J112">
            <v>1</v>
          </cell>
          <cell r="M112">
            <v>3060000</v>
          </cell>
          <cell r="O112">
            <v>13774243.499306515</v>
          </cell>
          <cell r="Q112">
            <v>53853.129000000001</v>
          </cell>
          <cell r="R112">
            <v>6310160.0095039271</v>
          </cell>
          <cell r="T112">
            <v>7600</v>
          </cell>
          <cell r="U112">
            <v>1864542.7579232662</v>
          </cell>
          <cell r="V112">
            <v>2272256.8513352424</v>
          </cell>
          <cell r="X112">
            <v>3956</v>
          </cell>
          <cell r="Y112">
            <v>134670.55399352656</v>
          </cell>
          <cell r="AA112">
            <v>4833</v>
          </cell>
          <cell r="AB112">
            <v>213679.91756912263</v>
          </cell>
          <cell r="AD112">
            <v>8186</v>
          </cell>
          <cell r="AE112">
            <v>493635.45305810065</v>
          </cell>
          <cell r="AG112">
            <v>7601</v>
          </cell>
          <cell r="AH112">
            <v>490270.75779845507</v>
          </cell>
          <cell r="AJ112">
            <v>5720</v>
          </cell>
          <cell r="AK112">
            <v>404010.34949452378</v>
          </cell>
          <cell r="AM112">
            <v>5608</v>
          </cell>
          <cell r="AN112">
            <v>535989.81942151347</v>
          </cell>
          <cell r="AP112">
            <v>361</v>
          </cell>
          <cell r="AQ112">
            <v>1114189.3999693866</v>
          </cell>
          <cell r="AS112">
            <v>2090</v>
          </cell>
          <cell r="AT112">
            <v>1065301.9220944531</v>
          </cell>
          <cell r="AV112">
            <v>769</v>
          </cell>
          <cell r="AW112">
            <v>1354485.2944481433</v>
          </cell>
          <cell r="AY112">
            <v>801</v>
          </cell>
          <cell r="AZ112">
            <v>1158774.0631705029</v>
          </cell>
          <cell r="BD112">
            <v>-1008000</v>
          </cell>
          <cell r="BE112">
            <v>184375.5</v>
          </cell>
          <cell r="BR112">
            <v>0</v>
          </cell>
          <cell r="BS112">
            <v>0</v>
          </cell>
        </row>
        <row r="113">
          <cell r="B113">
            <v>865</v>
          </cell>
          <cell r="F113">
            <v>44120343.698262505</v>
          </cell>
          <cell r="J113">
            <v>1.0107827425534024</v>
          </cell>
          <cell r="M113">
            <v>2937334.6498601874</v>
          </cell>
          <cell r="O113">
            <v>21322449.264081258</v>
          </cell>
          <cell r="Q113">
            <v>103664.89761701666</v>
          </cell>
          <cell r="R113">
            <v>12146779.648258088</v>
          </cell>
          <cell r="T113">
            <v>5097.8827620680868</v>
          </cell>
          <cell r="U113">
            <v>1250686.8927310405</v>
          </cell>
          <cell r="V113">
            <v>527450.90399389679</v>
          </cell>
          <cell r="X113">
            <v>4759.7759346839721</v>
          </cell>
          <cell r="Y113">
            <v>162032.77603866183</v>
          </cell>
          <cell r="AA113">
            <v>2732.1457531218466</v>
          </cell>
          <cell r="AB113">
            <v>120795.50575499785</v>
          </cell>
          <cell r="AD113">
            <v>3167.7931151623629</v>
          </cell>
          <cell r="AE113">
            <v>191025.53012429821</v>
          </cell>
          <cell r="AG113">
            <v>247.64177192558358</v>
          </cell>
          <cell r="AH113">
            <v>15973.098169255101</v>
          </cell>
          <cell r="AJ113">
            <v>532.68250532564309</v>
          </cell>
          <cell r="AK113">
            <v>37623.993906683841</v>
          </cell>
          <cell r="AM113">
            <v>0</v>
          </cell>
          <cell r="AN113">
            <v>0</v>
          </cell>
          <cell r="AP113">
            <v>385.10822491284631</v>
          </cell>
          <cell r="AQ113">
            <v>1188596.9585565645</v>
          </cell>
          <cell r="AS113">
            <v>3790.4352845752592</v>
          </cell>
          <cell r="AT113">
            <v>1932037.3178146693</v>
          </cell>
          <cell r="AV113">
            <v>949.12499525764485</v>
          </cell>
          <cell r="AW113">
            <v>1671750.1283090299</v>
          </cell>
          <cell r="AY113">
            <v>1346.3626130811319</v>
          </cell>
          <cell r="AZ113">
            <v>1947727.9346577765</v>
          </cell>
          <cell r="BD113">
            <v>-1464000</v>
          </cell>
          <cell r="BE113">
            <v>659530</v>
          </cell>
          <cell r="BR113">
            <v>1688945.5530378222</v>
          </cell>
          <cell r="BS113">
            <v>0</v>
          </cell>
        </row>
        <row r="114">
          <cell r="B114">
            <v>866</v>
          </cell>
          <cell r="F114">
            <v>26770829.296313729</v>
          </cell>
          <cell r="J114">
            <v>1.0107827425534024</v>
          </cell>
          <cell r="M114">
            <v>2474396.153770729</v>
          </cell>
          <cell r="O114">
            <v>13470519.90022547</v>
          </cell>
          <cell r="Q114">
            <v>48167.523427858687</v>
          </cell>
          <cell r="R114">
            <v>5643957.6629116088</v>
          </cell>
          <cell r="T114">
            <v>4250.3414324370578</v>
          </cell>
          <cell r="U114">
            <v>1042755.7021778574</v>
          </cell>
          <cell r="V114">
            <v>771218.88143565366</v>
          </cell>
          <cell r="X114">
            <v>2550.2048594622343</v>
          </cell>
          <cell r="Y114">
            <v>86814.332967836861</v>
          </cell>
          <cell r="AA114">
            <v>2220.6896853898252</v>
          </cell>
          <cell r="AB114">
            <v>98182.65858073633</v>
          </cell>
          <cell r="AD114">
            <v>2887.8062954750708</v>
          </cell>
          <cell r="AE114">
            <v>174141.65270105936</v>
          </cell>
          <cell r="AG114">
            <v>3533.6964679666949</v>
          </cell>
          <cell r="AH114">
            <v>227926.33142741155</v>
          </cell>
          <cell r="AJ114">
            <v>1335.2440029130446</v>
          </cell>
          <cell r="AK114">
            <v>94309.85948905001</v>
          </cell>
          <cell r="AM114">
            <v>940.02795057466426</v>
          </cell>
          <cell r="AN114">
            <v>89844.046269559491</v>
          </cell>
          <cell r="AP114">
            <v>199.12420028302026</v>
          </cell>
          <cell r="AQ114">
            <v>614576.38014604512</v>
          </cell>
          <cell r="AS114">
            <v>1799.1932817450563</v>
          </cell>
          <cell r="AT114">
            <v>917073.71352269629</v>
          </cell>
          <cell r="AV114">
            <v>466.98162705967189</v>
          </cell>
          <cell r="AW114">
            <v>822522.4273469348</v>
          </cell>
          <cell r="AY114">
            <v>612.53434198736181</v>
          </cell>
          <cell r="AZ114">
            <v>886128.47477673611</v>
          </cell>
          <cell r="BD114">
            <v>-345000</v>
          </cell>
          <cell r="BE114">
            <v>472680</v>
          </cell>
          <cell r="BR114">
            <v>3576544.850867942</v>
          </cell>
          <cell r="BS114">
            <v>0</v>
          </cell>
        </row>
        <row r="115">
          <cell r="B115">
            <v>867</v>
          </cell>
          <cell r="F115">
            <v>13486281.243782047</v>
          </cell>
          <cell r="J115">
            <v>1.0744343550114952</v>
          </cell>
          <cell r="M115">
            <v>898227.12078960997</v>
          </cell>
          <cell r="O115">
            <v>7597056.3804125162</v>
          </cell>
          <cell r="Q115">
            <v>29479.366065188962</v>
          </cell>
          <cell r="R115">
            <v>3454200.717846544</v>
          </cell>
          <cell r="T115">
            <v>1330.1497315042311</v>
          </cell>
          <cell r="U115">
            <v>326331.71695128828</v>
          </cell>
          <cell r="V115">
            <v>114060.44423074249</v>
          </cell>
          <cell r="X115">
            <v>1889.9300304652202</v>
          </cell>
          <cell r="Y115">
            <v>64337.190144528242</v>
          </cell>
          <cell r="AA115">
            <v>658.62825962204658</v>
          </cell>
          <cell r="AB115">
            <v>29119.725268928949</v>
          </cell>
          <cell r="AD115">
            <v>341.6701248936555</v>
          </cell>
          <cell r="AE115">
            <v>20603.528817285303</v>
          </cell>
          <cell r="AG115">
            <v>0</v>
          </cell>
          <cell r="AH115">
            <v>0</v>
          </cell>
          <cell r="AJ115">
            <v>0</v>
          </cell>
          <cell r="AK115">
            <v>0</v>
          </cell>
          <cell r="AM115">
            <v>0</v>
          </cell>
          <cell r="AN115">
            <v>0</v>
          </cell>
          <cell r="AP115">
            <v>104.22013243611504</v>
          </cell>
          <cell r="AQ115">
            <v>321664.72804355959</v>
          </cell>
          <cell r="AS115">
            <v>816.57010980873633</v>
          </cell>
          <cell r="AT115">
            <v>416217.08493020356</v>
          </cell>
          <cell r="AV115">
            <v>220.25904277735651</v>
          </cell>
          <cell r="AW115">
            <v>387955.31132789853</v>
          </cell>
          <cell r="AY115">
            <v>264.31085133282784</v>
          </cell>
          <cell r="AZ115">
            <v>382367.73924968246</v>
          </cell>
          <cell r="BD115">
            <v>-432000</v>
          </cell>
          <cell r="BE115">
            <v>20200</v>
          </cell>
          <cell r="BR115">
            <v>2592775.1564037725</v>
          </cell>
          <cell r="BS115">
            <v>0</v>
          </cell>
        </row>
        <row r="116">
          <cell r="B116">
            <v>868</v>
          </cell>
          <cell r="F116">
            <v>16587678.969604567</v>
          </cell>
          <cell r="J116">
            <v>1.0744343550114952</v>
          </cell>
          <cell r="M116">
            <v>1375275.9744147139</v>
          </cell>
          <cell r="O116">
            <v>8239494.7129741907</v>
          </cell>
          <cell r="Q116">
            <v>35936.537108270764</v>
          </cell>
          <cell r="R116">
            <v>4210810.0968592577</v>
          </cell>
          <cell r="T116">
            <v>1199.0687401928287</v>
          </cell>
          <cell r="U116">
            <v>294173.01786562015</v>
          </cell>
          <cell r="V116">
            <v>129964.63504682131</v>
          </cell>
          <cell r="X116">
            <v>2321.8526411798412</v>
          </cell>
          <cell r="Y116">
            <v>79040.743548792219</v>
          </cell>
          <cell r="AA116">
            <v>1151.7936285723229</v>
          </cell>
          <cell r="AB116">
            <v>50923.891498029087</v>
          </cell>
          <cell r="AD116">
            <v>0</v>
          </cell>
          <cell r="AE116">
            <v>0</v>
          </cell>
          <cell r="AG116">
            <v>0</v>
          </cell>
          <cell r="AH116">
            <v>0</v>
          </cell>
          <cell r="AJ116">
            <v>0</v>
          </cell>
          <cell r="AK116">
            <v>0</v>
          </cell>
          <cell r="AM116">
            <v>0</v>
          </cell>
          <cell r="AN116">
            <v>0</v>
          </cell>
          <cell r="AP116">
            <v>108.51786985616101</v>
          </cell>
          <cell r="AQ116">
            <v>334929.25291133521</v>
          </cell>
          <cell r="AS116">
            <v>741.35970495793174</v>
          </cell>
          <cell r="AT116">
            <v>377881.30079189537</v>
          </cell>
          <cell r="AV116">
            <v>215.96130535731052</v>
          </cell>
          <cell r="AW116">
            <v>380385.45159467123</v>
          </cell>
          <cell r="AY116">
            <v>232.07782068248295</v>
          </cell>
          <cell r="AZ116">
            <v>335737.52714606258</v>
          </cell>
          <cell r="BD116">
            <v>876000</v>
          </cell>
          <cell r="BE116">
            <v>33027</v>
          </cell>
          <cell r="BR116">
            <v>2609299.0399137549</v>
          </cell>
          <cell r="BS116">
            <v>0</v>
          </cell>
        </row>
        <row r="117">
          <cell r="B117">
            <v>869</v>
          </cell>
          <cell r="F117">
            <v>17657488.652660877</v>
          </cell>
          <cell r="J117">
            <v>1.0522356053683966</v>
          </cell>
          <cell r="M117">
            <v>1805636.2988121687</v>
          </cell>
          <cell r="O117">
            <v>8419066.0470872577</v>
          </cell>
          <cell r="Q117">
            <v>36419.203275369786</v>
          </cell>
          <cell r="R117">
            <v>4267365.784562544</v>
          </cell>
          <cell r="T117">
            <v>1507.8536224929123</v>
          </cell>
          <cell r="U117">
            <v>369928.62524046341</v>
          </cell>
          <cell r="V117">
            <v>129022.20961565508</v>
          </cell>
          <cell r="X117">
            <v>899.66144258997906</v>
          </cell>
          <cell r="Y117">
            <v>30626.366248788618</v>
          </cell>
          <cell r="AA117">
            <v>1100.6384432153427</v>
          </cell>
          <cell r="AB117">
            <v>48662.183285673877</v>
          </cell>
          <cell r="AD117">
            <v>0</v>
          </cell>
          <cell r="AE117">
            <v>0</v>
          </cell>
          <cell r="AG117">
            <v>300.93938313536142</v>
          </cell>
          <cell r="AH117">
            <v>19410.837971473917</v>
          </cell>
          <cell r="AJ117">
            <v>429.31212699030579</v>
          </cell>
          <cell r="AK117">
            <v>30322.822109718676</v>
          </cell>
          <cell r="AM117">
            <v>0</v>
          </cell>
          <cell r="AN117">
            <v>0</v>
          </cell>
          <cell r="AP117">
            <v>123.1115658281024</v>
          </cell>
          <cell r="AQ117">
            <v>379971.19573214691</v>
          </cell>
          <cell r="AS117">
            <v>1104.8473856368164</v>
          </cell>
          <cell r="AT117">
            <v>563156.00169374724</v>
          </cell>
          <cell r="AV117">
            <v>308.30503237294022</v>
          </cell>
          <cell r="AW117">
            <v>543035.93309948803</v>
          </cell>
          <cell r="AY117">
            <v>253.58878089378356</v>
          </cell>
          <cell r="AZ117">
            <v>366856.55681740819</v>
          </cell>
          <cell r="BD117">
            <v>768000</v>
          </cell>
          <cell r="BE117">
            <v>45450</v>
          </cell>
          <cell r="BR117">
            <v>2019193.7650486771</v>
          </cell>
          <cell r="BS117">
            <v>0</v>
          </cell>
        </row>
        <row r="118">
          <cell r="B118">
            <v>870</v>
          </cell>
          <cell r="F118">
            <v>17419663.039999578</v>
          </cell>
          <cell r="J118">
            <v>1.0522356053683966</v>
          </cell>
          <cell r="M118">
            <v>1077489.2598972381</v>
          </cell>
          <cell r="O118">
            <v>9816786.060360305</v>
          </cell>
          <cell r="Q118">
            <v>36724.130631449494</v>
          </cell>
          <cell r="R118">
            <v>4303095.1923772302</v>
          </cell>
          <cell r="T118">
            <v>3191.4305910823468</v>
          </cell>
          <cell r="U118">
            <v>782968.26263386291</v>
          </cell>
          <cell r="V118">
            <v>799304.19804713596</v>
          </cell>
          <cell r="X118">
            <v>4846.5971983268346</v>
          </cell>
          <cell r="Y118">
            <v>164988.3543180355</v>
          </cell>
          <cell r="AA118">
            <v>2273.8811432011048</v>
          </cell>
          <cell r="AB118">
            <v>100534.39587030714</v>
          </cell>
          <cell r="AD118">
            <v>3380.8330000486581</v>
          </cell>
          <cell r="AE118">
            <v>203872.346651942</v>
          </cell>
          <cell r="AG118">
            <v>2230.7394833810008</v>
          </cell>
          <cell r="AH118">
            <v>143884.53321512134</v>
          </cell>
          <cell r="AJ118">
            <v>2633.7457202370965</v>
          </cell>
          <cell r="AK118">
            <v>186024.56799173</v>
          </cell>
          <cell r="AM118">
            <v>0</v>
          </cell>
          <cell r="AN118">
            <v>0</v>
          </cell>
          <cell r="AP118">
            <v>175.72334609652222</v>
          </cell>
          <cell r="AQ118">
            <v>542352.04860913276</v>
          </cell>
          <cell r="AS118">
            <v>1315.2945067104956</v>
          </cell>
          <cell r="AT118">
            <v>670423.81154017535</v>
          </cell>
          <cell r="AV118">
            <v>416.68529972588505</v>
          </cell>
          <cell r="AW118">
            <v>733932.52391603158</v>
          </cell>
          <cell r="AY118">
            <v>426.15542017420063</v>
          </cell>
          <cell r="AZ118">
            <v>616501.68261846609</v>
          </cell>
          <cell r="BD118">
            <v>-2106000</v>
          </cell>
          <cell r="BE118">
            <v>182810</v>
          </cell>
          <cell r="BR118">
            <v>2055978.4793233015</v>
          </cell>
          <cell r="BS118">
            <v>0</v>
          </cell>
        </row>
        <row r="119">
          <cell r="B119">
            <v>871</v>
          </cell>
          <cell r="F119">
            <v>20730629.644722935</v>
          </cell>
          <cell r="J119">
            <v>1.0744343550114952</v>
          </cell>
          <cell r="M119">
            <v>1383871.4492548059</v>
          </cell>
          <cell r="O119">
            <v>10435307.123163173</v>
          </cell>
          <cell r="Q119">
            <v>42952.559064596462</v>
          </cell>
          <cell r="R119">
            <v>5032901.9974915851</v>
          </cell>
          <cell r="T119">
            <v>3275.4131312525433</v>
          </cell>
          <cell r="U119">
            <v>803572.08330048656</v>
          </cell>
          <cell r="V119">
            <v>674251.16648050305</v>
          </cell>
          <cell r="X119">
            <v>12403.2701942527</v>
          </cell>
          <cell r="Y119">
            <v>422233.38432543149</v>
          </cell>
          <cell r="AA119">
            <v>3532.740159277796</v>
          </cell>
          <cell r="AB119">
            <v>156191.93586335785</v>
          </cell>
          <cell r="AD119">
            <v>1589.0884110620013</v>
          </cell>
          <cell r="AE119">
            <v>95825.846291713708</v>
          </cell>
          <cell r="AG119">
            <v>0</v>
          </cell>
          <cell r="AH119">
            <v>0</v>
          </cell>
          <cell r="AJ119">
            <v>0</v>
          </cell>
          <cell r="AK119">
            <v>0</v>
          </cell>
          <cell r="AM119">
            <v>0</v>
          </cell>
          <cell r="AN119">
            <v>0</v>
          </cell>
          <cell r="AP119">
            <v>232.07782068248295</v>
          </cell>
          <cell r="AQ119">
            <v>716284.34285988519</v>
          </cell>
          <cell r="AS119">
            <v>1203.3664776128746</v>
          </cell>
          <cell r="AT119">
            <v>613372.54621293151</v>
          </cell>
          <cell r="AV119">
            <v>403.9873174843222</v>
          </cell>
          <cell r="AW119">
            <v>711566.81492336502</v>
          </cell>
          <cell r="AY119">
            <v>322.33030650344858</v>
          </cell>
          <cell r="AZ119">
            <v>466302.12103619811</v>
          </cell>
          <cell r="BD119">
            <v>-228000</v>
          </cell>
          <cell r="BE119">
            <v>121200</v>
          </cell>
          <cell r="BR119">
            <v>2355313.4443066865</v>
          </cell>
          <cell r="BS119">
            <v>0</v>
          </cell>
        </row>
        <row r="120">
          <cell r="B120">
            <v>872</v>
          </cell>
          <cell r="F120">
            <v>15905499.271816293</v>
          </cell>
          <cell r="J120">
            <v>1.0522356053683966</v>
          </cell>
          <cell r="M120">
            <v>1304772.1506568117</v>
          </cell>
          <cell r="O120">
            <v>8420711.5340594836</v>
          </cell>
          <cell r="Q120">
            <v>39737.204130715072</v>
          </cell>
          <cell r="R120">
            <v>4656147.5823462829</v>
          </cell>
          <cell r="T120">
            <v>1252.1603703883918</v>
          </cell>
          <cell r="U120">
            <v>307198.23031134083</v>
          </cell>
          <cell r="V120">
            <v>58877.257258173995</v>
          </cell>
          <cell r="X120">
            <v>715.52021165050962</v>
          </cell>
          <cell r="Y120">
            <v>24357.811753422528</v>
          </cell>
          <cell r="AA120">
            <v>780.75881918335028</v>
          </cell>
          <cell r="AB120">
            <v>34519.445504751464</v>
          </cell>
          <cell r="AD120">
            <v>0</v>
          </cell>
          <cell r="AE120">
            <v>0</v>
          </cell>
          <cell r="AG120">
            <v>0</v>
          </cell>
          <cell r="AH120">
            <v>0</v>
          </cell>
          <cell r="AJ120">
            <v>0</v>
          </cell>
          <cell r="AK120">
            <v>0</v>
          </cell>
          <cell r="AM120">
            <v>0</v>
          </cell>
          <cell r="AN120">
            <v>0</v>
          </cell>
          <cell r="AP120">
            <v>93.648968877787297</v>
          </cell>
          <cell r="AQ120">
            <v>289037.91812103486</v>
          </cell>
          <cell r="AS120">
            <v>915.44497667050496</v>
          </cell>
          <cell r="AT120">
            <v>466614.97283196199</v>
          </cell>
          <cell r="AV120">
            <v>253.58878089378356</v>
          </cell>
          <cell r="AW120">
            <v>446660.95521152427</v>
          </cell>
          <cell r="AY120">
            <v>226.23065515420527</v>
          </cell>
          <cell r="AZ120">
            <v>327278.67101967952</v>
          </cell>
          <cell r="BD120">
            <v>-594000</v>
          </cell>
          <cell r="BE120">
            <v>222200</v>
          </cell>
          <cell r="BR120">
            <v>2481106.8658438679</v>
          </cell>
          <cell r="BS120">
            <v>0</v>
          </cell>
        </row>
        <row r="121">
          <cell r="B121">
            <v>873</v>
          </cell>
          <cell r="F121">
            <v>62125409.968782514</v>
          </cell>
          <cell r="J121">
            <v>1.0193022956972073</v>
          </cell>
          <cell r="M121">
            <v>4878380.7872068342</v>
          </cell>
          <cell r="O121">
            <v>29942833.983290799</v>
          </cell>
          <cell r="Q121">
            <v>132451.71193813923</v>
          </cell>
          <cell r="R121">
            <v>15519831.64919498</v>
          </cell>
          <cell r="T121">
            <v>8182.9588298571862</v>
          </cell>
          <cell r="U121">
            <v>2007562.7137624288</v>
          </cell>
          <cell r="V121">
            <v>1150422.2633615113</v>
          </cell>
          <cell r="X121">
            <v>11363.181992432466</v>
          </cell>
          <cell r="Y121">
            <v>386826.59606929857</v>
          </cell>
          <cell r="AA121">
            <v>7492.8911756701709</v>
          </cell>
          <cell r="AB121">
            <v>331280.854287525</v>
          </cell>
          <cell r="AD121">
            <v>3588.9633831498668</v>
          </cell>
          <cell r="AE121">
            <v>216423.10843514762</v>
          </cell>
          <cell r="AG121">
            <v>1059.0550852293984</v>
          </cell>
          <cell r="AH121">
            <v>68309.924902739702</v>
          </cell>
          <cell r="AJ121">
            <v>1609.4783249058903</v>
          </cell>
          <cell r="AK121">
            <v>113679.35324284781</v>
          </cell>
          <cell r="AM121">
            <v>354.71719890262813</v>
          </cell>
          <cell r="AN121">
            <v>33902.42642395234</v>
          </cell>
          <cell r="AP121">
            <v>537.17230983242825</v>
          </cell>
          <cell r="AQ121">
            <v>1657927.1290093146</v>
          </cell>
          <cell r="AS121">
            <v>3954.8929073051645</v>
          </cell>
          <cell r="AT121">
            <v>2015863.6439377568</v>
          </cell>
          <cell r="AV121">
            <v>1353.6334486858914</v>
          </cell>
          <cell r="AW121">
            <v>2384234.8508688756</v>
          </cell>
          <cell r="AY121">
            <v>1679.8101833089977</v>
          </cell>
          <cell r="AZ121">
            <v>2430112.9481500057</v>
          </cell>
          <cell r="BD121">
            <v>-492000</v>
          </cell>
          <cell r="BE121">
            <v>630240</v>
          </cell>
          <cell r="BR121">
            <v>4548096.1923073903</v>
          </cell>
          <cell r="BS121">
            <v>0</v>
          </cell>
        </row>
        <row r="122">
          <cell r="B122">
            <v>874</v>
          </cell>
          <cell r="F122">
            <v>28161913.651228968</v>
          </cell>
          <cell r="J122">
            <v>1.0193022956972073</v>
          </cell>
          <cell r="M122">
            <v>2470788.7647700305</v>
          </cell>
          <cell r="O122">
            <v>12304297.130860716</v>
          </cell>
          <cell r="Q122">
            <v>48320.187396591136</v>
          </cell>
          <cell r="R122">
            <v>5661845.8355819033</v>
          </cell>
          <cell r="T122">
            <v>5146.4572909752014</v>
          </cell>
          <cell r="U122">
            <v>1262603.9040591056</v>
          </cell>
          <cell r="V122">
            <v>1634056.1265569052</v>
          </cell>
          <cell r="X122">
            <v>5919.0884311136833</v>
          </cell>
          <cell r="Y122">
            <v>201498.20984700549</v>
          </cell>
          <cell r="AA122">
            <v>7316.5518785145541</v>
          </cell>
          <cell r="AB122">
            <v>323484.42008921976</v>
          </cell>
          <cell r="AD122">
            <v>4781.5470691155997</v>
          </cell>
          <cell r="AE122">
            <v>288338.76786971814</v>
          </cell>
          <cell r="AG122">
            <v>4602.1498650728909</v>
          </cell>
          <cell r="AH122">
            <v>296842.45518370526</v>
          </cell>
          <cell r="AJ122">
            <v>4855.9561367014958</v>
          </cell>
          <cell r="AK122">
            <v>342981.9118739246</v>
          </cell>
          <cell r="AM122">
            <v>1892.8443631097141</v>
          </cell>
          <cell r="AN122">
            <v>180910.36169333191</v>
          </cell>
          <cell r="AP122">
            <v>341.46626905856448</v>
          </cell>
          <cell r="AQ122">
            <v>1053900.5469034545</v>
          </cell>
          <cell r="AS122">
            <v>1977.4464536525822</v>
          </cell>
          <cell r="AT122">
            <v>1007931.8219688784</v>
          </cell>
          <cell r="AV122">
            <v>652.35346924621263</v>
          </cell>
          <cell r="AW122">
            <v>1149028.8437922292</v>
          </cell>
          <cell r="AY122">
            <v>682.93253811712896</v>
          </cell>
          <cell r="AZ122">
            <v>987970.6767357426</v>
          </cell>
          <cell r="BD122">
            <v>378000</v>
          </cell>
          <cell r="BE122">
            <v>251490</v>
          </cell>
          <cell r="BR122">
            <v>706352.00850551203</v>
          </cell>
          <cell r="BS122">
            <v>0</v>
          </cell>
        </row>
        <row r="123">
          <cell r="B123">
            <v>876</v>
          </cell>
          <cell r="F123">
            <v>16349622.840060517</v>
          </cell>
          <cell r="J123">
            <v>1.0054548012657853</v>
          </cell>
          <cell r="M123">
            <v>1457909.4618353888</v>
          </cell>
          <cell r="O123">
            <v>7353513.5727012474</v>
          </cell>
          <cell r="Q123">
            <v>27089.045702996489</v>
          </cell>
          <cell r="R123">
            <v>3174118.4971939633</v>
          </cell>
          <cell r="T123">
            <v>5105.6994808276586</v>
          </cell>
          <cell r="U123">
            <v>1252604.6040933935</v>
          </cell>
          <cell r="V123">
            <v>1052125.4905241958</v>
          </cell>
          <cell r="X123">
            <v>2830.3552655631856</v>
          </cell>
          <cell r="Y123">
            <v>96351.241560133771</v>
          </cell>
          <cell r="AA123">
            <v>2716.7388730201519</v>
          </cell>
          <cell r="AB123">
            <v>120114.32618327688</v>
          </cell>
          <cell r="AD123">
            <v>2003.8714189227103</v>
          </cell>
          <cell r="AE123">
            <v>120838.25748229797</v>
          </cell>
          <cell r="AG123">
            <v>2324.6115005264955</v>
          </cell>
          <cell r="AH123">
            <v>149939.35560454262</v>
          </cell>
          <cell r="AJ123">
            <v>4779.9321252175432</v>
          </cell>
          <cell r="AK123">
            <v>337612.24623588141</v>
          </cell>
          <cell r="AM123">
            <v>2377.9006049935824</v>
          </cell>
          <cell r="AN123">
            <v>227270.06345806309</v>
          </cell>
          <cell r="AP123">
            <v>150.81822018986782</v>
          </cell>
          <cell r="AQ123">
            <v>465484.93700221501</v>
          </cell>
          <cell r="AS123">
            <v>1126.1093774176795</v>
          </cell>
          <cell r="AT123">
            <v>573993.53313475696</v>
          </cell>
          <cell r="AV123">
            <v>281.52734435441988</v>
          </cell>
          <cell r="AW123">
            <v>495870.80352808879</v>
          </cell>
          <cell r="AY123">
            <v>387.10009848732739</v>
          </cell>
          <cell r="AZ123">
            <v>560001.94004726864</v>
          </cell>
          <cell r="BD123">
            <v>-36000</v>
          </cell>
          <cell r="BE123">
            <v>0</v>
          </cell>
          <cell r="BR123">
            <v>0</v>
          </cell>
          <cell r="BS123">
            <v>0</v>
          </cell>
        </row>
        <row r="124">
          <cell r="B124">
            <v>877</v>
          </cell>
          <cell r="F124">
            <v>19715475.155194812</v>
          </cell>
          <cell r="J124">
            <v>1.0054548012657853</v>
          </cell>
          <cell r="M124">
            <v>1620793.1396404461</v>
          </cell>
          <cell r="O124">
            <v>9013191.7214255389</v>
          </cell>
          <cell r="Q124">
            <v>42896.565784799663</v>
          </cell>
          <cell r="R124">
            <v>5026341.0685068509</v>
          </cell>
          <cell r="T124">
            <v>3458.7645163543016</v>
          </cell>
          <cell r="U124">
            <v>848554.5171487343</v>
          </cell>
          <cell r="V124">
            <v>774044.73828522663</v>
          </cell>
          <cell r="X124">
            <v>5395.2704635922046</v>
          </cell>
          <cell r="Y124">
            <v>183666.34536826925</v>
          </cell>
          <cell r="AA124">
            <v>3059.5989602517848</v>
          </cell>
          <cell r="AB124">
            <v>135273.09199693249</v>
          </cell>
          <cell r="AD124">
            <v>1880.2004783670186</v>
          </cell>
          <cell r="AE124">
            <v>113380.60285594441</v>
          </cell>
          <cell r="AG124">
            <v>1301.0585128379262</v>
          </cell>
          <cell r="AH124">
            <v>83919.345221573603</v>
          </cell>
          <cell r="AJ124">
            <v>3040.4953190277347</v>
          </cell>
          <cell r="AK124">
            <v>214753.77211133894</v>
          </cell>
          <cell r="AM124">
            <v>450.44375096707182</v>
          </cell>
          <cell r="AN124">
            <v>43051.580731167975</v>
          </cell>
          <cell r="AP124">
            <v>152.82912979239939</v>
          </cell>
          <cell r="AQ124">
            <v>471691.4028289112</v>
          </cell>
          <cell r="AS124">
            <v>1377.473077734126</v>
          </cell>
          <cell r="AT124">
            <v>702117.08963805088</v>
          </cell>
          <cell r="AV124">
            <v>385.08918888479576</v>
          </cell>
          <cell r="AW124">
            <v>678280.42054020707</v>
          </cell>
          <cell r="AY124">
            <v>523.84195145947422</v>
          </cell>
          <cell r="AZ124">
            <v>757820.80718084925</v>
          </cell>
          <cell r="BD124">
            <v>-492000</v>
          </cell>
          <cell r="BE124">
            <v>314640.25</v>
          </cell>
          <cell r="BR124">
            <v>50754.965328596532</v>
          </cell>
          <cell r="BS124">
            <v>0</v>
          </cell>
        </row>
        <row r="125">
          <cell r="B125">
            <v>878</v>
          </cell>
          <cell r="F125">
            <v>64642720.00663767</v>
          </cell>
          <cell r="J125">
            <v>1</v>
          </cell>
          <cell r="M125">
            <v>5004000</v>
          </cell>
          <cell r="O125">
            <v>30710229.6577699</v>
          </cell>
          <cell r="Q125">
            <v>140250.14300000001</v>
          </cell>
          <cell r="R125">
            <v>16433601.16894614</v>
          </cell>
          <cell r="T125">
            <v>9271</v>
          </cell>
          <cell r="U125">
            <v>2274496.8300929735</v>
          </cell>
          <cell r="V125">
            <v>1166412.8727141134</v>
          </cell>
          <cell r="X125">
            <v>12171</v>
          </cell>
          <cell r="Y125">
            <v>414326.41877027601</v>
          </cell>
          <cell r="AA125">
            <v>6890</v>
          </cell>
          <cell r="AB125">
            <v>304625.41528062383</v>
          </cell>
          <cell r="AD125">
            <v>5247</v>
          </cell>
          <cell r="AE125">
            <v>316406.69706765871</v>
          </cell>
          <cell r="AG125">
            <v>778</v>
          </cell>
          <cell r="AH125">
            <v>50181.640516668595</v>
          </cell>
          <cell r="AJ125">
            <v>1145</v>
          </cell>
          <cell r="AK125">
            <v>80872.701078886312</v>
          </cell>
          <cell r="AM125">
            <v>0</v>
          </cell>
          <cell r="AN125">
            <v>0</v>
          </cell>
          <cell r="AP125">
            <v>696</v>
          </cell>
          <cell r="AQ125">
            <v>2148132.4719631383</v>
          </cell>
          <cell r="AS125">
            <v>4990</v>
          </cell>
          <cell r="AT125">
            <v>2543472.0532302973</v>
          </cell>
          <cell r="AV125">
            <v>1290</v>
          </cell>
          <cell r="AW125">
            <v>2272153.4848349867</v>
          </cell>
          <cell r="AY125">
            <v>1601</v>
          </cell>
          <cell r="AZ125">
            <v>2316101.4670861112</v>
          </cell>
          <cell r="BD125">
            <v>-2157000</v>
          </cell>
          <cell r="BE125">
            <v>1931120.0000000002</v>
          </cell>
          <cell r="BR125">
            <v>2986509.5134713575</v>
          </cell>
          <cell r="BS125">
            <v>0</v>
          </cell>
        </row>
        <row r="126">
          <cell r="B126">
            <v>879</v>
          </cell>
          <cell r="F126">
            <v>29454561.353214849</v>
          </cell>
          <cell r="J126">
            <v>1</v>
          </cell>
          <cell r="M126">
            <v>2608000</v>
          </cell>
          <cell r="O126">
            <v>12706155.628975254</v>
          </cell>
          <cell r="Q126">
            <v>49985.503000000012</v>
          </cell>
          <cell r="R126">
            <v>5856976.7057646485</v>
          </cell>
          <cell r="T126">
            <v>5859.5000000000018</v>
          </cell>
          <cell r="U126">
            <v>1437537.9329014975</v>
          </cell>
          <cell r="V126">
            <v>1466741.5885821374</v>
          </cell>
          <cell r="X126">
            <v>4357</v>
          </cell>
          <cell r="Y126">
            <v>148321.43674160648</v>
          </cell>
          <cell r="AA126">
            <v>4088</v>
          </cell>
          <cell r="AB126">
            <v>180741.46555401888</v>
          </cell>
          <cell r="AD126">
            <v>6081</v>
          </cell>
          <cell r="AE126">
            <v>366698.8993459944</v>
          </cell>
          <cell r="AG126">
            <v>2620</v>
          </cell>
          <cell r="AH126">
            <v>168992.15700986082</v>
          </cell>
          <cell r="AJ126">
            <v>3795</v>
          </cell>
          <cell r="AK126">
            <v>268045.32803002064</v>
          </cell>
          <cell r="AM126">
            <v>3494</v>
          </cell>
          <cell r="AN126">
            <v>333942.30190063623</v>
          </cell>
          <cell r="AP126">
            <v>338</v>
          </cell>
          <cell r="AQ126">
            <v>1043202.2636832483</v>
          </cell>
          <cell r="AS126">
            <v>2700</v>
          </cell>
          <cell r="AT126">
            <v>1376227.3634713029</v>
          </cell>
          <cell r="AV126">
            <v>553</v>
          </cell>
          <cell r="AW126">
            <v>974031.6876850758</v>
          </cell>
          <cell r="AY126">
            <v>695</v>
          </cell>
          <cell r="AZ126">
            <v>1005428.1821516848</v>
          </cell>
          <cell r="BD126">
            <v>348000</v>
          </cell>
          <cell r="BE126">
            <v>632260</v>
          </cell>
          <cell r="BR126">
            <v>49750.013232428581</v>
          </cell>
          <cell r="BS126">
            <v>0</v>
          </cell>
        </row>
        <row r="127">
          <cell r="B127">
            <v>880</v>
          </cell>
          <cell r="F127">
            <v>16594370.069634523</v>
          </cell>
          <cell r="J127">
            <v>1</v>
          </cell>
          <cell r="M127">
            <v>2192000</v>
          </cell>
          <cell r="O127">
            <v>7179459.0448755752</v>
          </cell>
          <cell r="Q127">
            <v>24381.571</v>
          </cell>
          <cell r="R127">
            <v>2856874.1900415975</v>
          </cell>
          <cell r="T127">
            <v>2956.4999999999991</v>
          </cell>
          <cell r="U127">
            <v>725331.66628949146</v>
          </cell>
          <cell r="V127">
            <v>739386.52596223424</v>
          </cell>
          <cell r="X127">
            <v>3953</v>
          </cell>
          <cell r="Y127">
            <v>134568.42768867809</v>
          </cell>
          <cell r="AA127">
            <v>3091</v>
          </cell>
          <cell r="AB127">
            <v>136661.41634722907</v>
          </cell>
          <cell r="AD127">
            <v>2762</v>
          </cell>
          <cell r="AE127">
            <v>166555.23104647864</v>
          </cell>
          <cell r="AG127">
            <v>817</v>
          </cell>
          <cell r="AH127">
            <v>52697.172624830651</v>
          </cell>
          <cell r="AJ127">
            <v>3524</v>
          </cell>
          <cell r="AK127">
            <v>248904.27825501782</v>
          </cell>
          <cell r="AM127">
            <v>0</v>
          </cell>
          <cell r="AN127">
            <v>0</v>
          </cell>
          <cell r="AP127">
            <v>154</v>
          </cell>
          <cell r="AQ127">
            <v>475305.17339414271</v>
          </cell>
          <cell r="AS127">
            <v>1250</v>
          </cell>
          <cell r="AT127">
            <v>637142.29790338106</v>
          </cell>
          <cell r="AV127">
            <v>322</v>
          </cell>
          <cell r="AW127">
            <v>567157.69156346179</v>
          </cell>
          <cell r="AY127">
            <v>430</v>
          </cell>
          <cell r="AZ127">
            <v>622063.47960463946</v>
          </cell>
          <cell r="BD127">
            <v>534000</v>
          </cell>
          <cell r="BE127">
            <v>65650</v>
          </cell>
          <cell r="BR127">
            <v>831647.68343343772</v>
          </cell>
          <cell r="BS127">
            <v>0</v>
          </cell>
        </row>
        <row r="128">
          <cell r="B128">
            <v>881</v>
          </cell>
          <cell r="F128">
            <v>137575801.19079983</v>
          </cell>
          <cell r="J128">
            <v>1.0189419796053065</v>
          </cell>
          <cell r="M128">
            <v>11573143.004357072</v>
          </cell>
          <cell r="O128">
            <v>60382948.208275236</v>
          </cell>
          <cell r="Q128">
            <v>302650.45486905787</v>
          </cell>
          <cell r="R128">
            <v>35462615.313827023</v>
          </cell>
          <cell r="T128">
            <v>21012.112032430843</v>
          </cell>
          <cell r="U128">
            <v>5154997.5419396386</v>
          </cell>
          <cell r="V128">
            <v>4952296.4120891802</v>
          </cell>
          <cell r="X128">
            <v>30275.823040012474</v>
          </cell>
          <cell r="Y128">
            <v>1030652.6444409646</v>
          </cell>
          <cell r="AA128">
            <v>22832.451878995707</v>
          </cell>
          <cell r="AB128">
            <v>1009484.0545012957</v>
          </cell>
          <cell r="AD128">
            <v>13651.784642751896</v>
          </cell>
          <cell r="AE128">
            <v>823235.38934479037</v>
          </cell>
          <cell r="AG128">
            <v>11790.177646013002</v>
          </cell>
          <cell r="AH128">
            <v>760476.1648584659</v>
          </cell>
          <cell r="AJ128">
            <v>12348.557850836709</v>
          </cell>
          <cell r="AK128">
            <v>872193.21207515465</v>
          </cell>
          <cell r="AM128">
            <v>4773.7431744508613</v>
          </cell>
          <cell r="AN128">
            <v>456254.94686850923</v>
          </cell>
          <cell r="AP128">
            <v>1454.0302048967724</v>
          </cell>
          <cell r="AQ128">
            <v>4487714.7964855926</v>
          </cell>
          <cell r="AS128">
            <v>11004.57337973731</v>
          </cell>
          <cell r="AT128">
            <v>5609183.336489765</v>
          </cell>
          <cell r="AV128">
            <v>2987.5378842027585</v>
          </cell>
          <cell r="AW128">
            <v>5262127.6082696449</v>
          </cell>
          <cell r="AY128">
            <v>3937.1918091949046</v>
          </cell>
          <cell r="AZ128">
            <v>5695774.9690666702</v>
          </cell>
          <cell r="BD128">
            <v>-1005000</v>
          </cell>
          <cell r="BE128">
            <v>0</v>
          </cell>
          <cell r="BR128">
            <v>0</v>
          </cell>
          <cell r="BS128">
            <v>0</v>
          </cell>
        </row>
        <row r="129">
          <cell r="B129">
            <v>882</v>
          </cell>
          <cell r="F129">
            <v>19576594.098347612</v>
          </cell>
          <cell r="J129">
            <v>1.0053237953143217</v>
          </cell>
          <cell r="M129">
            <v>2276053.0725916242</v>
          </cell>
          <cell r="O129">
            <v>7495531.3969595022</v>
          </cell>
          <cell r="Q129">
            <v>37433.595445742663</v>
          </cell>
          <cell r="R129">
            <v>4386225.6730462909</v>
          </cell>
          <cell r="T129">
            <v>3415.0849326827538</v>
          </cell>
          <cell r="U129">
            <v>837838.40512190701</v>
          </cell>
          <cell r="V129">
            <v>1122227.9496693972</v>
          </cell>
          <cell r="X129">
            <v>3653.3466721722452</v>
          </cell>
          <cell r="Y129">
            <v>124367.59865314534</v>
          </cell>
          <cell r="AA129">
            <v>5617.7493682164295</v>
          </cell>
          <cell r="AB129">
            <v>248375.79597030359</v>
          </cell>
          <cell r="AD129">
            <v>2960.6785772006774</v>
          </cell>
          <cell r="AE129">
            <v>178536.02624186041</v>
          </cell>
          <cell r="AG129">
            <v>3044.120452211766</v>
          </cell>
          <cell r="AH129">
            <v>196348.2753500379</v>
          </cell>
          <cell r="AJ129">
            <v>2524.3680500342616</v>
          </cell>
          <cell r="AK129">
            <v>178299.09408166984</v>
          </cell>
          <cell r="AM129">
            <v>2053.8765138271592</v>
          </cell>
          <cell r="AN129">
            <v>196301.15937237992</v>
          </cell>
          <cell r="AP129">
            <v>225.19253015040806</v>
          </cell>
          <cell r="AQ129">
            <v>695033.60123510018</v>
          </cell>
          <cell r="AS129">
            <v>1337.0806477680478</v>
          </cell>
          <cell r="AT129">
            <v>681528.50912086014</v>
          </cell>
          <cell r="AV129">
            <v>413.1880798741862</v>
          </cell>
          <cell r="AW129">
            <v>727772.66323907685</v>
          </cell>
          <cell r="AY129">
            <v>648.43384797773751</v>
          </cell>
          <cell r="AZ129">
            <v>938062.82736385404</v>
          </cell>
          <cell r="BD129">
            <v>384000</v>
          </cell>
          <cell r="BE129">
            <v>32320</v>
          </cell>
          <cell r="BR129">
            <v>0</v>
          </cell>
          <cell r="BS129">
            <v>-694917.0049144607</v>
          </cell>
        </row>
        <row r="130">
          <cell r="B130">
            <v>883</v>
          </cell>
          <cell r="F130">
            <v>21419696.936275661</v>
          </cell>
          <cell r="J130">
            <v>1.0452520358512145</v>
          </cell>
          <cell r="M130">
            <v>1584602.0863504412</v>
          </cell>
          <cell r="O130">
            <v>10295137.86759166</v>
          </cell>
          <cell r="Q130">
            <v>42959.913026590781</v>
          </cell>
          <cell r="R130">
            <v>5033763.6870117607</v>
          </cell>
          <cell r="T130">
            <v>3509.956336388379</v>
          </cell>
          <cell r="U130">
            <v>861113.64047892508</v>
          </cell>
          <cell r="V130">
            <v>1101339.389771282</v>
          </cell>
          <cell r="X130">
            <v>6084.4121006899195</v>
          </cell>
          <cell r="Y130">
            <v>207126.17500627608</v>
          </cell>
          <cell r="AA130">
            <v>8080.8434891657398</v>
          </cell>
          <cell r="AB130">
            <v>357275.8060529519</v>
          </cell>
          <cell r="AD130">
            <v>4254.1757859144427</v>
          </cell>
          <cell r="AE130">
            <v>256537.01337267013</v>
          </cell>
          <cell r="AG130">
            <v>753.62671784872566</v>
          </cell>
          <cell r="AH130">
            <v>48609.543751724406</v>
          </cell>
          <cell r="AJ130">
            <v>2642.3971466318703</v>
          </cell>
          <cell r="AK130">
            <v>186635.62844651649</v>
          </cell>
          <cell r="AM130">
            <v>472.45392020474895</v>
          </cell>
          <cell r="AN130">
            <v>45155.223141142924</v>
          </cell>
          <cell r="AP130">
            <v>214.27666734949898</v>
          </cell>
          <cell r="AQ130">
            <v>661342.91252514708</v>
          </cell>
          <cell r="AS130">
            <v>1505.1629316257488</v>
          </cell>
          <cell r="AT130">
            <v>767202.37518001522</v>
          </cell>
          <cell r="AV130">
            <v>458.86564373868316</v>
          </cell>
          <cell r="AW130">
            <v>808227.26472240186</v>
          </cell>
          <cell r="AY130">
            <v>471.40866816889775</v>
          </cell>
          <cell r="AZ130">
            <v>681967.71264403115</v>
          </cell>
          <cell r="BD130">
            <v>-375000</v>
          </cell>
          <cell r="BE130">
            <v>0</v>
          </cell>
          <cell r="BR130">
            <v>1345591.2500106208</v>
          </cell>
          <cell r="BS130">
            <v>0</v>
          </cell>
        </row>
        <row r="131">
          <cell r="B131">
            <v>884</v>
          </cell>
          <cell r="F131">
            <v>14834618.743883803</v>
          </cell>
          <cell r="J131">
            <v>1</v>
          </cell>
          <cell r="M131">
            <v>1356000</v>
          </cell>
          <cell r="O131">
            <v>6405620.5780010112</v>
          </cell>
          <cell r="Q131">
            <v>34571.25</v>
          </cell>
          <cell r="R131">
            <v>4050834.6177723981</v>
          </cell>
          <cell r="T131">
            <v>1923</v>
          </cell>
          <cell r="U131">
            <v>471778.3846692685</v>
          </cell>
          <cell r="V131">
            <v>347249.15855138807</v>
          </cell>
          <cell r="X131">
            <v>2476</v>
          </cell>
          <cell r="Y131">
            <v>84288.243601610666</v>
          </cell>
          <cell r="AA131">
            <v>2253</v>
          </cell>
          <cell r="AB131">
            <v>99611.18441614593</v>
          </cell>
          <cell r="AD131">
            <v>2235</v>
          </cell>
          <cell r="AE131">
            <v>134775.86581784204</v>
          </cell>
          <cell r="AG131">
            <v>443</v>
          </cell>
          <cell r="AH131">
            <v>28573.864715789445</v>
          </cell>
          <cell r="AJ131">
            <v>0</v>
          </cell>
          <cell r="AK131">
            <v>0</v>
          </cell>
          <cell r="AM131">
            <v>0</v>
          </cell>
          <cell r="AN131">
            <v>0</v>
          </cell>
          <cell r="AP131">
            <v>165</v>
          </cell>
          <cell r="AQ131">
            <v>509255.54292229575</v>
          </cell>
          <cell r="AS131">
            <v>890</v>
          </cell>
          <cell r="AT131">
            <v>453645.31610720733</v>
          </cell>
          <cell r="AV131">
            <v>337</v>
          </cell>
          <cell r="AW131">
            <v>593578.08092200826</v>
          </cell>
          <cell r="AY131">
            <v>396</v>
          </cell>
          <cell r="AZ131">
            <v>572877.06493822613</v>
          </cell>
          <cell r="BD131">
            <v>-207000</v>
          </cell>
          <cell r="BE131">
            <v>280780</v>
          </cell>
          <cell r="BR131">
            <v>0</v>
          </cell>
          <cell r="BS131">
            <v>0</v>
          </cell>
        </row>
        <row r="132">
          <cell r="B132">
            <v>885</v>
          </cell>
          <cell r="F132">
            <v>51111059.25433252</v>
          </cell>
          <cell r="J132">
            <v>1</v>
          </cell>
          <cell r="M132">
            <v>5798000</v>
          </cell>
          <cell r="O132">
            <v>21006015.023500308</v>
          </cell>
          <cell r="Q132">
            <v>111985.62099999998</v>
          </cell>
          <cell r="R132">
            <v>13121747.991164323</v>
          </cell>
          <cell r="T132">
            <v>8206</v>
          </cell>
          <cell r="U132">
            <v>2013215.5094103054</v>
          </cell>
          <cell r="V132">
            <v>1622322.0027621118</v>
          </cell>
          <cell r="X132">
            <v>8645</v>
          </cell>
          <cell r="Y132">
            <v>294293.96847169794</v>
          </cell>
          <cell r="AA132">
            <v>4792</v>
          </cell>
          <cell r="AB132">
            <v>211867.19739111021</v>
          </cell>
          <cell r="AD132">
            <v>5831</v>
          </cell>
          <cell r="AE132">
            <v>351623.29914265638</v>
          </cell>
          <cell r="AG132">
            <v>4306</v>
          </cell>
          <cell r="AH132">
            <v>277740.54507040489</v>
          </cell>
          <cell r="AJ132">
            <v>4566</v>
          </cell>
          <cell r="AK132">
            <v>322501.96779580344</v>
          </cell>
          <cell r="AM132">
            <v>1719</v>
          </cell>
          <cell r="AN132">
            <v>164295.02489043897</v>
          </cell>
          <cell r="AP132">
            <v>537</v>
          </cell>
          <cell r="AQ132">
            <v>1657395.3124198355</v>
          </cell>
          <cell r="AS132">
            <v>4080</v>
          </cell>
          <cell r="AT132">
            <v>2079632.4603566355</v>
          </cell>
          <cell r="AV132">
            <v>1342</v>
          </cell>
          <cell r="AW132">
            <v>2363744.1679446143</v>
          </cell>
          <cell r="AY132">
            <v>1333</v>
          </cell>
          <cell r="AZ132">
            <v>1928396.7867743827</v>
          </cell>
          <cell r="BD132">
            <v>-1044000</v>
          </cell>
          <cell r="BE132">
            <v>564590</v>
          </cell>
          <cell r="BR132">
            <v>0</v>
          </cell>
          <cell r="BS132">
            <v>-759785.37481293827</v>
          </cell>
        </row>
        <row r="133">
          <cell r="B133">
            <v>886</v>
          </cell>
          <cell r="F133">
            <v>183175405.21180394</v>
          </cell>
          <cell r="J133">
            <v>1.0077014294588473</v>
          </cell>
          <cell r="M133">
            <v>18037855.587313365</v>
          </cell>
          <cell r="O133">
            <v>87889671.410740748</v>
          </cell>
          <cell r="Q133">
            <v>326560.83729978569</v>
          </cell>
          <cell r="R133">
            <v>38264278.68655926</v>
          </cell>
          <cell r="T133">
            <v>25695.882600485878</v>
          </cell>
          <cell r="U133">
            <v>6304088.3962082108</v>
          </cell>
          <cell r="V133">
            <v>5943039.8708080277</v>
          </cell>
          <cell r="X133">
            <v>36089.818994639158</v>
          </cell>
          <cell r="Y133">
            <v>1228573.2855243057</v>
          </cell>
          <cell r="AA133">
            <v>22026.337845111484</v>
          </cell>
          <cell r="AB133">
            <v>973843.58681834629</v>
          </cell>
          <cell r="AD133">
            <v>15642.549289489687</v>
          </cell>
          <cell r="AE133">
            <v>943283.27699742396</v>
          </cell>
          <cell r="AG133">
            <v>16296.547517208479</v>
          </cell>
          <cell r="AH133">
            <v>1051140.7315827301</v>
          </cell>
          <cell r="AJ133">
            <v>17630.744209811994</v>
          </cell>
          <cell r="AK133">
            <v>1245280.2674920796</v>
          </cell>
          <cell r="AM133">
            <v>5241.0551346154652</v>
          </cell>
          <cell r="AN133">
            <v>500918.72239314171</v>
          </cell>
          <cell r="AP133">
            <v>1739.2926672459705</v>
          </cell>
          <cell r="AQ133">
            <v>5368148.0700552398</v>
          </cell>
          <cell r="AS133">
            <v>13714.816454934913</v>
          </cell>
          <cell r="AT133">
            <v>6990631.7371362662</v>
          </cell>
          <cell r="AV133">
            <v>3516.8779888113772</v>
          </cell>
          <cell r="AW133">
            <v>6194485.719393203</v>
          </cell>
          <cell r="AY133">
            <v>4698.911765566605</v>
          </cell>
          <cell r="AZ133">
            <v>6797724.1935896343</v>
          </cell>
          <cell r="BD133">
            <v>-1617000</v>
          </cell>
          <cell r="BE133">
            <v>3002481.54</v>
          </cell>
          <cell r="BR133">
            <v>16555855.590072542</v>
          </cell>
          <cell r="BS133">
            <v>0</v>
          </cell>
        </row>
        <row r="134">
          <cell r="B134">
            <v>887</v>
          </cell>
          <cell r="F134">
            <v>35232938.01994019</v>
          </cell>
          <cell r="J134">
            <v>1.0010615758871764</v>
          </cell>
          <cell r="M134">
            <v>3373577.5107397842</v>
          </cell>
          <cell r="O134">
            <v>16183808.264204444</v>
          </cell>
          <cell r="Q134">
            <v>61623.335474662308</v>
          </cell>
          <cell r="R134">
            <v>7220622.3553780653</v>
          </cell>
          <cell r="T134">
            <v>5434.2627647035397</v>
          </cell>
          <cell r="U134">
            <v>1333212.5371815856</v>
          </cell>
          <cell r="V134">
            <v>1674276.628014768</v>
          </cell>
          <cell r="X134">
            <v>7748.2165973667452</v>
          </cell>
          <cell r="Y134">
            <v>263765.5767515715</v>
          </cell>
          <cell r="AA134">
            <v>9200.7569439790386</v>
          </cell>
          <cell r="AB134">
            <v>406790.18939850479</v>
          </cell>
          <cell r="AD134">
            <v>6945.3652135052298</v>
          </cell>
          <cell r="AE134">
            <v>418822.19689990551</v>
          </cell>
          <cell r="AG134">
            <v>2798.9681661805453</v>
          </cell>
          <cell r="AH134">
            <v>180535.75107052861</v>
          </cell>
          <cell r="AJ134">
            <v>3749.9766632733626</v>
          </cell>
          <cell r="AK134">
            <v>264865.2766303111</v>
          </cell>
          <cell r="AM134">
            <v>1459.5477776435032</v>
          </cell>
          <cell r="AN134">
            <v>139497.63726394658</v>
          </cell>
          <cell r="AP134">
            <v>342.36305895341434</v>
          </cell>
          <cell r="AQ134">
            <v>1056668.3967506604</v>
          </cell>
          <cell r="AS134">
            <v>2983.1634961437858</v>
          </cell>
          <cell r="AT134">
            <v>1520559.7159636284</v>
          </cell>
          <cell r="AV134">
            <v>787.83546022320775</v>
          </cell>
          <cell r="AW134">
            <v>1387661.3073044475</v>
          </cell>
          <cell r="AY134">
            <v>858.91083211119735</v>
          </cell>
          <cell r="AZ134">
            <v>1242551.3044028087</v>
          </cell>
          <cell r="BD134">
            <v>240000</v>
          </cell>
          <cell r="BE134">
            <v>0</v>
          </cell>
          <cell r="BR134">
            <v>1703791.4193382263</v>
          </cell>
          <cell r="BS134">
            <v>0</v>
          </cell>
        </row>
        <row r="135">
          <cell r="B135">
            <v>888</v>
          </cell>
          <cell r="F135">
            <v>114957351.34748086</v>
          </cell>
          <cell r="J135">
            <v>1</v>
          </cell>
          <cell r="M135">
            <v>11990000</v>
          </cell>
          <cell r="O135">
            <v>48059905.739182912</v>
          </cell>
          <cell r="Q135">
            <v>237063.71799999996</v>
          </cell>
          <cell r="R135">
            <v>27777587.315825529</v>
          </cell>
          <cell r="T135">
            <v>23123.000000000007</v>
          </cell>
          <cell r="U135">
            <v>5672871.3409815384</v>
          </cell>
          <cell r="V135">
            <v>4863203.7356603472</v>
          </cell>
          <cell r="X135">
            <v>21952</v>
          </cell>
          <cell r="Y135">
            <v>747292.21467793116</v>
          </cell>
          <cell r="AA135">
            <v>22383</v>
          </cell>
          <cell r="AB135">
            <v>989612.57913297578</v>
          </cell>
          <cell r="AD135">
            <v>17454</v>
          </cell>
          <cell r="AE135">
            <v>1052518.1037962486</v>
          </cell>
          <cell r="AG135">
            <v>11008</v>
          </cell>
          <cell r="AH135">
            <v>710025.06273456034</v>
          </cell>
          <cell r="AJ135">
            <v>14365</v>
          </cell>
          <cell r="AK135">
            <v>1014616.9004351108</v>
          </cell>
          <cell r="AM135">
            <v>3653</v>
          </cell>
          <cell r="AN135">
            <v>349138.87488352152</v>
          </cell>
          <cell r="AP135">
            <v>1279</v>
          </cell>
          <cell r="AQ135">
            <v>3947502.0569552504</v>
          </cell>
          <cell r="AS135">
            <v>8350</v>
          </cell>
          <cell r="AT135">
            <v>4256110.5499945851</v>
          </cell>
          <cell r="AV135">
            <v>2287</v>
          </cell>
          <cell r="AW135">
            <v>4028228.6975330352</v>
          </cell>
          <cell r="AY135">
            <v>3340</v>
          </cell>
          <cell r="AZ135">
            <v>4831841.9113476649</v>
          </cell>
          <cell r="BD135">
            <v>-1086000</v>
          </cell>
          <cell r="BE135">
            <v>616100</v>
          </cell>
          <cell r="BR135">
            <v>0</v>
          </cell>
          <cell r="BS135">
            <v>-617578.82187145948</v>
          </cell>
        </row>
        <row r="136">
          <cell r="B136">
            <v>889</v>
          </cell>
          <cell r="F136">
            <v>18981868.465893377</v>
          </cell>
          <cell r="J136">
            <v>1</v>
          </cell>
          <cell r="M136">
            <v>1056000</v>
          </cell>
          <cell r="O136">
            <v>8437359.9312952347</v>
          </cell>
          <cell r="Q136">
            <v>36156.826999999997</v>
          </cell>
          <cell r="R136">
            <v>4236622.2361183846</v>
          </cell>
          <cell r="T136">
            <v>4139.9999999999991</v>
          </cell>
          <cell r="U136">
            <v>1015685.1339213579</v>
          </cell>
          <cell r="V136">
            <v>1116461.8798630724</v>
          </cell>
          <cell r="X136">
            <v>6339</v>
          </cell>
          <cell r="Y136">
            <v>215792.88214483441</v>
          </cell>
          <cell r="AA136">
            <v>4103</v>
          </cell>
          <cell r="AB136">
            <v>181404.65586304784</v>
          </cell>
          <cell r="AD136">
            <v>2642</v>
          </cell>
          <cell r="AE136">
            <v>159318.94294887639</v>
          </cell>
          <cell r="AG136">
            <v>1929</v>
          </cell>
          <cell r="AH136">
            <v>124422.08811909219</v>
          </cell>
          <cell r="AJ136">
            <v>3108</v>
          </cell>
          <cell r="AK136">
            <v>219521.70738268882</v>
          </cell>
          <cell r="AM136">
            <v>2260</v>
          </cell>
          <cell r="AN136">
            <v>216001.60340453289</v>
          </cell>
          <cell r="AP136">
            <v>250</v>
          </cell>
          <cell r="AQ136">
            <v>771599.30745802389</v>
          </cell>
          <cell r="AS136">
            <v>1230</v>
          </cell>
          <cell r="AT136">
            <v>626948.02113692695</v>
          </cell>
          <cell r="AV136">
            <v>435</v>
          </cell>
          <cell r="AW136">
            <v>766191.29139784444</v>
          </cell>
          <cell r="AY136">
            <v>450</v>
          </cell>
          <cell r="AZ136">
            <v>650996.66470252979</v>
          </cell>
          <cell r="BD136">
            <v>-60000</v>
          </cell>
          <cell r="BE136">
            <v>364004.00000000006</v>
          </cell>
          <cell r="BR136">
            <v>0</v>
          </cell>
          <cell r="BS136">
            <v>0</v>
          </cell>
        </row>
        <row r="137">
          <cell r="B137">
            <v>890</v>
          </cell>
          <cell r="F137">
            <v>18907955.24958878</v>
          </cell>
          <cell r="J137">
            <v>1</v>
          </cell>
          <cell r="M137">
            <v>1840000</v>
          </cell>
          <cell r="O137">
            <v>7681927.1899473108</v>
          </cell>
          <cell r="Q137">
            <v>26921.246999999999</v>
          </cell>
          <cell r="R137">
            <v>3154456.934626353</v>
          </cell>
          <cell r="T137">
            <v>4819</v>
          </cell>
          <cell r="U137">
            <v>1182267.3092673973</v>
          </cell>
          <cell r="V137">
            <v>1223949.3749653536</v>
          </cell>
          <cell r="X137">
            <v>3697</v>
          </cell>
          <cell r="Y137">
            <v>125853.64967494129</v>
          </cell>
          <cell r="AA137">
            <v>1824</v>
          </cell>
          <cell r="AB137">
            <v>80643.941577918406</v>
          </cell>
          <cell r="AD137">
            <v>1890</v>
          </cell>
          <cell r="AE137">
            <v>113971.53753723556</v>
          </cell>
          <cell r="AG137">
            <v>2688</v>
          </cell>
          <cell r="AH137">
            <v>173378.21299332287</v>
          </cell>
          <cell r="AJ137">
            <v>3004</v>
          </cell>
          <cell r="AK137">
            <v>212176.06466460656</v>
          </cell>
          <cell r="AM137">
            <v>5419</v>
          </cell>
          <cell r="AN137">
            <v>517925.96851732902</v>
          </cell>
          <cell r="AP137">
            <v>187</v>
          </cell>
          <cell r="AQ137">
            <v>577156.28197860182</v>
          </cell>
          <cell r="AS137">
            <v>1150</v>
          </cell>
          <cell r="AT137">
            <v>586170.91407111054</v>
          </cell>
          <cell r="AV137">
            <v>312</v>
          </cell>
          <cell r="AW137">
            <v>549544.09865776426</v>
          </cell>
          <cell r="AY137">
            <v>475</v>
          </cell>
          <cell r="AZ137">
            <v>687163.14607489249</v>
          </cell>
          <cell r="BD137">
            <v>282000</v>
          </cell>
          <cell r="BE137">
            <v>1143320</v>
          </cell>
          <cell r="BR137">
            <v>0</v>
          </cell>
          <cell r="BS137">
            <v>-1.862645149230957E-9</v>
          </cell>
        </row>
        <row r="138">
          <cell r="B138">
            <v>891</v>
          </cell>
          <cell r="F138">
            <v>67042691.791131243</v>
          </cell>
          <cell r="J138">
            <v>1.0041582963367661</v>
          </cell>
          <cell r="M138">
            <v>4169265.2463902533</v>
          </cell>
          <cell r="O138">
            <v>28901776.957548451</v>
          </cell>
          <cell r="Q138">
            <v>158512.67009521872</v>
          </cell>
          <cell r="R138">
            <v>18573485.522717506</v>
          </cell>
          <cell r="T138">
            <v>13013.389441376321</v>
          </cell>
          <cell r="U138">
            <v>3192634.3472306994</v>
          </cell>
          <cell r="V138">
            <v>2918332.046999048</v>
          </cell>
          <cell r="X138">
            <v>15895.825831011007</v>
          </cell>
          <cell r="Y138">
            <v>541127.31821204803</v>
          </cell>
          <cell r="AA138">
            <v>12096.090837672684</v>
          </cell>
          <cell r="AB138">
            <v>534800.68137854722</v>
          </cell>
          <cell r="AD138">
            <v>9096.6700065147652</v>
          </cell>
          <cell r="AE138">
            <v>548551.04079965211</v>
          </cell>
          <cell r="AG138">
            <v>9438.0838272692654</v>
          </cell>
          <cell r="AH138">
            <v>608764.17710309767</v>
          </cell>
          <cell r="AJ138">
            <v>6866.4344303508069</v>
          </cell>
          <cell r="AK138">
            <v>484984.36608168896</v>
          </cell>
          <cell r="AM138">
            <v>2093.6700478621574</v>
          </cell>
          <cell r="AN138">
            <v>200104.46342401375</v>
          </cell>
          <cell r="AP138">
            <v>819.39316981080117</v>
          </cell>
          <cell r="AQ138">
            <v>2528972.8094473965</v>
          </cell>
          <cell r="AS138">
            <v>6537.0705091523478</v>
          </cell>
          <cell r="AT138">
            <v>3332035.3006062019</v>
          </cell>
          <cell r="AV138">
            <v>1535.3580350989155</v>
          </cell>
          <cell r="AW138">
            <v>2704317.1394724022</v>
          </cell>
          <cell r="AY138">
            <v>1678.952671475073</v>
          </cell>
          <cell r="AZ138">
            <v>2428872.4207192771</v>
          </cell>
          <cell r="BD138">
            <v>-1707000</v>
          </cell>
          <cell r="BE138">
            <v>0</v>
          </cell>
          <cell r="BR138">
            <v>0</v>
          </cell>
          <cell r="BS138">
            <v>-2688369.6586587653</v>
          </cell>
        </row>
        <row r="139">
          <cell r="B139">
            <v>892</v>
          </cell>
          <cell r="F139">
            <v>37166463.24719286</v>
          </cell>
          <cell r="J139">
            <v>1.0041582963367661</v>
          </cell>
          <cell r="M139">
            <v>2195090.035792171</v>
          </cell>
          <cell r="O139">
            <v>13068330.089471266</v>
          </cell>
          <cell r="Q139">
            <v>65912.375188841543</v>
          </cell>
          <cell r="R139">
            <v>7723184.1820750423</v>
          </cell>
          <cell r="T139">
            <v>10591.861709760209</v>
          </cell>
          <cell r="U139">
            <v>2598549.8741918602</v>
          </cell>
          <cell r="V139">
            <v>3439363.9398014625</v>
          </cell>
          <cell r="X139">
            <v>4916.3590188648068</v>
          </cell>
          <cell r="Y139">
            <v>167363.19330171746</v>
          </cell>
          <cell r="AA139">
            <v>4925.3964435318376</v>
          </cell>
          <cell r="AB139">
            <v>217765.01263172622</v>
          </cell>
          <cell r="AD139">
            <v>7452.8628754114779</v>
          </cell>
          <cell r="AE139">
            <v>449425.52432001516</v>
          </cell>
          <cell r="AG139">
            <v>10438.225490420684</v>
          </cell>
          <cell r="AH139">
            <v>673274.13777919987</v>
          </cell>
          <cell r="AJ139">
            <v>14979.029306455541</v>
          </cell>
          <cell r="AK139">
            <v>1057986.5148933248</v>
          </cell>
          <cell r="AM139">
            <v>9139.8488132572456</v>
          </cell>
          <cell r="AN139">
            <v>873549.55687547883</v>
          </cell>
          <cell r="AP139">
            <v>529.1914221694758</v>
          </cell>
          <cell r="AQ139">
            <v>1633294.9394347772</v>
          </cell>
          <cell r="AS139">
            <v>2861.8511445597833</v>
          </cell>
          <cell r="AT139">
            <v>1458725.131601793</v>
          </cell>
          <cell r="AV139">
            <v>833.45138595951585</v>
          </cell>
          <cell r="AW139">
            <v>1468007.3418980339</v>
          </cell>
          <cell r="AY139">
            <v>1330.509742646215</v>
          </cell>
          <cell r="AZ139">
            <v>1924794.2329264604</v>
          </cell>
          <cell r="BD139">
            <v>-96000</v>
          </cell>
          <cell r="BE139">
            <v>1753123.48</v>
          </cell>
          <cell r="BR139">
            <v>0</v>
          </cell>
          <cell r="BS139">
            <v>-4816379.5293622501</v>
          </cell>
        </row>
        <row r="140">
          <cell r="B140">
            <v>893</v>
          </cell>
          <cell r="F140">
            <v>24367905.929331794</v>
          </cell>
          <cell r="J140">
            <v>1</v>
          </cell>
          <cell r="M140">
            <v>1852000</v>
          </cell>
          <cell r="O140">
            <v>11933200.237546183</v>
          </cell>
          <cell r="Q140">
            <v>56999.861000000004</v>
          </cell>
          <cell r="R140">
            <v>6678873.6347981291</v>
          </cell>
          <cell r="T140">
            <v>3224</v>
          </cell>
          <cell r="U140">
            <v>790958.66467692226</v>
          </cell>
          <cell r="V140">
            <v>469064.3344687043</v>
          </cell>
          <cell r="X140">
            <v>3660</v>
          </cell>
          <cell r="Y140">
            <v>124594.09191514339</v>
          </cell>
          <cell r="AA140">
            <v>2527</v>
          </cell>
          <cell r="AB140">
            <v>111725.46072774111</v>
          </cell>
          <cell r="AD140">
            <v>1915</v>
          </cell>
          <cell r="AE140">
            <v>115479.09755756936</v>
          </cell>
          <cell r="AG140">
            <v>880</v>
          </cell>
          <cell r="AH140">
            <v>56760.724491861649</v>
          </cell>
          <cell r="AJ140">
            <v>245</v>
          </cell>
          <cell r="AK140">
            <v>17304.639095482227</v>
          </cell>
          <cell r="AM140">
            <v>452</v>
          </cell>
          <cell r="AN140">
            <v>43200.320680906574</v>
          </cell>
          <cell r="AP140">
            <v>266</v>
          </cell>
          <cell r="AQ140">
            <v>820981.66313533753</v>
          </cell>
          <cell r="AS140">
            <v>1670</v>
          </cell>
          <cell r="AT140">
            <v>851222.10999891697</v>
          </cell>
          <cell r="AV140">
            <v>529</v>
          </cell>
          <cell r="AW140">
            <v>931759.06471140159</v>
          </cell>
          <cell r="AY140">
            <v>510</v>
          </cell>
          <cell r="AZ140">
            <v>737796.21999620029</v>
          </cell>
          <cell r="BD140">
            <v>-804000</v>
          </cell>
          <cell r="BE140">
            <v>106050</v>
          </cell>
          <cell r="BR140">
            <v>837497.52772667259</v>
          </cell>
          <cell r="BS140">
            <v>0</v>
          </cell>
        </row>
        <row r="141">
          <cell r="B141">
            <v>894</v>
          </cell>
          <cell r="F141">
            <v>21504514.811984796</v>
          </cell>
          <cell r="J141">
            <v>1</v>
          </cell>
          <cell r="M141">
            <v>2328000</v>
          </cell>
          <cell r="O141">
            <v>9156063.4364382438</v>
          </cell>
          <cell r="Q141">
            <v>38012.051999999996</v>
          </cell>
          <cell r="R141">
            <v>4454005.4563883143</v>
          </cell>
          <cell r="T141">
            <v>4330.5000000000018</v>
          </cell>
          <cell r="U141">
            <v>1062421.3701561457</v>
          </cell>
          <cell r="V141">
            <v>1244378.6240321449</v>
          </cell>
          <cell r="X141">
            <v>4819</v>
          </cell>
          <cell r="Y141">
            <v>164048.88768827214</v>
          </cell>
          <cell r="AA141">
            <v>2940</v>
          </cell>
          <cell r="AB141">
            <v>129985.30056967112</v>
          </cell>
          <cell r="AD141">
            <v>5280</v>
          </cell>
          <cell r="AE141">
            <v>318396.67629449937</v>
          </cell>
          <cell r="AG141">
            <v>2628</v>
          </cell>
          <cell r="AH141">
            <v>169508.16359615049</v>
          </cell>
          <cell r="AJ141">
            <v>1255</v>
          </cell>
          <cell r="AK141">
            <v>88642.130876857933</v>
          </cell>
          <cell r="AM141">
            <v>3911</v>
          </cell>
          <cell r="AN141">
            <v>373797.46500669385</v>
          </cell>
          <cell r="AP141">
            <v>248</v>
          </cell>
          <cell r="AQ141">
            <v>765426.51299835974</v>
          </cell>
          <cell r="AS141">
            <v>1680</v>
          </cell>
          <cell r="AT141">
            <v>856319.24838214414</v>
          </cell>
          <cell r="AV141">
            <v>435</v>
          </cell>
          <cell r="AW141">
            <v>766191.29139784444</v>
          </cell>
          <cell r="AY141">
            <v>601</v>
          </cell>
          <cell r="AZ141">
            <v>869442.21219160082</v>
          </cell>
          <cell r="BD141">
            <v>-18000</v>
          </cell>
          <cell r="BE141">
            <v>20266.66</v>
          </cell>
          <cell r="BR141">
            <v>0</v>
          </cell>
          <cell r="BS141">
            <v>0</v>
          </cell>
        </row>
        <row r="142">
          <cell r="B142">
            <v>895</v>
          </cell>
          <cell r="F142">
            <v>31943950.843247604</v>
          </cell>
          <cell r="J142">
            <v>1.0054548012657853</v>
          </cell>
          <cell r="M142">
            <v>1632858.5972556355</v>
          </cell>
          <cell r="O142">
            <v>16535476.599105094</v>
          </cell>
          <cell r="Q142">
            <v>72869.988834376563</v>
          </cell>
          <cell r="R142">
            <v>8538432.1760705989</v>
          </cell>
          <cell r="T142">
            <v>4435.0611283833814</v>
          </cell>
          <cell r="U142">
            <v>1088073.8299834502</v>
          </cell>
          <cell r="V142">
            <v>834617.87257997761</v>
          </cell>
          <cell r="X142">
            <v>4316.4174618340166</v>
          </cell>
          <cell r="Y142">
            <v>146939.9218535184</v>
          </cell>
          <cell r="AA142">
            <v>5037.328554341585</v>
          </cell>
          <cell r="AB142">
            <v>222713.83204227136</v>
          </cell>
          <cell r="AD142">
            <v>3139.0298895517817</v>
          </cell>
          <cell r="AE142">
            <v>189291.03856484406</v>
          </cell>
          <cell r="AG142">
            <v>2657.4170397454704</v>
          </cell>
          <cell r="AH142">
            <v>171405.58687837637</v>
          </cell>
          <cell r="AJ142">
            <v>889.82749912022007</v>
          </cell>
          <cell r="AK142">
            <v>62849.566242901776</v>
          </cell>
          <cell r="AM142">
            <v>433.35101934555348</v>
          </cell>
          <cell r="AN142">
            <v>41417.926998065617</v>
          </cell>
          <cell r="AP142">
            <v>271.47279634176203</v>
          </cell>
          <cell r="AQ142">
            <v>837872.88660398708</v>
          </cell>
          <cell r="AS142">
            <v>2111.4550826581494</v>
          </cell>
          <cell r="AT142">
            <v>1076237.8746276693</v>
          </cell>
          <cell r="AV142">
            <v>615.33833837466068</v>
          </cell>
          <cell r="AW142">
            <v>1083831.8991399657</v>
          </cell>
          <cell r="AY142">
            <v>728.95473091769441</v>
          </cell>
          <cell r="AZ142">
            <v>1054549.1078812203</v>
          </cell>
          <cell r="BD142">
            <v>-738000</v>
          </cell>
          <cell r="BE142">
            <v>0</v>
          </cell>
          <cell r="BR142">
            <v>2567466.0839939527</v>
          </cell>
          <cell r="BS142">
            <v>0</v>
          </cell>
        </row>
        <row r="143">
          <cell r="B143">
            <v>896</v>
          </cell>
          <cell r="F143">
            <v>35226287.699725725</v>
          </cell>
          <cell r="J143">
            <v>1.0054548012657853</v>
          </cell>
          <cell r="M143">
            <v>3917251.9057314997</v>
          </cell>
          <cell r="O143">
            <v>16317190.201425629</v>
          </cell>
          <cell r="Q143">
            <v>64281.056089150989</v>
          </cell>
          <cell r="R143">
            <v>7532036.8014723798</v>
          </cell>
          <cell r="T143">
            <v>5531.006861763085</v>
          </cell>
          <cell r="U143">
            <v>1356947.2089637173</v>
          </cell>
          <cell r="V143">
            <v>1071049.0481365537</v>
          </cell>
          <cell r="X143">
            <v>4215.871981707438</v>
          </cell>
          <cell r="Y143">
            <v>143517.1424020039</v>
          </cell>
          <cell r="AA143">
            <v>2437.2224382682639</v>
          </cell>
          <cell r="AB143">
            <v>107756.15346715885</v>
          </cell>
          <cell r="AD143">
            <v>2994.2443981695087</v>
          </cell>
          <cell r="AE143">
            <v>180560.12583155211</v>
          </cell>
          <cell r="AG143">
            <v>3869.995530072008</v>
          </cell>
          <cell r="AH143">
            <v>249617.89780358333</v>
          </cell>
          <cell r="AJ143">
            <v>3639.746380582143</v>
          </cell>
          <cell r="AK143">
            <v>257079.5816941293</v>
          </cell>
          <cell r="AM143">
            <v>1386.5221709455179</v>
          </cell>
          <cell r="AN143">
            <v>132518.14693812642</v>
          </cell>
          <cell r="AP143">
            <v>303.6473499822672</v>
          </cell>
          <cell r="AQ143">
            <v>937176.33983112616</v>
          </cell>
          <cell r="AS143">
            <v>2584.0188392530686</v>
          </cell>
          <cell r="AT143">
            <v>1317110.1608538621</v>
          </cell>
          <cell r="AV143">
            <v>615.33833837466068</v>
          </cell>
          <cell r="AW143">
            <v>1083831.8991399657</v>
          </cell>
          <cell r="AY143">
            <v>762.13473935946524</v>
          </cell>
          <cell r="AZ143">
            <v>1102549.2741709859</v>
          </cell>
          <cell r="BD143">
            <v>60000</v>
          </cell>
          <cell r="BE143">
            <v>531144.8600000001</v>
          </cell>
          <cell r="BR143">
            <v>2526106.2665369846</v>
          </cell>
          <cell r="BS143">
            <v>0</v>
          </cell>
        </row>
        <row r="144">
          <cell r="B144">
            <v>908</v>
          </cell>
          <cell r="F144">
            <v>43594579.196558759</v>
          </cell>
          <cell r="J144">
            <v>1</v>
          </cell>
          <cell r="M144">
            <v>1916000</v>
          </cell>
          <cell r="O144">
            <v>18174713.664511234</v>
          </cell>
          <cell r="Q144">
            <v>103610.671</v>
          </cell>
          <cell r="R144">
            <v>12140425.7253477</v>
          </cell>
          <cell r="T144">
            <v>7829</v>
          </cell>
          <cell r="U144">
            <v>1920724.375234375</v>
          </cell>
          <cell r="V144">
            <v>1460091.8675277699</v>
          </cell>
          <cell r="X144">
            <v>11766</v>
          </cell>
          <cell r="Y144">
            <v>400539.36761573143</v>
          </cell>
          <cell r="AA144">
            <v>6431</v>
          </cell>
          <cell r="AB144">
            <v>284331.79182433838</v>
          </cell>
          <cell r="AD144">
            <v>4284</v>
          </cell>
          <cell r="AE144">
            <v>258335.4850844006</v>
          </cell>
          <cell r="AG144">
            <v>4020</v>
          </cell>
          <cell r="AH144">
            <v>259293.30961054983</v>
          </cell>
          <cell r="AJ144">
            <v>3647</v>
          </cell>
          <cell r="AK144">
            <v>257591.91339274973</v>
          </cell>
          <cell r="AM144">
            <v>0</v>
          </cell>
          <cell r="AN144">
            <v>0</v>
          </cell>
          <cell r="AP144">
            <v>574</v>
          </cell>
          <cell r="AQ144">
            <v>1771592.0099236227</v>
          </cell>
          <cell r="AS144">
            <v>3580</v>
          </cell>
          <cell r="AT144">
            <v>1824775.5411952832</v>
          </cell>
          <cell r="AV144">
            <v>1038</v>
          </cell>
          <cell r="AW144">
            <v>1828290.9436114081</v>
          </cell>
          <cell r="AY144">
            <v>1115</v>
          </cell>
          <cell r="AZ144">
            <v>1613025.0692073791</v>
          </cell>
          <cell r="BD144">
            <v>42000</v>
          </cell>
          <cell r="BE144">
            <v>902940</v>
          </cell>
          <cell r="BR144">
            <v>0</v>
          </cell>
          <cell r="BS144">
            <v>-1623026.7271718383</v>
          </cell>
        </row>
        <row r="145">
          <cell r="B145">
            <v>909</v>
          </cell>
          <cell r="F145">
            <v>41495602.969636962</v>
          </cell>
          <cell r="J145">
            <v>1</v>
          </cell>
          <cell r="M145">
            <v>2318000</v>
          </cell>
          <cell r="O145">
            <v>19720094.787625886</v>
          </cell>
          <cell r="Q145">
            <v>88065.877000000008</v>
          </cell>
          <cell r="R145">
            <v>10318987.690525683</v>
          </cell>
          <cell r="T145">
            <v>6797.5000000000009</v>
          </cell>
          <cell r="U145">
            <v>1667661.7627609742</v>
          </cell>
          <cell r="V145">
            <v>1283962.9553814072</v>
          </cell>
          <cell r="X145">
            <v>7947</v>
          </cell>
          <cell r="Y145">
            <v>270532.5815436187</v>
          </cell>
          <cell r="AA145">
            <v>5028</v>
          </cell>
          <cell r="AB145">
            <v>222301.39158649874</v>
          </cell>
          <cell r="AD145">
            <v>2526</v>
          </cell>
          <cell r="AE145">
            <v>152323.86445452753</v>
          </cell>
          <cell r="AG145">
            <v>1607</v>
          </cell>
          <cell r="AH145">
            <v>103652.82302093372</v>
          </cell>
          <cell r="AJ145">
            <v>4731</v>
          </cell>
          <cell r="AK145">
            <v>334156.11249276082</v>
          </cell>
          <cell r="AM145">
            <v>2103</v>
          </cell>
          <cell r="AN145">
            <v>200996.18228306752</v>
          </cell>
          <cell r="AP145">
            <v>445</v>
          </cell>
          <cell r="AQ145">
            <v>1373446.7672752824</v>
          </cell>
          <cell r="AS145">
            <v>2710</v>
          </cell>
          <cell r="AT145">
            <v>1381324.5018545301</v>
          </cell>
          <cell r="AV145">
            <v>910</v>
          </cell>
          <cell r="AW145">
            <v>1602836.954418479</v>
          </cell>
          <cell r="AY145">
            <v>1235</v>
          </cell>
          <cell r="AZ145">
            <v>1786624.1797947204</v>
          </cell>
          <cell r="BD145">
            <v>-768000</v>
          </cell>
          <cell r="BE145">
            <v>810663.37</v>
          </cell>
          <cell r="BR145">
            <v>595227.96419010311</v>
          </cell>
          <cell r="BS145">
            <v>0</v>
          </cell>
        </row>
        <row r="146">
          <cell r="B146">
            <v>916</v>
          </cell>
          <cell r="F146">
            <v>56890232.53684593</v>
          </cell>
          <cell r="J146">
            <v>1.0094696081392127</v>
          </cell>
          <cell r="M146">
            <v>4829302.6053379932</v>
          </cell>
          <cell r="O146">
            <v>25651201.539899588</v>
          </cell>
          <cell r="Q146">
            <v>123905.3775758422</v>
          </cell>
          <cell r="R146">
            <v>14518427.676534155</v>
          </cell>
          <cell r="T146">
            <v>8160.0475773933231</v>
          </cell>
          <cell r="U146">
            <v>2001941.7914128965</v>
          </cell>
          <cell r="V146">
            <v>1629981.8086422177</v>
          </cell>
          <cell r="X146">
            <v>9693.9366469608594</v>
          </cell>
          <cell r="Y146">
            <v>330001.97639645304</v>
          </cell>
          <cell r="AA146">
            <v>8699.6090829437344</v>
          </cell>
          <cell r="AB146">
            <v>384633.09574322519</v>
          </cell>
          <cell r="AD146">
            <v>4186.2704649533152</v>
          </cell>
          <cell r="AE146">
            <v>252442.15949071286</v>
          </cell>
          <cell r="AG146">
            <v>4139.8348629789116</v>
          </cell>
          <cell r="AH146">
            <v>267022.75693107932</v>
          </cell>
          <cell r="AJ146">
            <v>4640.531788615961</v>
          </cell>
          <cell r="AK146">
            <v>327766.23597188498</v>
          </cell>
          <cell r="AM146">
            <v>712.68554334628413</v>
          </cell>
          <cell r="AN146">
            <v>68115.584108861993</v>
          </cell>
          <cell r="AP146">
            <v>552.17987565214935</v>
          </cell>
          <cell r="AQ146">
            <v>1704246.4385818245</v>
          </cell>
          <cell r="AS146">
            <v>3179.8292656385202</v>
          </cell>
          <cell r="AT146">
            <v>1620802.9801994779</v>
          </cell>
          <cell r="AV146">
            <v>1067.0093758031478</v>
          </cell>
          <cell r="AW146">
            <v>1879386.8771959122</v>
          </cell>
          <cell r="AY146">
            <v>1451.6172965041878</v>
          </cell>
          <cell r="AZ146">
            <v>2099995.5965527319</v>
          </cell>
          <cell r="BD146">
            <v>-738000</v>
          </cell>
          <cell r="BE146">
            <v>1692945.2224891379</v>
          </cell>
          <cell r="BR146">
            <v>1488699.3752878532</v>
          </cell>
          <cell r="BS146">
            <v>0</v>
          </cell>
        </row>
        <row r="147">
          <cell r="B147">
            <v>919</v>
          </cell>
          <cell r="F147">
            <v>111114009.14026441</v>
          </cell>
          <cell r="J147">
            <v>1.0525261171555516</v>
          </cell>
          <cell r="M147">
            <v>9807438.3596554287</v>
          </cell>
          <cell r="O147">
            <v>45998113.497759625</v>
          </cell>
          <cell r="Q147">
            <v>273816.32710665133</v>
          </cell>
          <cell r="R147">
            <v>32084019.431027625</v>
          </cell>
          <cell r="T147">
            <v>14776.414158746789</v>
          </cell>
          <cell r="U147">
            <v>3625165.264179755</v>
          </cell>
          <cell r="V147">
            <v>2596658.055574635</v>
          </cell>
          <cell r="X147">
            <v>25040.648853247727</v>
          </cell>
          <cell r="Y147">
            <v>852436.31279682426</v>
          </cell>
          <cell r="AA147">
            <v>19893.796140357081</v>
          </cell>
          <cell r="AB147">
            <v>879558.18733880215</v>
          </cell>
          <cell r="AD147">
            <v>7603.4486703317043</v>
          </cell>
          <cell r="AE147">
            <v>458506.20928209188</v>
          </cell>
          <cell r="AG147">
            <v>3875.401163366741</v>
          </cell>
          <cell r="AH147">
            <v>249966.56560147693</v>
          </cell>
          <cell r="AJ147">
            <v>2211.3573721438138</v>
          </cell>
          <cell r="AK147">
            <v>156190.7805554395</v>
          </cell>
          <cell r="AM147">
            <v>0</v>
          </cell>
          <cell r="AN147">
            <v>0</v>
          </cell>
          <cell r="AP147">
            <v>1171.4615683941288</v>
          </cell>
          <cell r="AQ147">
            <v>3615595.739546401</v>
          </cell>
          <cell r="AS147">
            <v>7830.7943116373035</v>
          </cell>
          <cell r="AT147">
            <v>3991464.2257002532</v>
          </cell>
          <cell r="AV147">
            <v>1968.2238390808814</v>
          </cell>
          <cell r="AW147">
            <v>3466749.3448859854</v>
          </cell>
          <cell r="AY147">
            <v>2577.6364609139459</v>
          </cell>
          <cell r="AZ147">
            <v>3728961.6419346919</v>
          </cell>
          <cell r="BD147">
            <v>858000</v>
          </cell>
          <cell r="BE147">
            <v>1341843.58</v>
          </cell>
          <cell r="BR147">
            <v>0</v>
          </cell>
          <cell r="BS147">
            <v>0</v>
          </cell>
        </row>
        <row r="148">
          <cell r="B148">
            <v>921</v>
          </cell>
          <cell r="F148">
            <v>14144970.192554742</v>
          </cell>
          <cell r="J148">
            <v>1.0213260495386489</v>
          </cell>
          <cell r="M148">
            <v>1056051.1352229631</v>
          </cell>
          <cell r="O148">
            <v>6947456.3846826525</v>
          </cell>
          <cell r="Q148">
            <v>24501.565968759962</v>
          </cell>
          <cell r="R148">
            <v>2870934.4214017997</v>
          </cell>
          <cell r="T148">
            <v>2208.1069191025595</v>
          </cell>
          <cell r="U148">
            <v>541724.96904380689</v>
          </cell>
          <cell r="V148">
            <v>576936.20040013758</v>
          </cell>
          <cell r="X148">
            <v>5997.2265628909463</v>
          </cell>
          <cell r="Y148">
            <v>204158.19606906394</v>
          </cell>
          <cell r="AA148">
            <v>1748.5101968101669</v>
          </cell>
          <cell r="AB148">
            <v>77306.334517518495</v>
          </cell>
          <cell r="AD148">
            <v>2234.6613963905638</v>
          </cell>
          <cell r="AE148">
            <v>134755.44720726897</v>
          </cell>
          <cell r="AG148">
            <v>565.81463144441148</v>
          </cell>
          <cell r="AH148">
            <v>36495.509555545999</v>
          </cell>
          <cell r="AJ148">
            <v>1758.7234573055534</v>
          </cell>
          <cell r="AK148">
            <v>124220.71305074017</v>
          </cell>
          <cell r="AM148">
            <v>0</v>
          </cell>
          <cell r="AN148">
            <v>0</v>
          </cell>
          <cell r="AP148">
            <v>139.9216687867949</v>
          </cell>
          <cell r="AQ148">
            <v>431853.8509370478</v>
          </cell>
          <cell r="AS148">
            <v>1103.0321335017409</v>
          </cell>
          <cell r="AT148">
            <v>562230.74256045453</v>
          </cell>
          <cell r="AV148">
            <v>282.90731572220574</v>
          </cell>
          <cell r="AW148">
            <v>498301.42891745863</v>
          </cell>
          <cell r="AY148">
            <v>573.98523984072074</v>
          </cell>
          <cell r="AZ148">
            <v>830361.05938842392</v>
          </cell>
          <cell r="BD148">
            <v>-183000</v>
          </cell>
          <cell r="BE148">
            <v>12120</v>
          </cell>
          <cell r="BR148">
            <v>666544.18603151292</v>
          </cell>
          <cell r="BS148">
            <v>0</v>
          </cell>
        </row>
        <row r="149">
          <cell r="B149">
            <v>925</v>
          </cell>
          <cell r="F149">
            <v>77764478.219707891</v>
          </cell>
          <cell r="J149">
            <v>1</v>
          </cell>
          <cell r="M149">
            <v>7208000</v>
          </cell>
          <cell r="O149">
            <v>36453765</v>
          </cell>
          <cell r="Q149">
            <v>139338.49799999999</v>
          </cell>
          <cell r="R149">
            <v>16326780.526790613</v>
          </cell>
          <cell r="T149">
            <v>13018.500000000002</v>
          </cell>
          <cell r="U149">
            <v>3193888.1439505317</v>
          </cell>
          <cell r="V149">
            <v>2341128.5079670949</v>
          </cell>
          <cell r="X149">
            <v>13452</v>
          </cell>
          <cell r="Y149">
            <v>457934.35094057617</v>
          </cell>
          <cell r="AA149">
            <v>10381</v>
          </cell>
          <cell r="AB149">
            <v>458971.90653529111</v>
          </cell>
          <cell r="AD149">
            <v>6936</v>
          </cell>
          <cell r="AE149">
            <v>418257.45204141049</v>
          </cell>
          <cell r="AG149">
            <v>5807</v>
          </cell>
          <cell r="AH149">
            <v>374556.28082300065</v>
          </cell>
          <cell r="AJ149">
            <v>5880</v>
          </cell>
          <cell r="AK149">
            <v>415311.33829157345</v>
          </cell>
          <cell r="AM149">
            <v>2261</v>
          </cell>
          <cell r="AN149">
            <v>216097.17933524286</v>
          </cell>
          <cell r="AP149">
            <v>722</v>
          </cell>
          <cell r="AQ149">
            <v>2228378.7999387733</v>
          </cell>
          <cell r="AS149">
            <v>5750</v>
          </cell>
          <cell r="AT149">
            <v>2930854.5703555527</v>
          </cell>
          <cell r="AV149">
            <v>1444</v>
          </cell>
          <cell r="AW149">
            <v>2543402.8155827299</v>
          </cell>
          <cell r="AY149">
            <v>1966</v>
          </cell>
          <cell r="AZ149">
            <v>2844132.0951226074</v>
          </cell>
          <cell r="BD149">
            <v>-222000</v>
          </cell>
          <cell r="BE149">
            <v>1916147.76</v>
          </cell>
          <cell r="BR149">
            <v>5776725.5575739294</v>
          </cell>
          <cell r="BS149">
            <v>0</v>
          </cell>
        </row>
        <row r="150">
          <cell r="B150">
            <v>926</v>
          </cell>
          <cell r="F150">
            <v>79121108.683520079</v>
          </cell>
          <cell r="J150">
            <v>1</v>
          </cell>
          <cell r="M150">
            <v>6998000</v>
          </cell>
          <cell r="O150">
            <v>34785120.359491892</v>
          </cell>
          <cell r="Q150">
            <v>163856.94799999997</v>
          </cell>
          <cell r="R150">
            <v>19199693.309351891</v>
          </cell>
          <cell r="T150">
            <v>14534.000000000005</v>
          </cell>
          <cell r="U150">
            <v>3565692.6899548369</v>
          </cell>
          <cell r="V150">
            <v>2761113.7167607676</v>
          </cell>
          <cell r="X150">
            <v>13112</v>
          </cell>
          <cell r="Y150">
            <v>446360.03639108199</v>
          </cell>
          <cell r="AA150">
            <v>10062</v>
          </cell>
          <cell r="AB150">
            <v>444868.05929660908</v>
          </cell>
          <cell r="AD150">
            <v>8640</v>
          </cell>
          <cell r="AE150">
            <v>521012.74302736262</v>
          </cell>
          <cell r="AG150">
            <v>6469</v>
          </cell>
          <cell r="AH150">
            <v>417255.82583846932</v>
          </cell>
          <cell r="AJ150">
            <v>8991</v>
          </cell>
          <cell r="AK150">
            <v>635044.93921420688</v>
          </cell>
          <cell r="AM150">
            <v>3103</v>
          </cell>
          <cell r="AN150">
            <v>296572.11299303785</v>
          </cell>
          <cell r="AP150">
            <v>911</v>
          </cell>
          <cell r="AQ150">
            <v>2811707.8763770391</v>
          </cell>
          <cell r="AS150">
            <v>6310</v>
          </cell>
          <cell r="AT150">
            <v>3216294.3198162671</v>
          </cell>
          <cell r="AV150">
            <v>1830</v>
          </cell>
          <cell r="AW150">
            <v>3223287.5017426559</v>
          </cell>
          <cell r="AY150">
            <v>1946</v>
          </cell>
          <cell r="AZ150">
            <v>2815198.910024717</v>
          </cell>
          <cell r="BD150">
            <v>-255000</v>
          </cell>
          <cell r="BE150">
            <v>0</v>
          </cell>
          <cell r="BR150">
            <v>0</v>
          </cell>
          <cell r="BS150">
            <v>0</v>
          </cell>
        </row>
        <row r="151">
          <cell r="B151">
            <v>928</v>
          </cell>
          <cell r="F151">
            <v>73076915.822462216</v>
          </cell>
          <cell r="J151">
            <v>1.004938767636737</v>
          </cell>
          <cell r="M151">
            <v>6540141.4997798847</v>
          </cell>
          <cell r="O151">
            <v>30339028.518188607</v>
          </cell>
          <cell r="Q151">
            <v>161615.28367851561</v>
          </cell>
          <cell r="R151">
            <v>18937029.638385579</v>
          </cell>
          <cell r="T151">
            <v>10825.200404982932</v>
          </cell>
          <cell r="U151">
            <v>2655795.9234445966</v>
          </cell>
          <cell r="V151">
            <v>2785821.6937567298</v>
          </cell>
          <cell r="X151">
            <v>11826.11941754912</v>
          </cell>
          <cell r="Y151">
            <v>402585.95893704292</v>
          </cell>
          <cell r="AA151">
            <v>11063.370892912837</v>
          </cell>
          <cell r="AB151">
            <v>489141.35742483876</v>
          </cell>
          <cell r="AD151">
            <v>11663.31933719197</v>
          </cell>
          <cell r="AE151">
            <v>703326.15748547087</v>
          </cell>
          <cell r="AG151">
            <v>8231.4534457125119</v>
          </cell>
          <cell r="AH151">
            <v>530935.52409053768</v>
          </cell>
          <cell r="AJ151">
            <v>6323.0747259703485</v>
          </cell>
          <cell r="AK151">
            <v>446606.22900686553</v>
          </cell>
          <cell r="AM151">
            <v>2230.9640641535561</v>
          </cell>
          <cell r="AN151">
            <v>213226.46681197401</v>
          </cell>
          <cell r="AP151">
            <v>752.69913695991602</v>
          </cell>
          <cell r="AQ151">
            <v>2323128.5312100938</v>
          </cell>
          <cell r="AS151">
            <v>5456.8175082674816</v>
          </cell>
          <cell r="AT151">
            <v>2781415.397165556</v>
          </cell>
          <cell r="AV151">
            <v>1789.7959451610286</v>
          </cell>
          <cell r="AW151">
            <v>3152473.7162334579</v>
          </cell>
          <cell r="AY151">
            <v>2052.0849635142167</v>
          </cell>
          <cell r="AZ151">
            <v>2968667.7042977056</v>
          </cell>
          <cell r="BD151">
            <v>-729000</v>
          </cell>
          <cell r="BE151">
            <v>1322413.2</v>
          </cell>
          <cell r="BR151">
            <v>0</v>
          </cell>
          <cell r="BS151">
            <v>-124956.96474459022</v>
          </cell>
        </row>
        <row r="152">
          <cell r="B152">
            <v>929</v>
          </cell>
          <cell r="F152">
            <v>30873657.688714597</v>
          </cell>
          <cell r="J152">
            <v>1</v>
          </cell>
          <cell r="M152">
            <v>3068000</v>
          </cell>
          <cell r="O152">
            <v>14918567.138480818</v>
          </cell>
          <cell r="Q152">
            <v>55743.450999999994</v>
          </cell>
          <cell r="R152">
            <v>6531655.6683631456</v>
          </cell>
          <cell r="T152">
            <v>5523.0000000000009</v>
          </cell>
          <cell r="U152">
            <v>1354982.8489487106</v>
          </cell>
          <cell r="V152">
            <v>1245950.8871307478</v>
          </cell>
          <cell r="X152">
            <v>4918</v>
          </cell>
          <cell r="Y152">
            <v>167419.0557482719</v>
          </cell>
          <cell r="AA152">
            <v>3793</v>
          </cell>
          <cell r="AB152">
            <v>167698.72280978318</v>
          </cell>
          <cell r="AD152">
            <v>1068</v>
          </cell>
          <cell r="AE152">
            <v>64402.964068660091</v>
          </cell>
          <cell r="AG152">
            <v>5136</v>
          </cell>
          <cell r="AH152">
            <v>331276.22839795618</v>
          </cell>
          <cell r="AJ152">
            <v>5617</v>
          </cell>
          <cell r="AK152">
            <v>396735.33795642311</v>
          </cell>
          <cell r="AM152">
            <v>1239</v>
          </cell>
          <cell r="AN152">
            <v>118418.5781496532</v>
          </cell>
          <cell r="AP152">
            <v>296</v>
          </cell>
          <cell r="AQ152">
            <v>913573.58003030019</v>
          </cell>
          <cell r="AS152">
            <v>2370</v>
          </cell>
          <cell r="AT152">
            <v>1208021.7968248103</v>
          </cell>
          <cell r="AV152">
            <v>574</v>
          </cell>
          <cell r="AW152">
            <v>1011020.2327870406</v>
          </cell>
          <cell r="AY152">
            <v>1052</v>
          </cell>
          <cell r="AZ152">
            <v>1521885.536149025</v>
          </cell>
          <cell r="BD152">
            <v>-900000</v>
          </cell>
          <cell r="BE152">
            <v>0</v>
          </cell>
          <cell r="BR152">
            <v>1131476.5882470421</v>
          </cell>
          <cell r="BS152">
            <v>0</v>
          </cell>
        </row>
        <row r="153">
          <cell r="B153">
            <v>931</v>
          </cell>
          <cell r="F153">
            <v>61164327.914221257</v>
          </cell>
          <cell r="J153">
            <v>1.0333689168320959</v>
          </cell>
          <cell r="M153">
            <v>4869234.3361128364</v>
          </cell>
          <cell r="O153">
            <v>25631572.447429925</v>
          </cell>
          <cell r="Q153">
            <v>142024.98285333414</v>
          </cell>
          <cell r="R153">
            <v>16641565.379638202</v>
          </cell>
          <cell r="T153">
            <v>7512.0753409109193</v>
          </cell>
          <cell r="U153">
            <v>1842971.7991933427</v>
          </cell>
          <cell r="V153">
            <v>1258965.8301925024</v>
          </cell>
          <cell r="X153">
            <v>11108.715855945031</v>
          </cell>
          <cell r="Y153">
            <v>378164.03399312182</v>
          </cell>
          <cell r="AA153">
            <v>6602.1940096402604</v>
          </cell>
          <cell r="AB153">
            <v>291900.73903482017</v>
          </cell>
          <cell r="AD153">
            <v>3898.9009232074977</v>
          </cell>
          <cell r="AE153">
            <v>235113.08620280726</v>
          </cell>
          <cell r="AG153">
            <v>3224.111020516139</v>
          </cell>
          <cell r="AH153">
            <v>207957.81518942214</v>
          </cell>
          <cell r="AJ153">
            <v>2064.6710958305275</v>
          </cell>
          <cell r="AK153">
            <v>145830.15577233094</v>
          </cell>
          <cell r="AM153">
            <v>0</v>
          </cell>
          <cell r="AN153">
            <v>0</v>
          </cell>
          <cell r="AP153">
            <v>521.85130300020842</v>
          </cell>
          <cell r="AQ153">
            <v>1610640.4159641128</v>
          </cell>
          <cell r="AS153">
            <v>3978.4703298035693</v>
          </cell>
          <cell r="AT153">
            <v>2027881.3824571748</v>
          </cell>
          <cell r="AV153">
            <v>1265.8769231193173</v>
          </cell>
          <cell r="AW153">
            <v>2229664.079254068</v>
          </cell>
          <cell r="AY153">
            <v>1577.9543360026105</v>
          </cell>
          <cell r="AZ153">
            <v>2282762.2439790987</v>
          </cell>
          <cell r="BD153">
            <v>1146000</v>
          </cell>
          <cell r="BE153">
            <v>1623070</v>
          </cell>
          <cell r="BR153">
            <v>0</v>
          </cell>
          <cell r="BS153">
            <v>0</v>
          </cell>
        </row>
        <row r="154">
          <cell r="B154">
            <v>933</v>
          </cell>
          <cell r="F154">
            <v>49180944.368951328</v>
          </cell>
          <cell r="J154">
            <v>1</v>
          </cell>
          <cell r="M154">
            <v>2700000</v>
          </cell>
          <cell r="O154">
            <v>22689837.711636487</v>
          </cell>
          <cell r="Q154">
            <v>106468.395</v>
          </cell>
          <cell r="R154">
            <v>12475275.269614656</v>
          </cell>
          <cell r="T154">
            <v>8321</v>
          </cell>
          <cell r="U154">
            <v>2041428.9853525655</v>
          </cell>
          <cell r="V154">
            <v>1244259.6764233422</v>
          </cell>
          <cell r="X154">
            <v>9625</v>
          </cell>
          <cell r="Y154">
            <v>327655.22805553413</v>
          </cell>
          <cell r="AA154">
            <v>8501</v>
          </cell>
          <cell r="AB154">
            <v>375852.05447033129</v>
          </cell>
          <cell r="AD154">
            <v>2155</v>
          </cell>
          <cell r="AE154">
            <v>129951.67375277387</v>
          </cell>
          <cell r="AG154">
            <v>1896</v>
          </cell>
          <cell r="AH154">
            <v>122293.56095064737</v>
          </cell>
          <cell r="AJ154">
            <v>3423</v>
          </cell>
          <cell r="AK154">
            <v>241770.52907688025</v>
          </cell>
          <cell r="AM154">
            <v>489</v>
          </cell>
          <cell r="AN154">
            <v>46736.630117175482</v>
          </cell>
          <cell r="AP154">
            <v>502</v>
          </cell>
          <cell r="AQ154">
            <v>1549371.4093757118</v>
          </cell>
          <cell r="AS154">
            <v>3150</v>
          </cell>
          <cell r="AT154">
            <v>1605598.5907165201</v>
          </cell>
          <cell r="AV154">
            <v>1106</v>
          </cell>
          <cell r="AW154">
            <v>1948063.3753701516</v>
          </cell>
          <cell r="AY154">
            <v>1167</v>
          </cell>
          <cell r="AZ154">
            <v>1688251.3504618937</v>
          </cell>
          <cell r="BD154">
            <v>-888000</v>
          </cell>
          <cell r="BE154">
            <v>2126858.0000000005</v>
          </cell>
          <cell r="BR154">
            <v>1068112.7159017771</v>
          </cell>
          <cell r="BS154">
            <v>0</v>
          </cell>
        </row>
        <row r="155">
          <cell r="B155">
            <v>935</v>
          </cell>
          <cell r="F155">
            <v>63619622.238644078</v>
          </cell>
          <cell r="J155">
            <v>1.0000359327175439</v>
          </cell>
          <cell r="M155">
            <v>4832173.6268911725</v>
          </cell>
          <cell r="O155">
            <v>26558784.819752611</v>
          </cell>
          <cell r="Q155">
            <v>145361.39504227173</v>
          </cell>
          <cell r="R155">
            <v>17032504.497954901</v>
          </cell>
          <cell r="T155">
            <v>10992.894990397608</v>
          </cell>
          <cell r="U155">
            <v>2696937.2030206332</v>
          </cell>
          <cell r="V155">
            <v>1903029.1518874995</v>
          </cell>
          <cell r="X155">
            <v>11995.43101294694</v>
          </cell>
          <cell r="Y155">
            <v>408349.68147236953</v>
          </cell>
          <cell r="AA155">
            <v>7109.2554456890193</v>
          </cell>
          <cell r="AB155">
            <v>314319.28773280897</v>
          </cell>
          <cell r="AD155">
            <v>7904.2840121994668</v>
          </cell>
          <cell r="AE155">
            <v>476647.30264622351</v>
          </cell>
          <cell r="AG155">
            <v>4913.1765374412935</v>
          </cell>
          <cell r="AH155">
            <v>316903.93161543645</v>
          </cell>
          <cell r="AJ155">
            <v>4253.1528218477142</v>
          </cell>
          <cell r="AK155">
            <v>300405.20244900614</v>
          </cell>
          <cell r="AM155">
            <v>904.03248317665964</v>
          </cell>
          <cell r="AN155">
            <v>86403.745971654818</v>
          </cell>
          <cell r="AP155">
            <v>731.02626681652453</v>
          </cell>
          <cell r="AQ155">
            <v>2256237.4448370193</v>
          </cell>
          <cell r="AS155">
            <v>5080.1825382051229</v>
          </cell>
          <cell r="AT155">
            <v>2589439.340928514</v>
          </cell>
          <cell r="AV155">
            <v>1641.0589655894894</v>
          </cell>
          <cell r="AW155">
            <v>2890494.4554138426</v>
          </cell>
          <cell r="AY155">
            <v>1833.0658646712579</v>
          </cell>
          <cell r="AZ155">
            <v>2651821.6979578836</v>
          </cell>
          <cell r="BD155">
            <v>87000</v>
          </cell>
          <cell r="BE155">
            <v>121200</v>
          </cell>
          <cell r="BR155">
            <v>0</v>
          </cell>
          <cell r="BS155">
            <v>-1881036.9861254096</v>
          </cell>
        </row>
        <row r="156">
          <cell r="B156">
            <v>936</v>
          </cell>
          <cell r="F156">
            <v>126033061.75998043</v>
          </cell>
          <cell r="J156">
            <v>1.0744343550114952</v>
          </cell>
          <cell r="M156">
            <v>11593146.690574033</v>
          </cell>
          <cell r="O156">
            <v>64484116.711025029</v>
          </cell>
          <cell r="Q156">
            <v>270539.20224019152</v>
          </cell>
          <cell r="R156">
            <v>31700027.216230124</v>
          </cell>
          <cell r="T156">
            <v>11318.628712868602</v>
          </cell>
          <cell r="U156">
            <v>2776850.9468686171</v>
          </cell>
          <cell r="V156">
            <v>1301352.5421702813</v>
          </cell>
          <cell r="X156">
            <v>13260.668809551873</v>
          </cell>
          <cell r="Y156">
            <v>451421.03511300031</v>
          </cell>
          <cell r="AA156">
            <v>9921.3268341761468</v>
          </cell>
          <cell r="AB156">
            <v>438648.52060895576</v>
          </cell>
          <cell r="AD156">
            <v>4062.4362962984633</v>
          </cell>
          <cell r="AE156">
            <v>244974.66181809973</v>
          </cell>
          <cell r="AG156">
            <v>1739.5092207636108</v>
          </cell>
          <cell r="AH156">
            <v>112199.77685320028</v>
          </cell>
          <cell r="AJ156">
            <v>766.07169512319604</v>
          </cell>
          <cell r="AK156">
            <v>54108.547777025306</v>
          </cell>
          <cell r="AM156">
            <v>0</v>
          </cell>
          <cell r="AN156">
            <v>0</v>
          </cell>
          <cell r="AP156">
            <v>1037.9035869411043</v>
          </cell>
          <cell r="AQ156">
            <v>3203382.7555678203</v>
          </cell>
          <cell r="AS156">
            <v>7907.8368528846049</v>
          </cell>
          <cell r="AT156">
            <v>4030733.8751135501</v>
          </cell>
          <cell r="AV156">
            <v>1999.5223346763926</v>
          </cell>
          <cell r="AW156">
            <v>3521877.2408839958</v>
          </cell>
          <cell r="AY156">
            <v>2347.639065700117</v>
          </cell>
          <cell r="AZ156">
            <v>3396233.781546976</v>
          </cell>
          <cell r="BD156">
            <v>-615000</v>
          </cell>
          <cell r="BE156">
            <v>640340</v>
          </cell>
          <cell r="BR156">
            <v>17993280.857398748</v>
          </cell>
          <cell r="BS156">
            <v>0</v>
          </cell>
        </row>
        <row r="157">
          <cell r="B157">
            <v>937</v>
          </cell>
          <cell r="F157">
            <v>55688302.554823421</v>
          </cell>
          <cell r="J157">
            <v>1.0105351699887246</v>
          </cell>
          <cell r="M157">
            <v>6451256.5252080178</v>
          </cell>
          <cell r="O157">
            <v>26627878.731615312</v>
          </cell>
          <cell r="Q157">
            <v>109951.60658401827</v>
          </cell>
          <cell r="R157">
            <v>12883415.387937455</v>
          </cell>
          <cell r="T157">
            <v>7455.7284841768105</v>
          </cell>
          <cell r="U157">
            <v>1829147.9671334319</v>
          </cell>
          <cell r="V157">
            <v>1213273.9558214031</v>
          </cell>
          <cell r="X157">
            <v>12628.658019349092</v>
          </cell>
          <cell r="Y157">
            <v>429906.05957040802</v>
          </cell>
          <cell r="AA157">
            <v>5840.8932825348284</v>
          </cell>
          <cell r="AB157">
            <v>258241.58806995326</v>
          </cell>
          <cell r="AD157">
            <v>4361.4697936713355</v>
          </cell>
          <cell r="AE157">
            <v>263007.09963329718</v>
          </cell>
          <cell r="AG157">
            <v>0</v>
          </cell>
          <cell r="AH157">
            <v>0</v>
          </cell>
          <cell r="AJ157">
            <v>1614.8352016419819</v>
          </cell>
          <cell r="AK157">
            <v>114057.71576773374</v>
          </cell>
          <cell r="AM157">
            <v>1549.1504155927148</v>
          </cell>
          <cell r="AN157">
            <v>148061.492780011</v>
          </cell>
          <cell r="AP157">
            <v>460.80403751485841</v>
          </cell>
          <cell r="AQ157">
            <v>1422224.304881304</v>
          </cell>
          <cell r="AS157">
            <v>3668.2426670590703</v>
          </cell>
          <cell r="AT157">
            <v>1869754.0497257942</v>
          </cell>
          <cell r="AV157">
            <v>1049.9460416182849</v>
          </cell>
          <cell r="AW157">
            <v>1849332.215001307</v>
          </cell>
          <cell r="AY157">
            <v>1134.8309958973377</v>
          </cell>
          <cell r="AZ157">
            <v>1641713.7629560381</v>
          </cell>
          <cell r="BD157">
            <v>-204000</v>
          </cell>
          <cell r="BE157">
            <v>104305.65454335875</v>
          </cell>
          <cell r="BR157">
            <v>5009940.504475154</v>
          </cell>
          <cell r="BS157">
            <v>0</v>
          </cell>
        </row>
        <row r="158">
          <cell r="B158">
            <v>938</v>
          </cell>
          <cell r="F158">
            <v>75975512.150647491</v>
          </cell>
          <cell r="J158">
            <v>1.0111639788232589</v>
          </cell>
          <cell r="M158">
            <v>7688890.8949720608</v>
          </cell>
          <cell r="O158">
            <v>34641902.69192607</v>
          </cell>
          <cell r="Q158">
            <v>169552.59581260305</v>
          </cell>
          <cell r="R158">
            <v>19867072.340481289</v>
          </cell>
          <cell r="T158">
            <v>8410.8619758518744</v>
          </cell>
          <cell r="U158">
            <v>2063475.2348640505</v>
          </cell>
          <cell r="V158">
            <v>1465786.9546359698</v>
          </cell>
          <cell r="X158">
            <v>15331.268246918251</v>
          </cell>
          <cell r="Y158">
            <v>521908.59156618902</v>
          </cell>
          <cell r="AA158">
            <v>13007.613423582403</v>
          </cell>
          <cell r="AB158">
            <v>575101.54440763511</v>
          </cell>
          <cell r="AD158">
            <v>2757.4441702510271</v>
          </cell>
          <cell r="AE158">
            <v>166280.50357491869</v>
          </cell>
          <cell r="AG158">
            <v>1056.6663578703055</v>
          </cell>
          <cell r="AH158">
            <v>68155.850021471939</v>
          </cell>
          <cell r="AJ158">
            <v>1901.9994441665501</v>
          </cell>
          <cell r="AK158">
            <v>134340.46506575486</v>
          </cell>
          <cell r="AM158">
            <v>0</v>
          </cell>
          <cell r="AN158">
            <v>0</v>
          </cell>
          <cell r="AP158">
            <v>752.30600024450462</v>
          </cell>
          <cell r="AQ158">
            <v>2321915.1551407026</v>
          </cell>
          <cell r="AS158">
            <v>4924.3685768692712</v>
          </cell>
          <cell r="AT158">
            <v>2510018.8086317517</v>
          </cell>
          <cell r="AV158">
            <v>1652.241941397205</v>
          </cell>
          <cell r="AW158">
            <v>2910191.6937489794</v>
          </cell>
          <cell r="AY158">
            <v>2097.1540920794391</v>
          </cell>
          <cell r="AZ158">
            <v>3033867.3762466148</v>
          </cell>
          <cell r="BD158">
            <v>-1062000</v>
          </cell>
          <cell r="BE158">
            <v>534391</v>
          </cell>
          <cell r="BR158">
            <v>2477118.1170627773</v>
          </cell>
          <cell r="BS158">
            <v>0</v>
          </cell>
        </row>
      </sheetData>
      <sheetData sheetId="23"/>
      <sheetData sheetId="24">
        <row r="8">
          <cell r="B8">
            <v>9999</v>
          </cell>
          <cell r="C8" t="str">
            <v>ESFA</v>
          </cell>
          <cell r="J8">
            <v>1</v>
          </cell>
          <cell r="X8">
            <v>0</v>
          </cell>
          <cell r="AA8">
            <v>0</v>
          </cell>
          <cell r="AE8">
            <v>0</v>
          </cell>
          <cell r="AH8">
            <v>0</v>
          </cell>
          <cell r="AN8">
            <v>0</v>
          </cell>
          <cell r="AQ8">
            <v>0</v>
          </cell>
          <cell r="AT8">
            <v>0</v>
          </cell>
          <cell r="AW8">
            <v>0</v>
          </cell>
          <cell r="AZ8">
            <v>0</v>
          </cell>
          <cell r="BC8">
            <v>0</v>
          </cell>
          <cell r="BF8">
            <v>0</v>
          </cell>
          <cell r="BN8">
            <v>0</v>
          </cell>
        </row>
        <row r="9">
          <cell r="B9">
            <v>202</v>
          </cell>
          <cell r="C9" t="str">
            <v>Camden</v>
          </cell>
          <cell r="J9">
            <v>1.205632878027378</v>
          </cell>
          <cell r="X9">
            <v>56050.994943702251</v>
          </cell>
          <cell r="AA9">
            <v>6936.0059472915054</v>
          </cell>
          <cell r="AE9">
            <v>4869.5511943525798</v>
          </cell>
          <cell r="AH9">
            <v>5190.2495399078625</v>
          </cell>
          <cell r="AN9">
            <v>5984.7616065279044</v>
          </cell>
          <cell r="AQ9">
            <v>9933.2092820675662</v>
          </cell>
          <cell r="AT9">
            <v>3637.3943930085993</v>
          </cell>
          <cell r="AW9">
            <v>417.14897579747276</v>
          </cell>
          <cell r="AZ9">
            <v>1396.2252454497425</v>
          </cell>
          <cell r="BC9">
            <v>358.07296477413126</v>
          </cell>
          <cell r="BF9">
            <v>456.93486077237623</v>
          </cell>
          <cell r="BN9">
            <v>0</v>
          </cell>
        </row>
        <row r="10">
          <cell r="B10">
            <v>203</v>
          </cell>
          <cell r="C10" t="str">
            <v>Greenwich</v>
          </cell>
          <cell r="J10">
            <v>1.205632878027378</v>
          </cell>
          <cell r="X10">
            <v>77424.803033273347</v>
          </cell>
          <cell r="AA10">
            <v>8954.2353851093358</v>
          </cell>
          <cell r="AE10">
            <v>11379.96873570042</v>
          </cell>
          <cell r="AH10">
            <v>12514.469273924184</v>
          </cell>
          <cell r="AN10">
            <v>11340.182850725518</v>
          </cell>
          <cell r="AQ10">
            <v>6517.651338616005</v>
          </cell>
          <cell r="AT10">
            <v>0</v>
          </cell>
          <cell r="AW10">
            <v>572.67561706300455</v>
          </cell>
          <cell r="AZ10">
            <v>2588.7906010836423</v>
          </cell>
          <cell r="BC10">
            <v>648.6304883787293</v>
          </cell>
          <cell r="BF10">
            <v>799.33459813215154</v>
          </cell>
          <cell r="BN10">
            <v>0</v>
          </cell>
        </row>
        <row r="11">
          <cell r="B11">
            <v>204</v>
          </cell>
          <cell r="C11" t="str">
            <v>Hackney</v>
          </cell>
          <cell r="J11">
            <v>1.205632878027378</v>
          </cell>
          <cell r="X11">
            <v>71275.761890785448</v>
          </cell>
          <cell r="AA11">
            <v>12182.920232466655</v>
          </cell>
          <cell r="AE11">
            <v>7714.8447864971913</v>
          </cell>
          <cell r="AH11">
            <v>8289.9316693162509</v>
          </cell>
          <cell r="AN11">
            <v>13869.600628826956</v>
          </cell>
          <cell r="AQ11">
            <v>16699.220993557214</v>
          </cell>
          <cell r="AT11">
            <v>2309.9925943004559</v>
          </cell>
          <cell r="AW11">
            <v>618.48966642804487</v>
          </cell>
          <cell r="AZ11">
            <v>2356.7850181314457</v>
          </cell>
          <cell r="BC11">
            <v>637.77979247648295</v>
          </cell>
          <cell r="BF11">
            <v>694.44453774376973</v>
          </cell>
          <cell r="BN11">
            <v>0</v>
          </cell>
        </row>
        <row r="12">
          <cell r="B12">
            <v>205</v>
          </cell>
          <cell r="C12" t="str">
            <v>Hammersmith and Fulham</v>
          </cell>
          <cell r="J12">
            <v>1.205632878027378</v>
          </cell>
          <cell r="X12">
            <v>38672.992994752596</v>
          </cell>
          <cell r="AA12">
            <v>4611.5457584547203</v>
          </cell>
          <cell r="AE12">
            <v>2969.4737785814318</v>
          </cell>
          <cell r="AH12">
            <v>2719.9077728297648</v>
          </cell>
          <cell r="AN12">
            <v>4489.7768377739558</v>
          </cell>
          <cell r="AQ12">
            <v>5930.508127016672</v>
          </cell>
          <cell r="AT12">
            <v>2819.975301706037</v>
          </cell>
          <cell r="AW12">
            <v>267.65049892207793</v>
          </cell>
          <cell r="AZ12">
            <v>870.78626422548064</v>
          </cell>
          <cell r="BC12">
            <v>251.97727150772198</v>
          </cell>
          <cell r="BF12">
            <v>306.23075101895398</v>
          </cell>
          <cell r="BN12">
            <v>0</v>
          </cell>
        </row>
        <row r="13">
          <cell r="B13">
            <v>206</v>
          </cell>
          <cell r="C13" t="str">
            <v>Islington</v>
          </cell>
          <cell r="J13">
            <v>1.205632878027378</v>
          </cell>
          <cell r="X13">
            <v>47492.432595934071</v>
          </cell>
          <cell r="AA13">
            <v>7959.5882607367494</v>
          </cell>
          <cell r="AE13">
            <v>2422.1164519570025</v>
          </cell>
          <cell r="AH13">
            <v>4877.9906244987715</v>
          </cell>
          <cell r="AN13">
            <v>6917.9214541210949</v>
          </cell>
          <cell r="AQ13">
            <v>12169.658270808353</v>
          </cell>
          <cell r="AT13">
            <v>4964.7961917167422</v>
          </cell>
          <cell r="AW13">
            <v>412.32644428536327</v>
          </cell>
          <cell r="AZ13">
            <v>1668.3247075216955</v>
          </cell>
          <cell r="BC13">
            <v>443.67289911407511</v>
          </cell>
          <cell r="BF13">
            <v>391.83068535889782</v>
          </cell>
          <cell r="BN13">
            <v>0</v>
          </cell>
        </row>
        <row r="14">
          <cell r="B14">
            <v>207</v>
          </cell>
          <cell r="C14" t="str">
            <v>Kensington and Chelsea</v>
          </cell>
          <cell r="J14">
            <v>1.205632878027378</v>
          </cell>
          <cell r="X14">
            <v>31658.496730202864</v>
          </cell>
          <cell r="AA14">
            <v>2582.4656247346434</v>
          </cell>
          <cell r="AE14">
            <v>1691.5029278724112</v>
          </cell>
          <cell r="AH14">
            <v>1375.6271138292382</v>
          </cell>
          <cell r="AN14">
            <v>1427.4693275844154</v>
          </cell>
          <cell r="AQ14">
            <v>3729.0224917386799</v>
          </cell>
          <cell r="AT14">
            <v>1066.9850970542295</v>
          </cell>
          <cell r="AW14">
            <v>191.6956276063531</v>
          </cell>
          <cell r="AZ14">
            <v>524.93838421117584</v>
          </cell>
          <cell r="BC14">
            <v>120.56328780273779</v>
          </cell>
          <cell r="BF14">
            <v>115.74075629062828</v>
          </cell>
          <cell r="BN14">
            <v>0</v>
          </cell>
        </row>
        <row r="15">
          <cell r="B15">
            <v>208</v>
          </cell>
          <cell r="C15" t="str">
            <v>Lambeth</v>
          </cell>
          <cell r="J15">
            <v>1.205632878027378</v>
          </cell>
          <cell r="X15">
            <v>71278.775972980497</v>
          </cell>
          <cell r="AA15">
            <v>10496.239836106353</v>
          </cell>
          <cell r="AE15">
            <v>5350.5987126855034</v>
          </cell>
          <cell r="AH15">
            <v>10892.893052977361</v>
          </cell>
          <cell r="AN15">
            <v>12893.03799762478</v>
          </cell>
          <cell r="AQ15">
            <v>12596.452309630045</v>
          </cell>
          <cell r="AT15">
            <v>821.03598993664434</v>
          </cell>
          <cell r="AW15">
            <v>590.76011023341516</v>
          </cell>
          <cell r="AZ15">
            <v>2143.430003909983</v>
          </cell>
          <cell r="BC15">
            <v>624.51783081818178</v>
          </cell>
          <cell r="BF15">
            <v>704.08960076798871</v>
          </cell>
          <cell r="BN15">
            <v>0</v>
          </cell>
        </row>
        <row r="16">
          <cell r="B16">
            <v>209</v>
          </cell>
          <cell r="C16" t="str">
            <v>Lewisham</v>
          </cell>
          <cell r="J16">
            <v>1.205632878027378</v>
          </cell>
          <cell r="X16">
            <v>79786.020557295415</v>
          </cell>
          <cell r="AA16">
            <v>9295.4294895910843</v>
          </cell>
          <cell r="AE16">
            <v>11712.723410035976</v>
          </cell>
          <cell r="AH16">
            <v>15072.82224109828</v>
          </cell>
          <cell r="AN16">
            <v>11950.233087007371</v>
          </cell>
          <cell r="AQ16">
            <v>12613.331169922429</v>
          </cell>
          <cell r="AT16">
            <v>1179.1089547107756</v>
          </cell>
          <cell r="AW16">
            <v>532.88973208810103</v>
          </cell>
          <cell r="AZ16">
            <v>2995.5807310373489</v>
          </cell>
          <cell r="BC16">
            <v>752.31491588908386</v>
          </cell>
          <cell r="BF16">
            <v>966.91756817795715</v>
          </cell>
          <cell r="BN16">
            <v>0</v>
          </cell>
        </row>
        <row r="17">
          <cell r="B17">
            <v>210</v>
          </cell>
          <cell r="C17" t="str">
            <v>Southwark</v>
          </cell>
          <cell r="J17">
            <v>1.205632878027378</v>
          </cell>
          <cell r="X17">
            <v>71903.321533354872</v>
          </cell>
          <cell r="AA17">
            <v>10564.960910153914</v>
          </cell>
          <cell r="AE17">
            <v>3561.4395216928747</v>
          </cell>
          <cell r="AH17">
            <v>8289.9316693162509</v>
          </cell>
          <cell r="AN17">
            <v>18191.794496555107</v>
          </cell>
          <cell r="AQ17">
            <v>10992.960581853633</v>
          </cell>
          <cell r="AT17">
            <v>701.678335011934</v>
          </cell>
          <cell r="AW17">
            <v>525.65593481993676</v>
          </cell>
          <cell r="AZ17">
            <v>2395.5717365282899</v>
          </cell>
          <cell r="BC17">
            <v>664.3037157930853</v>
          </cell>
          <cell r="BF17">
            <v>710.11776515812562</v>
          </cell>
          <cell r="BN17">
            <v>0</v>
          </cell>
        </row>
        <row r="18">
          <cell r="B18">
            <v>211</v>
          </cell>
          <cell r="C18" t="str">
            <v>Tower Hamlets</v>
          </cell>
          <cell r="J18">
            <v>1.205632878027378</v>
          </cell>
          <cell r="X18">
            <v>81083.127213044514</v>
          </cell>
          <cell r="AA18">
            <v>17727.625838514567</v>
          </cell>
          <cell r="AE18">
            <v>1411.7961001700596</v>
          </cell>
          <cell r="AH18">
            <v>2084.5392461093365</v>
          </cell>
          <cell r="AN18">
            <v>15322.388246849947</v>
          </cell>
          <cell r="AQ18">
            <v>29773.103922886097</v>
          </cell>
          <cell r="AT18">
            <v>7896.8953510793253</v>
          </cell>
          <cell r="AW18">
            <v>786.07263647385048</v>
          </cell>
          <cell r="AZ18">
            <v>2677.3809983619494</v>
          </cell>
          <cell r="BC18">
            <v>659.48118428097575</v>
          </cell>
          <cell r="BF18">
            <v>596.78827462355207</v>
          </cell>
          <cell r="BN18">
            <v>0</v>
          </cell>
        </row>
        <row r="19">
          <cell r="B19">
            <v>212</v>
          </cell>
          <cell r="C19" t="str">
            <v>Wandsworth</v>
          </cell>
          <cell r="J19">
            <v>1.205632878027378</v>
          </cell>
          <cell r="X19">
            <v>69301.012397080791</v>
          </cell>
          <cell r="AA19">
            <v>6180.074132768339</v>
          </cell>
          <cell r="AE19">
            <v>9019.3395605228143</v>
          </cell>
          <cell r="AH19">
            <v>7828.1742770317651</v>
          </cell>
          <cell r="AN19">
            <v>3260.0313021860302</v>
          </cell>
          <cell r="AQ19">
            <v>9227.9140484215513</v>
          </cell>
          <cell r="AT19">
            <v>671.53751306124957</v>
          </cell>
          <cell r="AW19">
            <v>423.17714018760967</v>
          </cell>
          <cell r="AZ19">
            <v>2012.3486310872729</v>
          </cell>
          <cell r="BC19">
            <v>432.82220321182871</v>
          </cell>
          <cell r="BF19">
            <v>517.21650467374513</v>
          </cell>
          <cell r="BN19">
            <v>0</v>
          </cell>
        </row>
        <row r="20">
          <cell r="B20">
            <v>213</v>
          </cell>
          <cell r="C20" t="str">
            <v>Westminster</v>
          </cell>
          <cell r="J20">
            <v>1.205632878027378</v>
          </cell>
          <cell r="X20">
            <v>52196.039275322095</v>
          </cell>
          <cell r="AA20">
            <v>5381.9451675142154</v>
          </cell>
          <cell r="AE20">
            <v>2723.524671463847</v>
          </cell>
          <cell r="AH20">
            <v>3308.256617307125</v>
          </cell>
          <cell r="AN20">
            <v>4035.2532427576339</v>
          </cell>
          <cell r="AQ20">
            <v>10650.560844493857</v>
          </cell>
          <cell r="AT20">
            <v>4648.9203776735694</v>
          </cell>
          <cell r="AW20">
            <v>379.77435657862407</v>
          </cell>
          <cell r="AZ20">
            <v>1086.5553410672662</v>
          </cell>
          <cell r="BC20">
            <v>295.38005511670758</v>
          </cell>
          <cell r="BF20">
            <v>268.85613180010529</v>
          </cell>
          <cell r="BN20">
            <v>0</v>
          </cell>
        </row>
        <row r="21">
          <cell r="B21">
            <v>301</v>
          </cell>
          <cell r="C21" t="str">
            <v>Barking and Dagenham</v>
          </cell>
          <cell r="J21">
            <v>1.1243577599840504</v>
          </cell>
          <cell r="X21">
            <v>69984.807750602748</v>
          </cell>
          <cell r="AA21">
            <v>8361.8486610013824</v>
          </cell>
          <cell r="AE21">
            <v>3971.2316082636662</v>
          </cell>
          <cell r="AH21">
            <v>17256.642900235205</v>
          </cell>
          <cell r="AN21">
            <v>13938.663150522272</v>
          </cell>
          <cell r="AQ21">
            <v>7903.1106949278901</v>
          </cell>
          <cell r="AT21">
            <v>0</v>
          </cell>
          <cell r="AW21">
            <v>469.98154367333308</v>
          </cell>
          <cell r="AZ21">
            <v>2152.1990876608293</v>
          </cell>
          <cell r="BC21">
            <v>767.93635006910642</v>
          </cell>
          <cell r="BF21">
            <v>734.20561726958488</v>
          </cell>
          <cell r="BN21">
            <v>0</v>
          </cell>
        </row>
        <row r="22">
          <cell r="B22">
            <v>302</v>
          </cell>
          <cell r="C22" t="str">
            <v>Barnet</v>
          </cell>
          <cell r="J22">
            <v>1.1116135618035334</v>
          </cell>
          <cell r="X22">
            <v>100551.46271772606</v>
          </cell>
          <cell r="AA22">
            <v>7522.288972724511</v>
          </cell>
          <cell r="AE22">
            <v>8282.6326489981275</v>
          </cell>
          <cell r="AH22">
            <v>7752.3929800178421</v>
          </cell>
          <cell r="AN22">
            <v>5117.868838543468</v>
          </cell>
          <cell r="AQ22">
            <v>3542.7124214678611</v>
          </cell>
          <cell r="AT22">
            <v>0</v>
          </cell>
          <cell r="AW22">
            <v>568.03453008160557</v>
          </cell>
          <cell r="AZ22">
            <v>2230.9650730202188</v>
          </cell>
          <cell r="BC22">
            <v>663.63329639670951</v>
          </cell>
          <cell r="BF22">
            <v>818.14758148740066</v>
          </cell>
          <cell r="BN22">
            <v>0</v>
          </cell>
        </row>
        <row r="23">
          <cell r="B23">
            <v>303</v>
          </cell>
          <cell r="C23" t="str">
            <v>Bexley</v>
          </cell>
          <cell r="J23">
            <v>1.0870826162281</v>
          </cell>
          <cell r="X23">
            <v>62259.986969558966</v>
          </cell>
          <cell r="AA23">
            <v>4653.8006800724961</v>
          </cell>
          <cell r="AE23">
            <v>6695.341833348868</v>
          </cell>
          <cell r="AH23">
            <v>7275.8439504146736</v>
          </cell>
          <cell r="AN23">
            <v>4546.1795010659143</v>
          </cell>
          <cell r="AQ23">
            <v>966.41644582678089</v>
          </cell>
          <cell r="AT23">
            <v>0</v>
          </cell>
          <cell r="AW23">
            <v>334.82144579825479</v>
          </cell>
          <cell r="AZ23">
            <v>2057.9596792322914</v>
          </cell>
          <cell r="BC23">
            <v>483.75176422150452</v>
          </cell>
          <cell r="BF23">
            <v>697.90703961844019</v>
          </cell>
          <cell r="BN23">
            <v>0</v>
          </cell>
        </row>
        <row r="24">
          <cell r="B24">
            <v>304</v>
          </cell>
          <cell r="C24" t="str">
            <v>Brent</v>
          </cell>
          <cell r="J24">
            <v>1.1488887055594839</v>
          </cell>
          <cell r="X24">
            <v>84016.496215619656</v>
          </cell>
          <cell r="AA24">
            <v>7725.1276561819695</v>
          </cell>
          <cell r="AE24">
            <v>12726.240191482402</v>
          </cell>
          <cell r="AH24">
            <v>7391.9499315697194</v>
          </cell>
          <cell r="AN24">
            <v>12054.140298730104</v>
          </cell>
          <cell r="AQ24">
            <v>9042.903001458697</v>
          </cell>
          <cell r="AT24">
            <v>1372.9220031435832</v>
          </cell>
          <cell r="AW24">
            <v>641.07989770219194</v>
          </cell>
          <cell r="AZ24">
            <v>2201.425841194678</v>
          </cell>
          <cell r="BC24">
            <v>880.04874845856466</v>
          </cell>
          <cell r="BF24">
            <v>924.85540797538454</v>
          </cell>
          <cell r="BN24">
            <v>0</v>
          </cell>
        </row>
        <row r="25">
          <cell r="B25">
            <v>305</v>
          </cell>
          <cell r="C25" t="str">
            <v>Bromley</v>
          </cell>
          <cell r="J25">
            <v>1.0870826162281</v>
          </cell>
          <cell r="X25">
            <v>79244.533153028315</v>
          </cell>
          <cell r="AA25">
            <v>4534.2215922874047</v>
          </cell>
          <cell r="AE25">
            <v>2477.4612823838397</v>
          </cell>
          <cell r="AH25">
            <v>5174.5132532457555</v>
          </cell>
          <cell r="AN25">
            <v>3162.3233306075426</v>
          </cell>
          <cell r="AQ25">
            <v>6445.3128316164048</v>
          </cell>
          <cell r="AT25">
            <v>708.77786578072119</v>
          </cell>
          <cell r="AW25">
            <v>311.99271085746471</v>
          </cell>
          <cell r="AZ25">
            <v>2438.0399157791353</v>
          </cell>
          <cell r="BC25">
            <v>570.7183735197525</v>
          </cell>
          <cell r="BF25">
            <v>614.20167816887647</v>
          </cell>
          <cell r="BN25">
            <v>0</v>
          </cell>
        </row>
        <row r="26">
          <cell r="B26">
            <v>306</v>
          </cell>
          <cell r="C26" t="str">
            <v>Croydon</v>
          </cell>
          <cell r="J26">
            <v>1.0870826162281</v>
          </cell>
          <cell r="X26">
            <v>101378.00049079217</v>
          </cell>
          <cell r="AA26">
            <v>11638.306489338038</v>
          </cell>
          <cell r="AE26">
            <v>14014.669088412666</v>
          </cell>
          <cell r="AH26">
            <v>18159.71510409041</v>
          </cell>
          <cell r="AN26">
            <v>11131.725990175744</v>
          </cell>
          <cell r="AQ26">
            <v>3683.0359037808025</v>
          </cell>
          <cell r="AT26">
            <v>442.44262480483667</v>
          </cell>
          <cell r="AW26">
            <v>640.29166095835092</v>
          </cell>
          <cell r="AZ26">
            <v>3091.5341010660809</v>
          </cell>
          <cell r="BC26">
            <v>996.85475908116769</v>
          </cell>
          <cell r="BF26">
            <v>1153.3946558180141</v>
          </cell>
          <cell r="BN26">
            <v>0</v>
          </cell>
        </row>
        <row r="27">
          <cell r="B27">
            <v>307</v>
          </cell>
          <cell r="C27" t="str">
            <v>Ealing</v>
          </cell>
          <cell r="J27">
            <v>1.1488887055594839</v>
          </cell>
          <cell r="X27">
            <v>89859.422483257629</v>
          </cell>
          <cell r="AA27">
            <v>8728.1074961353988</v>
          </cell>
          <cell r="AE27">
            <v>15069.973150823749</v>
          </cell>
          <cell r="AH27">
            <v>12004.738084391047</v>
          </cell>
          <cell r="AN27">
            <v>6810.6122465566204</v>
          </cell>
          <cell r="AQ27">
            <v>5703.0835343972776</v>
          </cell>
          <cell r="AT27">
            <v>962.76873525884753</v>
          </cell>
          <cell r="AW27">
            <v>558.35991090190919</v>
          </cell>
          <cell r="AZ27">
            <v>2097.2862085041256</v>
          </cell>
          <cell r="BC27">
            <v>846.73097599733956</v>
          </cell>
          <cell r="BF27">
            <v>840.98653246954223</v>
          </cell>
          <cell r="BN27">
            <v>0</v>
          </cell>
        </row>
        <row r="28">
          <cell r="B28">
            <v>308</v>
          </cell>
          <cell r="C28" t="str">
            <v>Enfield</v>
          </cell>
          <cell r="J28">
            <v>1.0870826162281</v>
          </cell>
          <cell r="X28">
            <v>90072.577178947642</v>
          </cell>
          <cell r="AA28">
            <v>10108.781248305102</v>
          </cell>
          <cell r="AE28">
            <v>6810.5725906690468</v>
          </cell>
          <cell r="AH28">
            <v>8091.1559125857484</v>
          </cell>
          <cell r="AN28">
            <v>16517.133270969753</v>
          </cell>
          <cell r="AQ28">
            <v>23227.694260945813</v>
          </cell>
          <cell r="AT28">
            <v>1215.3583649430159</v>
          </cell>
          <cell r="AW28">
            <v>625.07250433115746</v>
          </cell>
          <cell r="AZ28">
            <v>2166.0328357204448</v>
          </cell>
          <cell r="BC28">
            <v>1008.8126678596768</v>
          </cell>
          <cell r="BF28">
            <v>1063.1667986710818</v>
          </cell>
          <cell r="BN28">
            <v>0</v>
          </cell>
        </row>
        <row r="29">
          <cell r="B29">
            <v>309</v>
          </cell>
          <cell r="C29" t="str">
            <v>Haringey</v>
          </cell>
          <cell r="J29">
            <v>1.1243577599840504</v>
          </cell>
          <cell r="X29">
            <v>63031.051903390675</v>
          </cell>
          <cell r="AA29">
            <v>7962.7016562070448</v>
          </cell>
          <cell r="AE29">
            <v>3772.2202847464891</v>
          </cell>
          <cell r="AH29">
            <v>5027.0035448886892</v>
          </cell>
          <cell r="AN29">
            <v>12924.49245101666</v>
          </cell>
          <cell r="AQ29">
            <v>11560.646488156006</v>
          </cell>
          <cell r="AT29">
            <v>2083.4349292504453</v>
          </cell>
          <cell r="AW29">
            <v>557.681448952089</v>
          </cell>
          <cell r="AZ29">
            <v>1797.1946976597176</v>
          </cell>
          <cell r="BC29">
            <v>734.20561726958488</v>
          </cell>
          <cell r="BF29">
            <v>836.52217342813356</v>
          </cell>
          <cell r="BN29">
            <v>0</v>
          </cell>
        </row>
        <row r="30">
          <cell r="B30">
            <v>310</v>
          </cell>
          <cell r="C30" t="str">
            <v>Harrow</v>
          </cell>
          <cell r="J30">
            <v>1.1116135618035334</v>
          </cell>
          <cell r="X30">
            <v>63661.746298467209</v>
          </cell>
          <cell r="AA30">
            <v>3847.2945374020292</v>
          </cell>
          <cell r="AE30">
            <v>6132.7720204700936</v>
          </cell>
          <cell r="AH30">
            <v>7649.0129187701132</v>
          </cell>
          <cell r="AN30">
            <v>1347.2756369058825</v>
          </cell>
          <cell r="AQ30">
            <v>1168.3058534555137</v>
          </cell>
          <cell r="AT30">
            <v>0</v>
          </cell>
          <cell r="AW30">
            <v>366.83247539516606</v>
          </cell>
          <cell r="AZ30">
            <v>1470.3749460239949</v>
          </cell>
          <cell r="BC30">
            <v>534.68612322749959</v>
          </cell>
          <cell r="BF30">
            <v>487.99835363175117</v>
          </cell>
          <cell r="BN30">
            <v>0</v>
          </cell>
        </row>
        <row r="31">
          <cell r="B31">
            <v>311</v>
          </cell>
          <cell r="C31" t="str">
            <v>Havering</v>
          </cell>
          <cell r="J31">
            <v>1.0870826162281</v>
          </cell>
          <cell r="X31">
            <v>60884.275222061362</v>
          </cell>
          <cell r="AA31">
            <v>4926.6584167457495</v>
          </cell>
          <cell r="AE31">
            <v>8349.8815752480368</v>
          </cell>
          <cell r="AH31">
            <v>6226.8092257545568</v>
          </cell>
          <cell r="AN31">
            <v>4263.5380208466086</v>
          </cell>
          <cell r="AQ31">
            <v>2991.6513598597312</v>
          </cell>
          <cell r="AT31">
            <v>0</v>
          </cell>
          <cell r="AW31">
            <v>297.8606368464994</v>
          </cell>
          <cell r="AZ31">
            <v>1721.2296354319774</v>
          </cell>
          <cell r="BC31">
            <v>459.8359466644863</v>
          </cell>
          <cell r="BF31">
            <v>642.46582619080709</v>
          </cell>
          <cell r="BN31">
            <v>0</v>
          </cell>
        </row>
        <row r="32">
          <cell r="B32">
            <v>312</v>
          </cell>
          <cell r="C32" t="str">
            <v>Hillingdon</v>
          </cell>
          <cell r="J32">
            <v>1.1116135618035334</v>
          </cell>
          <cell r="X32">
            <v>80149.416523395339</v>
          </cell>
          <cell r="AA32">
            <v>7073.1970937558835</v>
          </cell>
          <cell r="AE32">
            <v>14046.348966949448</v>
          </cell>
          <cell r="AH32">
            <v>12565.679702627142</v>
          </cell>
          <cell r="AN32">
            <v>4411.9942267982242</v>
          </cell>
          <cell r="AQ32">
            <v>921.52764273512923</v>
          </cell>
          <cell r="AT32">
            <v>0</v>
          </cell>
          <cell r="AW32">
            <v>446.86865184502045</v>
          </cell>
          <cell r="AZ32">
            <v>2653.8563642781555</v>
          </cell>
          <cell r="BC32">
            <v>674.7494320147448</v>
          </cell>
          <cell r="BF32">
            <v>833.71017135265004</v>
          </cell>
          <cell r="BN32">
            <v>0</v>
          </cell>
        </row>
        <row r="33">
          <cell r="B33">
            <v>313</v>
          </cell>
          <cell r="C33" t="str">
            <v>Hounslow</v>
          </cell>
          <cell r="J33">
            <v>1.1116135618035334</v>
          </cell>
          <cell r="X33">
            <v>68870.61960447485</v>
          </cell>
          <cell r="AA33">
            <v>6609.6542384838094</v>
          </cell>
          <cell r="AE33">
            <v>13691.74424073412</v>
          </cell>
          <cell r="AH33">
            <v>7841.3220649621253</v>
          </cell>
          <cell r="AN33">
            <v>2584.5015311932152</v>
          </cell>
          <cell r="AQ33">
            <v>3556.0517842095032</v>
          </cell>
          <cell r="AT33">
            <v>0</v>
          </cell>
          <cell r="AW33">
            <v>416.85508567632502</v>
          </cell>
          <cell r="AZ33">
            <v>1893.6690102541688</v>
          </cell>
          <cell r="BC33">
            <v>626.95004885719288</v>
          </cell>
          <cell r="BF33">
            <v>562.47646227258792</v>
          </cell>
          <cell r="BN33">
            <v>0</v>
          </cell>
        </row>
        <row r="34">
          <cell r="B34">
            <v>314</v>
          </cell>
          <cell r="C34" t="str">
            <v>Kingston upon Thames</v>
          </cell>
          <cell r="J34">
            <v>1.1116135618035334</v>
          </cell>
          <cell r="X34">
            <v>43570.467237928511</v>
          </cell>
          <cell r="AA34">
            <v>2012.0205468643956</v>
          </cell>
          <cell r="AE34">
            <v>3186.9960816907305</v>
          </cell>
          <cell r="AH34">
            <v>1382.8472708835957</v>
          </cell>
          <cell r="AN34">
            <v>467.98930951928759</v>
          </cell>
          <cell r="AQ34">
            <v>0</v>
          </cell>
          <cell r="AT34">
            <v>0</v>
          </cell>
          <cell r="AW34">
            <v>164.51880714692294</v>
          </cell>
          <cell r="AZ34">
            <v>1117.229695894468</v>
          </cell>
          <cell r="BC34">
            <v>275.68016332727632</v>
          </cell>
          <cell r="BF34">
            <v>309.02857018138229</v>
          </cell>
          <cell r="BN34">
            <v>0</v>
          </cell>
        </row>
        <row r="35">
          <cell r="B35">
            <v>315</v>
          </cell>
          <cell r="C35" t="str">
            <v>Merton</v>
          </cell>
          <cell r="J35">
            <v>1.1488887055594839</v>
          </cell>
          <cell r="X35">
            <v>52087.627948321257</v>
          </cell>
          <cell r="AA35">
            <v>4396.7970761761444</v>
          </cell>
          <cell r="AE35">
            <v>5302.1213761570179</v>
          </cell>
          <cell r="AH35">
            <v>5606.5768831302812</v>
          </cell>
          <cell r="AN35">
            <v>2676.9106839535975</v>
          </cell>
          <cell r="AQ35">
            <v>912.21763221423021</v>
          </cell>
          <cell r="AT35">
            <v>505.51103044617292</v>
          </cell>
          <cell r="AW35">
            <v>255.05329263420541</v>
          </cell>
          <cell r="AZ35">
            <v>1269.9625902635155</v>
          </cell>
          <cell r="BC35">
            <v>345.81550037340463</v>
          </cell>
          <cell r="BF35">
            <v>483.68214504054271</v>
          </cell>
          <cell r="BN35">
            <v>0</v>
          </cell>
        </row>
        <row r="36">
          <cell r="B36">
            <v>316</v>
          </cell>
          <cell r="C36" t="str">
            <v>Newham</v>
          </cell>
          <cell r="J36">
            <v>1.1243577599840504</v>
          </cell>
          <cell r="X36">
            <v>90224.060340976139</v>
          </cell>
          <cell r="AA36">
            <v>12451.137834063375</v>
          </cell>
          <cell r="AE36">
            <v>23148.27756255163</v>
          </cell>
          <cell r="AH36">
            <v>22714.275467197785</v>
          </cell>
          <cell r="AN36">
            <v>9424.3667441863108</v>
          </cell>
          <cell r="AQ36">
            <v>7771.5608370097561</v>
          </cell>
          <cell r="AT36">
            <v>0</v>
          </cell>
          <cell r="AW36">
            <v>796.04529406870768</v>
          </cell>
          <cell r="AZ36">
            <v>2417.70995443526</v>
          </cell>
          <cell r="BC36">
            <v>983.81303998604415</v>
          </cell>
          <cell r="BF36">
            <v>883.74519934746365</v>
          </cell>
          <cell r="BN36">
            <v>0</v>
          </cell>
        </row>
        <row r="37">
          <cell r="B37">
            <v>317</v>
          </cell>
          <cell r="C37" t="str">
            <v>Redbridge</v>
          </cell>
          <cell r="J37">
            <v>1.0870826162281</v>
          </cell>
          <cell r="X37">
            <v>83227.866932881225</v>
          </cell>
          <cell r="AA37">
            <v>7707.4157490572288</v>
          </cell>
          <cell r="AE37">
            <v>11988.347091763486</v>
          </cell>
          <cell r="AH37">
            <v>12805.833219167018</v>
          </cell>
          <cell r="AN37">
            <v>4371.1591998531903</v>
          </cell>
          <cell r="AQ37">
            <v>434.83304649124</v>
          </cell>
          <cell r="AT37">
            <v>0</v>
          </cell>
          <cell r="AW37">
            <v>409.83014631799369</v>
          </cell>
          <cell r="AZ37">
            <v>1619.1696665763118</v>
          </cell>
          <cell r="BC37">
            <v>677.25246991010624</v>
          </cell>
          <cell r="BF37">
            <v>712.03911362940551</v>
          </cell>
          <cell r="BN37">
            <v>0</v>
          </cell>
        </row>
        <row r="38">
          <cell r="B38">
            <v>318</v>
          </cell>
          <cell r="C38" t="str">
            <v>Richmond upon Thames</v>
          </cell>
          <cell r="J38">
            <v>1.1116135618035334</v>
          </cell>
          <cell r="X38">
            <v>49929.891705582537</v>
          </cell>
          <cell r="AA38">
            <v>1817.4881735487772</v>
          </cell>
          <cell r="AE38">
            <v>1727.4474750426909</v>
          </cell>
          <cell r="AH38">
            <v>1820.8230142341877</v>
          </cell>
          <cell r="AN38">
            <v>337.93052278827417</v>
          </cell>
          <cell r="AQ38">
            <v>0</v>
          </cell>
          <cell r="AT38">
            <v>0</v>
          </cell>
          <cell r="AW38">
            <v>153.40267152888762</v>
          </cell>
          <cell r="AZ38">
            <v>943.72791411296726</v>
          </cell>
          <cell r="BC38">
            <v>196.75560043922542</v>
          </cell>
          <cell r="BF38">
            <v>280.12661757449041</v>
          </cell>
          <cell r="BN38">
            <v>0</v>
          </cell>
        </row>
        <row r="39">
          <cell r="B39">
            <v>319</v>
          </cell>
          <cell r="C39" t="str">
            <v>Sutton</v>
          </cell>
          <cell r="J39">
            <v>1.1116135618035334</v>
          </cell>
          <cell r="X39">
            <v>52104.485735860697</v>
          </cell>
          <cell r="AA39">
            <v>4102.9656566168424</v>
          </cell>
          <cell r="AE39">
            <v>2592.2828261258401</v>
          </cell>
          <cell r="AH39">
            <v>5914.8957623566012</v>
          </cell>
          <cell r="AN39">
            <v>1246.1188027817609</v>
          </cell>
          <cell r="AQ39">
            <v>1905.3056449312562</v>
          </cell>
          <cell r="AT39">
            <v>0</v>
          </cell>
          <cell r="AW39">
            <v>202.31366824824309</v>
          </cell>
          <cell r="AZ39">
            <v>1575.263720531995</v>
          </cell>
          <cell r="BC39">
            <v>286.79629894531161</v>
          </cell>
          <cell r="BF39">
            <v>431.30606197977096</v>
          </cell>
          <cell r="BN39">
            <v>0</v>
          </cell>
        </row>
        <row r="40">
          <cell r="B40">
            <v>320</v>
          </cell>
          <cell r="C40" t="str">
            <v>Waltham Forest</v>
          </cell>
          <cell r="J40">
            <v>1.0870826162281</v>
          </cell>
          <cell r="X40">
            <v>68707.450050590269</v>
          </cell>
          <cell r="AA40">
            <v>7002.9862137414202</v>
          </cell>
          <cell r="AE40">
            <v>15701.821308798677</v>
          </cell>
          <cell r="AH40">
            <v>11228.476343020046</v>
          </cell>
          <cell r="AN40">
            <v>4727.7222979760072</v>
          </cell>
          <cell r="AQ40">
            <v>4492.9124528707371</v>
          </cell>
          <cell r="AT40">
            <v>1218.6196127917001</v>
          </cell>
          <cell r="AW40">
            <v>563.10879520615583</v>
          </cell>
          <cell r="AZ40">
            <v>1739.8927791119593</v>
          </cell>
          <cell r="BC40">
            <v>795.74447507896923</v>
          </cell>
          <cell r="BF40">
            <v>559.84754735747151</v>
          </cell>
          <cell r="BN40">
            <v>0</v>
          </cell>
        </row>
        <row r="41">
          <cell r="B41">
            <v>330</v>
          </cell>
          <cell r="C41" t="str">
            <v>Birmingham</v>
          </cell>
          <cell r="J41">
            <v>1.0050794999200126</v>
          </cell>
          <cell r="X41">
            <v>276967.08327640855</v>
          </cell>
          <cell r="AA41">
            <v>50659.022034468391</v>
          </cell>
          <cell r="AE41">
            <v>24145.024826578461</v>
          </cell>
          <cell r="AH41">
            <v>28463.851437734756</v>
          </cell>
          <cell r="AN41">
            <v>37802.045071491593</v>
          </cell>
          <cell r="AQ41">
            <v>53389.823035751069</v>
          </cell>
          <cell r="AT41">
            <v>13872.107257896014</v>
          </cell>
          <cell r="AW41">
            <v>2465.4600133037907</v>
          </cell>
          <cell r="AZ41">
            <v>11262.851490552339</v>
          </cell>
          <cell r="BC41">
            <v>3748.9465347016467</v>
          </cell>
          <cell r="BF41">
            <v>3516.773170220124</v>
          </cell>
          <cell r="BN41">
            <v>0</v>
          </cell>
        </row>
        <row r="42">
          <cell r="B42">
            <v>331</v>
          </cell>
          <cell r="C42" t="str">
            <v>Coventry</v>
          </cell>
          <cell r="J42">
            <v>1.0050794999200126</v>
          </cell>
          <cell r="X42">
            <v>76994.10102025955</v>
          </cell>
          <cell r="AA42">
            <v>8683.8868793089077</v>
          </cell>
          <cell r="AE42">
            <v>7900.9299488712186</v>
          </cell>
          <cell r="AH42">
            <v>5247.5200690823858</v>
          </cell>
          <cell r="AN42">
            <v>7529.0505339008141</v>
          </cell>
          <cell r="AQ42">
            <v>5973.1874680246347</v>
          </cell>
          <cell r="AT42">
            <v>5567.1353500569494</v>
          </cell>
          <cell r="AW42">
            <v>499.52451146024623</v>
          </cell>
          <cell r="AZ42">
            <v>3017.4786180363449</v>
          </cell>
          <cell r="BC42">
            <v>1046.287759416733</v>
          </cell>
          <cell r="BF42">
            <v>970.90679692273216</v>
          </cell>
          <cell r="BN42">
            <v>0</v>
          </cell>
        </row>
        <row r="43">
          <cell r="B43">
            <v>332</v>
          </cell>
          <cell r="C43" t="str">
            <v>Dudley</v>
          </cell>
          <cell r="J43">
            <v>1.0050794999200126</v>
          </cell>
          <cell r="X43">
            <v>65776.377564187802</v>
          </cell>
          <cell r="AA43">
            <v>7039.5768174397681</v>
          </cell>
          <cell r="AE43">
            <v>7581.314667896655</v>
          </cell>
          <cell r="AH43">
            <v>11590.576793077586</v>
          </cell>
          <cell r="AN43">
            <v>5653.5721870500702</v>
          </cell>
          <cell r="AQ43">
            <v>5261.5911820812653</v>
          </cell>
          <cell r="AT43">
            <v>1346.8065298928168</v>
          </cell>
          <cell r="AW43">
            <v>393.99116396864491</v>
          </cell>
          <cell r="AZ43">
            <v>2434.991075727421</v>
          </cell>
          <cell r="BC43">
            <v>882.45980092977106</v>
          </cell>
          <cell r="BF43">
            <v>852.30741593217067</v>
          </cell>
          <cell r="BN43">
            <v>0</v>
          </cell>
        </row>
        <row r="44">
          <cell r="B44">
            <v>333</v>
          </cell>
          <cell r="C44" t="str">
            <v>Sandwell</v>
          </cell>
          <cell r="J44">
            <v>1.0050794999200126</v>
          </cell>
          <cell r="X44">
            <v>77711.267456791509</v>
          </cell>
          <cell r="AA44">
            <v>12427.808016510955</v>
          </cell>
          <cell r="AE44">
            <v>8320.0481003378645</v>
          </cell>
          <cell r="AH44">
            <v>11649.876483572865</v>
          </cell>
          <cell r="AN44">
            <v>10125.170882194207</v>
          </cell>
          <cell r="AQ44">
            <v>13002.713490465203</v>
          </cell>
          <cell r="AT44">
            <v>2183.0326738262675</v>
          </cell>
          <cell r="AW44">
            <v>545.75816845656686</v>
          </cell>
          <cell r="AZ44">
            <v>2349.0858945632885</v>
          </cell>
          <cell r="BC44">
            <v>973.92203542249217</v>
          </cell>
          <cell r="BF44">
            <v>1178.9582534061747</v>
          </cell>
          <cell r="BN44">
            <v>0</v>
          </cell>
        </row>
        <row r="45">
          <cell r="B45">
            <v>334</v>
          </cell>
          <cell r="C45" t="str">
            <v>Solihull</v>
          </cell>
          <cell r="J45">
            <v>1.0050794999200126</v>
          </cell>
          <cell r="X45">
            <v>45562.365403403492</v>
          </cell>
          <cell r="AA45">
            <v>4159.0189706690117</v>
          </cell>
          <cell r="AE45">
            <v>1530.7360783781792</v>
          </cell>
          <cell r="AH45">
            <v>1825.2243718547427</v>
          </cell>
          <cell r="AN45">
            <v>1604.10688187234</v>
          </cell>
          <cell r="AQ45">
            <v>4582.1574401353373</v>
          </cell>
          <cell r="AT45">
            <v>1248.3087389006555</v>
          </cell>
          <cell r="AW45">
            <v>220.11241048248274</v>
          </cell>
          <cell r="AZ45">
            <v>2004.2531368980931</v>
          </cell>
          <cell r="BC45">
            <v>375.8997329700847</v>
          </cell>
          <cell r="BF45">
            <v>542.74292995680673</v>
          </cell>
          <cell r="BN45">
            <v>0</v>
          </cell>
        </row>
        <row r="46">
          <cell r="B46">
            <v>335</v>
          </cell>
          <cell r="C46" t="str">
            <v>Walsall</v>
          </cell>
          <cell r="J46">
            <v>1.0050794999200126</v>
          </cell>
          <cell r="X46">
            <v>63498.979986273043</v>
          </cell>
          <cell r="AA46">
            <v>10337.242656677328</v>
          </cell>
          <cell r="AE46">
            <v>5464.6172410651079</v>
          </cell>
          <cell r="AH46">
            <v>5286.718169579266</v>
          </cell>
          <cell r="AN46">
            <v>7959.2245598665795</v>
          </cell>
          <cell r="AQ46">
            <v>11025.722114122538</v>
          </cell>
          <cell r="AT46">
            <v>3656.4792207090059</v>
          </cell>
          <cell r="AW46">
            <v>441.22990046488553</v>
          </cell>
          <cell r="AZ46">
            <v>2265.0176525256184</v>
          </cell>
          <cell r="BC46">
            <v>828.18550793409031</v>
          </cell>
          <cell r="BF46">
            <v>1222.1766719027353</v>
          </cell>
          <cell r="BN46">
            <v>0</v>
          </cell>
        </row>
        <row r="47">
          <cell r="B47">
            <v>336</v>
          </cell>
          <cell r="C47" t="str">
            <v>Wolverhampton</v>
          </cell>
          <cell r="J47">
            <v>1.0050794999200126</v>
          </cell>
          <cell r="X47">
            <v>56826.202912011089</v>
          </cell>
          <cell r="AA47">
            <v>8955.258344287311</v>
          </cell>
          <cell r="AE47">
            <v>5553.064237058069</v>
          </cell>
          <cell r="AH47">
            <v>3173.0359812474794</v>
          </cell>
          <cell r="AN47">
            <v>9287.9396587608353</v>
          </cell>
          <cell r="AQ47">
            <v>11141.306256613339</v>
          </cell>
          <cell r="AT47">
            <v>4489.6901261426965</v>
          </cell>
          <cell r="AW47">
            <v>393.99116396864491</v>
          </cell>
          <cell r="AZ47">
            <v>1924.7844950540093</v>
          </cell>
          <cell r="BC47">
            <v>769.89089693872961</v>
          </cell>
          <cell r="BF47">
            <v>1128.7042784101741</v>
          </cell>
          <cell r="BN47">
            <v>0</v>
          </cell>
        </row>
        <row r="48">
          <cell r="B48">
            <v>340</v>
          </cell>
          <cell r="C48" t="str">
            <v>Knowsley</v>
          </cell>
          <cell r="J48">
            <v>1.0016847182558959</v>
          </cell>
          <cell r="X48">
            <v>30517.52495995834</v>
          </cell>
          <cell r="AA48">
            <v>6085.234663404568</v>
          </cell>
          <cell r="AE48">
            <v>1866.1386301107341</v>
          </cell>
          <cell r="AH48">
            <v>2987.0238298390814</v>
          </cell>
          <cell r="AN48">
            <v>2328.9169699449581</v>
          </cell>
          <cell r="AQ48">
            <v>5973.0459749599067</v>
          </cell>
          <cell r="AT48">
            <v>6732.3229913978766</v>
          </cell>
          <cell r="AW48">
            <v>255.42960315525346</v>
          </cell>
          <cell r="AZ48">
            <v>1239.6368641458589</v>
          </cell>
          <cell r="BC48">
            <v>339.57111948874871</v>
          </cell>
          <cell r="BF48">
            <v>987.66113220031332</v>
          </cell>
          <cell r="BN48">
            <v>0</v>
          </cell>
        </row>
        <row r="49">
          <cell r="B49">
            <v>341</v>
          </cell>
          <cell r="C49" t="str">
            <v>Liverpool</v>
          </cell>
          <cell r="J49">
            <v>1.0016847182558959</v>
          </cell>
          <cell r="X49">
            <v>87519.138104055746</v>
          </cell>
          <cell r="AA49">
            <v>16767.200498885442</v>
          </cell>
          <cell r="AE49">
            <v>4887.2197403705159</v>
          </cell>
          <cell r="AH49">
            <v>6982.7441709618506</v>
          </cell>
          <cell r="AN49">
            <v>6904.6127629378907</v>
          </cell>
          <cell r="AQ49">
            <v>23184.994488750966</v>
          </cell>
          <cell r="AT49">
            <v>13192.187739430148</v>
          </cell>
          <cell r="AW49">
            <v>775.30397193006343</v>
          </cell>
          <cell r="AZ49">
            <v>4198.9457171014737</v>
          </cell>
          <cell r="BC49">
            <v>1181.9879675419572</v>
          </cell>
          <cell r="BF49">
            <v>1850.1116746186397</v>
          </cell>
          <cell r="BN49">
            <v>0</v>
          </cell>
        </row>
        <row r="50">
          <cell r="B50">
            <v>342</v>
          </cell>
          <cell r="C50" t="str">
            <v>St Helens</v>
          </cell>
          <cell r="J50">
            <v>1.0016847182558959</v>
          </cell>
          <cell r="X50">
            <v>34861.399856920594</v>
          </cell>
          <cell r="AA50">
            <v>4485.5441683499021</v>
          </cell>
          <cell r="AE50">
            <v>3618.0852023402958</v>
          </cell>
          <cell r="AH50">
            <v>2569.3213023263729</v>
          </cell>
          <cell r="AN50">
            <v>1934.2531909521349</v>
          </cell>
          <cell r="AQ50">
            <v>5663.5253970188351</v>
          </cell>
          <cell r="AT50">
            <v>2775.6683542870874</v>
          </cell>
          <cell r="AW50">
            <v>226.38074632583246</v>
          </cell>
          <cell r="AZ50">
            <v>1606.366781356629</v>
          </cell>
          <cell r="BC50">
            <v>320.53910984188667</v>
          </cell>
          <cell r="BF50">
            <v>586.98724489795495</v>
          </cell>
          <cell r="BN50">
            <v>0</v>
          </cell>
        </row>
        <row r="51">
          <cell r="B51">
            <v>343</v>
          </cell>
          <cell r="C51" t="str">
            <v>Sefton</v>
          </cell>
          <cell r="J51">
            <v>1.0016847182558959</v>
          </cell>
          <cell r="X51">
            <v>51050.319754479155</v>
          </cell>
          <cell r="AA51">
            <v>6075.2178162220089</v>
          </cell>
          <cell r="AE51">
            <v>5201.7487419028676</v>
          </cell>
          <cell r="AH51">
            <v>2080.4991598174956</v>
          </cell>
          <cell r="AN51">
            <v>1728.9078237096762</v>
          </cell>
          <cell r="AQ51">
            <v>5322.952592811831</v>
          </cell>
          <cell r="AT51">
            <v>2420.0702793062446</v>
          </cell>
          <cell r="AW51">
            <v>320.53910984188667</v>
          </cell>
          <cell r="AZ51">
            <v>2220.1368645906691</v>
          </cell>
          <cell r="BC51">
            <v>562.94681165981353</v>
          </cell>
          <cell r="BF51">
            <v>839.41179389844081</v>
          </cell>
          <cell r="BN51">
            <v>0</v>
          </cell>
        </row>
        <row r="52">
          <cell r="B52">
            <v>344</v>
          </cell>
          <cell r="C52" t="str">
            <v>Wirral</v>
          </cell>
          <cell r="J52">
            <v>1.0016847182558959</v>
          </cell>
          <cell r="X52">
            <v>64786.317119026833</v>
          </cell>
          <cell r="AA52">
            <v>8374.0842446192892</v>
          </cell>
          <cell r="AE52">
            <v>4489.5509072229252</v>
          </cell>
          <cell r="AH52">
            <v>3298.5477772166651</v>
          </cell>
          <cell r="AN52">
            <v>3801.393505781125</v>
          </cell>
          <cell r="AQ52">
            <v>6271.5480210001642</v>
          </cell>
          <cell r="AT52">
            <v>7467.5595745977034</v>
          </cell>
          <cell r="AW52">
            <v>460.77497039771208</v>
          </cell>
          <cell r="AZ52">
            <v>3621.0765264856445</v>
          </cell>
          <cell r="BC52">
            <v>624.04957947342314</v>
          </cell>
          <cell r="BF52">
            <v>994.67292522810465</v>
          </cell>
          <cell r="BN52">
            <v>0</v>
          </cell>
        </row>
        <row r="53">
          <cell r="B53">
            <v>350</v>
          </cell>
          <cell r="C53" t="str">
            <v>Bolton</v>
          </cell>
          <cell r="J53">
            <v>1.0082072667712707</v>
          </cell>
          <cell r="X53">
            <v>64459.390826965035</v>
          </cell>
          <cell r="AA53">
            <v>8054.5678542356818</v>
          </cell>
          <cell r="AE53">
            <v>8560.6879021548593</v>
          </cell>
          <cell r="AH53">
            <v>11611.523091404724</v>
          </cell>
          <cell r="AN53">
            <v>4327.2255889822936</v>
          </cell>
          <cell r="AQ53">
            <v>4796.0419680309351</v>
          </cell>
          <cell r="AT53">
            <v>3014.5397276460994</v>
          </cell>
          <cell r="AW53">
            <v>388.15979770693923</v>
          </cell>
          <cell r="AZ53">
            <v>2183.5261426286734</v>
          </cell>
          <cell r="BC53">
            <v>725.90923207531489</v>
          </cell>
          <cell r="BF53">
            <v>959.81331796624966</v>
          </cell>
          <cell r="BN53">
            <v>0</v>
          </cell>
        </row>
        <row r="54">
          <cell r="B54">
            <v>351</v>
          </cell>
          <cell r="C54" t="str">
            <v>Bury</v>
          </cell>
          <cell r="J54">
            <v>1.0082072667712707</v>
          </cell>
          <cell r="X54">
            <v>41914.441663018799</v>
          </cell>
          <cell r="AA54">
            <v>4177.0027062333747</v>
          </cell>
          <cell r="AE54">
            <v>4453.2514973287025</v>
          </cell>
          <cell r="AH54">
            <v>3697.0960472502497</v>
          </cell>
          <cell r="AN54">
            <v>1532.4750454923314</v>
          </cell>
          <cell r="AQ54">
            <v>1642.3696375704001</v>
          </cell>
          <cell r="AT54">
            <v>948.72303803176578</v>
          </cell>
          <cell r="AW54">
            <v>212.73173328873813</v>
          </cell>
          <cell r="AZ54">
            <v>1435.9965732838498</v>
          </cell>
          <cell r="BC54">
            <v>464.78354998155578</v>
          </cell>
          <cell r="BF54">
            <v>323.63453263357792</v>
          </cell>
          <cell r="BN54">
            <v>0</v>
          </cell>
        </row>
        <row r="55">
          <cell r="B55">
            <v>352</v>
          </cell>
          <cell r="C55" t="str">
            <v>Manchester</v>
          </cell>
          <cell r="J55">
            <v>1.0082072667712707</v>
          </cell>
          <cell r="X55">
            <v>115694.89317321402</v>
          </cell>
          <cell r="AA55">
            <v>20717.651124882843</v>
          </cell>
          <cell r="AE55">
            <v>8318.7181581297555</v>
          </cell>
          <cell r="AH55">
            <v>12613.681114575367</v>
          </cell>
          <cell r="AN55">
            <v>15078.747881831125</v>
          </cell>
          <cell r="AQ55">
            <v>27876.930926225636</v>
          </cell>
          <cell r="AT55">
            <v>15286.438578786006</v>
          </cell>
          <cell r="AW55">
            <v>979.97746330167513</v>
          </cell>
          <cell r="AZ55">
            <v>4464.9249684228462</v>
          </cell>
          <cell r="BC55">
            <v>1500.2124129556507</v>
          </cell>
          <cell r="BF55">
            <v>2178.7359034927158</v>
          </cell>
          <cell r="BN55">
            <v>0</v>
          </cell>
        </row>
        <row r="56">
          <cell r="B56">
            <v>353</v>
          </cell>
          <cell r="C56" t="str">
            <v>Oldham</v>
          </cell>
          <cell r="J56">
            <v>1.0082072667712707</v>
          </cell>
          <cell r="X56">
            <v>55827.720092193129</v>
          </cell>
          <cell r="AA56">
            <v>7323.6175858265105</v>
          </cell>
          <cell r="AE56">
            <v>6120.8263165683848</v>
          </cell>
          <cell r="AH56">
            <v>6516.0435651427224</v>
          </cell>
          <cell r="AN56">
            <v>5433.2289606303775</v>
          </cell>
          <cell r="AQ56">
            <v>7192.5506411462457</v>
          </cell>
          <cell r="AT56">
            <v>2300.7289827720397</v>
          </cell>
          <cell r="AW56">
            <v>423.4470520439337</v>
          </cell>
          <cell r="AZ56">
            <v>2149.9231869667556</v>
          </cell>
          <cell r="BC56">
            <v>674.49066146998007</v>
          </cell>
          <cell r="BF56">
            <v>1040.4698993079514</v>
          </cell>
          <cell r="BN56">
            <v>0</v>
          </cell>
        </row>
        <row r="57">
          <cell r="B57">
            <v>354</v>
          </cell>
          <cell r="C57" t="str">
            <v>Rochdale</v>
          </cell>
          <cell r="J57">
            <v>1.0082072667712707</v>
          </cell>
          <cell r="X57">
            <v>48388.896678407189</v>
          </cell>
          <cell r="AA57">
            <v>7011.0733331274168</v>
          </cell>
          <cell r="AE57">
            <v>4701.2704849544352</v>
          </cell>
          <cell r="AH57">
            <v>8505.2365024824394</v>
          </cell>
          <cell r="AN57">
            <v>3855.3845881333391</v>
          </cell>
          <cell r="AQ57">
            <v>8121.1095338425857</v>
          </cell>
          <cell r="AT57">
            <v>1413.5065880133216</v>
          </cell>
          <cell r="AW57">
            <v>343.79867796900334</v>
          </cell>
          <cell r="AZ57">
            <v>2117.7694725670958</v>
          </cell>
          <cell r="BC57">
            <v>608.95718912984751</v>
          </cell>
          <cell r="BF57">
            <v>754.13903554491048</v>
          </cell>
          <cell r="BN57">
            <v>0</v>
          </cell>
        </row>
        <row r="58">
          <cell r="B58">
            <v>355</v>
          </cell>
          <cell r="C58" t="str">
            <v>Salford</v>
          </cell>
          <cell r="J58">
            <v>1.0082072667712707</v>
          </cell>
          <cell r="X58">
            <v>53379.570034666533</v>
          </cell>
          <cell r="AA58">
            <v>6909.244399183518</v>
          </cell>
          <cell r="AE58">
            <v>4195.1504370352577</v>
          </cell>
          <cell r="AH58">
            <v>4869.6410985052371</v>
          </cell>
          <cell r="AN58">
            <v>4353.4389779183466</v>
          </cell>
          <cell r="AQ58">
            <v>7903.336764219991</v>
          </cell>
          <cell r="AT58">
            <v>5602.6077814479513</v>
          </cell>
          <cell r="AW58">
            <v>343.79867796900334</v>
          </cell>
          <cell r="AZ58">
            <v>2170.5670227228966</v>
          </cell>
          <cell r="BC58">
            <v>525.27598598783209</v>
          </cell>
          <cell r="BF58">
            <v>674.49066146998007</v>
          </cell>
          <cell r="BN58">
            <v>0</v>
          </cell>
        </row>
        <row r="59">
          <cell r="B59">
            <v>356</v>
          </cell>
          <cell r="C59" t="str">
            <v>Stockport</v>
          </cell>
          <cell r="J59">
            <v>1.0082072667712707</v>
          </cell>
          <cell r="X59">
            <v>60918.624373878534</v>
          </cell>
          <cell r="AA59">
            <v>5281.9978706146876</v>
          </cell>
          <cell r="AE59">
            <v>5028.9378466550979</v>
          </cell>
          <cell r="AH59">
            <v>6064.3667096291929</v>
          </cell>
          <cell r="AN59">
            <v>397.23366310788066</v>
          </cell>
          <cell r="AQ59">
            <v>2411.6317821168795</v>
          </cell>
          <cell r="AT59">
            <v>2157.5635508905193</v>
          </cell>
          <cell r="AW59">
            <v>293.38831463043977</v>
          </cell>
          <cell r="AZ59">
            <v>2127.782404755696</v>
          </cell>
          <cell r="BC59">
            <v>548.46475312357131</v>
          </cell>
          <cell r="BF59">
            <v>753.13082827813923</v>
          </cell>
          <cell r="BN59">
            <v>0</v>
          </cell>
        </row>
        <row r="60">
          <cell r="B60">
            <v>357</v>
          </cell>
          <cell r="C60" t="str">
            <v>Tameside</v>
          </cell>
          <cell r="J60">
            <v>1.0082072667712707</v>
          </cell>
          <cell r="X60">
            <v>47435.102357823584</v>
          </cell>
          <cell r="AA60">
            <v>6174.2613017072617</v>
          </cell>
          <cell r="AE60">
            <v>6463.6167872706164</v>
          </cell>
          <cell r="AH60">
            <v>6286.1723083188726</v>
          </cell>
          <cell r="AN60">
            <v>2613.2732354711338</v>
          </cell>
          <cell r="AQ60">
            <v>3770.6951777245527</v>
          </cell>
          <cell r="AT60">
            <v>1601.0331396327779</v>
          </cell>
          <cell r="AW60">
            <v>285.32265649626959</v>
          </cell>
          <cell r="AZ60">
            <v>1463.1981641537159</v>
          </cell>
          <cell r="BC60">
            <v>509.14466971949173</v>
          </cell>
          <cell r="BF60">
            <v>758.1718646119956</v>
          </cell>
          <cell r="BN60">
            <v>0</v>
          </cell>
        </row>
        <row r="61">
          <cell r="B61">
            <v>358</v>
          </cell>
          <cell r="C61" t="str">
            <v>Trafford</v>
          </cell>
          <cell r="J61">
            <v>1.0082072667712707</v>
          </cell>
          <cell r="X61">
            <v>54777.689363374389</v>
          </cell>
          <cell r="AA61">
            <v>3494.4463866292244</v>
          </cell>
          <cell r="AE61">
            <v>2619.3224790717613</v>
          </cell>
          <cell r="AH61">
            <v>3130.4835633247953</v>
          </cell>
          <cell r="AN61">
            <v>1794.6089348528619</v>
          </cell>
          <cell r="AQ61">
            <v>2658.6425624758408</v>
          </cell>
          <cell r="AT61">
            <v>556.53041125774143</v>
          </cell>
          <cell r="AW61">
            <v>224.83022048999337</v>
          </cell>
          <cell r="AZ61">
            <v>1297.4469498928588</v>
          </cell>
          <cell r="BC61">
            <v>372.02848143859887</v>
          </cell>
          <cell r="BF61">
            <v>458.73430638092816</v>
          </cell>
          <cell r="BN61">
            <v>0</v>
          </cell>
        </row>
        <row r="62">
          <cell r="B62">
            <v>359</v>
          </cell>
          <cell r="C62" t="str">
            <v>Wigan</v>
          </cell>
          <cell r="J62">
            <v>1.0082072667712707</v>
          </cell>
          <cell r="X62">
            <v>65062.026556532226</v>
          </cell>
          <cell r="AA62">
            <v>6464.6249945373875</v>
          </cell>
          <cell r="AE62">
            <v>7552.4806353835893</v>
          </cell>
          <cell r="AH62">
            <v>6119.8181093016128</v>
          </cell>
          <cell r="AN62">
            <v>3405.7241471533525</v>
          </cell>
          <cell r="AQ62">
            <v>5503.8034693043664</v>
          </cell>
          <cell r="AT62">
            <v>1932.733330400526</v>
          </cell>
          <cell r="AW62">
            <v>357.91357970380108</v>
          </cell>
          <cell r="AZ62">
            <v>2223.4769147319939</v>
          </cell>
          <cell r="BC62">
            <v>594.84228739504977</v>
          </cell>
          <cell r="BF62">
            <v>775.31138814710721</v>
          </cell>
          <cell r="BN62">
            <v>0</v>
          </cell>
        </row>
        <row r="63">
          <cell r="B63">
            <v>370</v>
          </cell>
          <cell r="C63" t="str">
            <v>Barnsley</v>
          </cell>
          <cell r="J63">
            <v>1</v>
          </cell>
          <cell r="X63">
            <v>48414.546000000002</v>
          </cell>
          <cell r="AA63">
            <v>6176</v>
          </cell>
          <cell r="AE63">
            <v>5454</v>
          </cell>
          <cell r="AH63">
            <v>5397</v>
          </cell>
          <cell r="AN63">
            <v>2768</v>
          </cell>
          <cell r="AQ63">
            <v>7722</v>
          </cell>
          <cell r="AT63">
            <v>1151</v>
          </cell>
          <cell r="AW63">
            <v>308</v>
          </cell>
          <cell r="AZ63">
            <v>2067.8418663573516</v>
          </cell>
          <cell r="BC63">
            <v>668</v>
          </cell>
          <cell r="BF63">
            <v>831</v>
          </cell>
          <cell r="BN63">
            <v>0</v>
          </cell>
        </row>
        <row r="64">
          <cell r="B64">
            <v>371</v>
          </cell>
          <cell r="C64" t="str">
            <v>Doncaster</v>
          </cell>
          <cell r="J64">
            <v>1</v>
          </cell>
          <cell r="X64">
            <v>61842.02199999999</v>
          </cell>
          <cell r="AA64">
            <v>7389</v>
          </cell>
          <cell r="AE64">
            <v>8681</v>
          </cell>
          <cell r="AH64">
            <v>2635</v>
          </cell>
          <cell r="AN64">
            <v>4822</v>
          </cell>
          <cell r="AQ64">
            <v>8324</v>
          </cell>
          <cell r="AT64">
            <v>1921</v>
          </cell>
          <cell r="AW64">
            <v>372</v>
          </cell>
          <cell r="AZ64">
            <v>2197.2408591550607</v>
          </cell>
          <cell r="BC64">
            <v>885</v>
          </cell>
          <cell r="BF64">
            <v>1061</v>
          </cell>
          <cell r="BN64">
            <v>0</v>
          </cell>
        </row>
        <row r="65">
          <cell r="B65">
            <v>372</v>
          </cell>
          <cell r="C65" t="str">
            <v>Rotherham</v>
          </cell>
          <cell r="J65">
            <v>1</v>
          </cell>
          <cell r="X65">
            <v>54057.728000000003</v>
          </cell>
          <cell r="AA65">
            <v>6557</v>
          </cell>
          <cell r="AE65">
            <v>6862</v>
          </cell>
          <cell r="AH65">
            <v>6346</v>
          </cell>
          <cell r="AN65">
            <v>4636</v>
          </cell>
          <cell r="AQ65">
            <v>3570</v>
          </cell>
          <cell r="AT65">
            <v>3997</v>
          </cell>
          <cell r="AW65">
            <v>413</v>
          </cell>
          <cell r="AZ65">
            <v>2535.0610037203351</v>
          </cell>
          <cell r="BC65">
            <v>929</v>
          </cell>
          <cell r="BF65">
            <v>946</v>
          </cell>
          <cell r="BN65">
            <v>0</v>
          </cell>
        </row>
        <row r="66">
          <cell r="B66">
            <v>373</v>
          </cell>
          <cell r="C66" t="str">
            <v>Sheffield</v>
          </cell>
          <cell r="J66">
            <v>1</v>
          </cell>
          <cell r="X66">
            <v>112926.82899999998</v>
          </cell>
          <cell r="AA66">
            <v>16411</v>
          </cell>
          <cell r="AE66">
            <v>7850</v>
          </cell>
          <cell r="AH66">
            <v>8377</v>
          </cell>
          <cell r="AN66">
            <v>12558</v>
          </cell>
          <cell r="AQ66">
            <v>18294</v>
          </cell>
          <cell r="AT66">
            <v>4461</v>
          </cell>
          <cell r="AW66">
            <v>828</v>
          </cell>
          <cell r="AZ66">
            <v>5379.1691522280671</v>
          </cell>
          <cell r="BC66">
            <v>1891</v>
          </cell>
          <cell r="BF66">
            <v>2106</v>
          </cell>
          <cell r="BN66">
            <v>0</v>
          </cell>
        </row>
        <row r="67">
          <cell r="B67">
            <v>380</v>
          </cell>
          <cell r="C67" t="str">
            <v>Bradford</v>
          </cell>
          <cell r="J67">
            <v>1.0002429734488885</v>
          </cell>
          <cell r="X67">
            <v>132402.19540344752</v>
          </cell>
          <cell r="AA67">
            <v>18332.453217371229</v>
          </cell>
          <cell r="AE67">
            <v>17127.160434365316</v>
          </cell>
          <cell r="AH67">
            <v>22046.355377786949</v>
          </cell>
          <cell r="AN67">
            <v>8065.9593378918362</v>
          </cell>
          <cell r="AQ67">
            <v>15486.761957909141</v>
          </cell>
          <cell r="AT67">
            <v>4315.0481874585048</v>
          </cell>
          <cell r="AW67">
            <v>1133.2752889175906</v>
          </cell>
          <cell r="AZ67">
            <v>4422.7875474177054</v>
          </cell>
          <cell r="BC67">
            <v>2224.5403729503278</v>
          </cell>
          <cell r="BF67">
            <v>2406.5845941180255</v>
          </cell>
          <cell r="BN67">
            <v>0</v>
          </cell>
        </row>
        <row r="68">
          <cell r="B68">
            <v>381</v>
          </cell>
          <cell r="C68" t="str">
            <v>Calderdale</v>
          </cell>
          <cell r="J68">
            <v>1.0002429734488885</v>
          </cell>
          <cell r="X68">
            <v>43931.780663332735</v>
          </cell>
          <cell r="AA68">
            <v>4696.1407603425314</v>
          </cell>
          <cell r="AE68">
            <v>5416.3157012257307</v>
          </cell>
          <cell r="AH68">
            <v>3262.7925793902741</v>
          </cell>
          <cell r="AN68">
            <v>2328.5656421890121</v>
          </cell>
          <cell r="AQ68">
            <v>3209.7797017974831</v>
          </cell>
          <cell r="AT68">
            <v>1750.4252035355548</v>
          </cell>
          <cell r="AW68">
            <v>247.06001444187544</v>
          </cell>
          <cell r="AZ68">
            <v>1285.3809584052281</v>
          </cell>
          <cell r="BC68">
            <v>495.12027185719978</v>
          </cell>
          <cell r="BF68">
            <v>482.11711320236424</v>
          </cell>
          <cell r="BN68">
            <v>0</v>
          </cell>
        </row>
        <row r="69">
          <cell r="B69">
            <v>382</v>
          </cell>
          <cell r="C69" t="str">
            <v>Kirklees</v>
          </cell>
          <cell r="J69">
            <v>1.0002429734488885</v>
          </cell>
          <cell r="X69">
            <v>95503.541187996787</v>
          </cell>
          <cell r="AA69">
            <v>12871.126582340297</v>
          </cell>
          <cell r="AE69">
            <v>14478.517040672661</v>
          </cell>
          <cell r="AH69">
            <v>8810.1401101378087</v>
          </cell>
          <cell r="AN69">
            <v>4661.1322562718206</v>
          </cell>
          <cell r="AQ69">
            <v>4825.1721039174381</v>
          </cell>
          <cell r="AT69">
            <v>903.21940502434632</v>
          </cell>
          <cell r="AW69">
            <v>604.14675596312861</v>
          </cell>
          <cell r="AZ69">
            <v>2429.2149063951265</v>
          </cell>
          <cell r="BC69">
            <v>1225.2976424748883</v>
          </cell>
          <cell r="BF69">
            <v>1057.2568229354752</v>
          </cell>
          <cell r="BN69">
            <v>0</v>
          </cell>
        </row>
        <row r="70">
          <cell r="B70">
            <v>383</v>
          </cell>
          <cell r="C70" t="str">
            <v>Leeds</v>
          </cell>
          <cell r="J70">
            <v>1.0002429734488885</v>
          </cell>
          <cell r="X70">
            <v>160193.72936799965</v>
          </cell>
          <cell r="AA70">
            <v>18849.578834644304</v>
          </cell>
          <cell r="AE70">
            <v>10023.434836931312</v>
          </cell>
          <cell r="AH70">
            <v>15695.812739359957</v>
          </cell>
          <cell r="AN70">
            <v>10163.468853214155</v>
          </cell>
          <cell r="AQ70">
            <v>21746.282485752283</v>
          </cell>
          <cell r="AT70">
            <v>8626.0954030232133</v>
          </cell>
          <cell r="AW70">
            <v>827.20093904223074</v>
          </cell>
          <cell r="AZ70">
            <v>4140.6771661834491</v>
          </cell>
          <cell r="BC70">
            <v>2029.4929931277948</v>
          </cell>
          <cell r="BF70">
            <v>2643.6421788254124</v>
          </cell>
          <cell r="BN70">
            <v>0</v>
          </cell>
        </row>
        <row r="71">
          <cell r="B71">
            <v>384</v>
          </cell>
          <cell r="C71" t="str">
            <v>Wakefield</v>
          </cell>
          <cell r="J71">
            <v>1.0002429734488885</v>
          </cell>
          <cell r="X71">
            <v>67171.031812712667</v>
          </cell>
          <cell r="AA71">
            <v>6637.6123718068238</v>
          </cell>
          <cell r="AE71">
            <v>7667.8626344591794</v>
          </cell>
          <cell r="AH71">
            <v>8105.969056829792</v>
          </cell>
          <cell r="AN71">
            <v>5391.3096268895088</v>
          </cell>
          <cell r="AQ71">
            <v>5731.392237862131</v>
          </cell>
          <cell r="AT71">
            <v>2080.5053847736881</v>
          </cell>
          <cell r="AW71">
            <v>364.08844233539543</v>
          </cell>
          <cell r="AZ71">
            <v>2655.2186249462793</v>
          </cell>
          <cell r="BC71">
            <v>971.23592721887064</v>
          </cell>
          <cell r="BF71">
            <v>1055.2563369885772</v>
          </cell>
          <cell r="BN71">
            <v>0</v>
          </cell>
        </row>
        <row r="72">
          <cell r="B72">
            <v>390</v>
          </cell>
          <cell r="C72" t="str">
            <v>Gateshead</v>
          </cell>
          <cell r="J72">
            <v>1</v>
          </cell>
          <cell r="X72">
            <v>38213.641000000003</v>
          </cell>
          <cell r="AA72">
            <v>4379</v>
          </cell>
          <cell r="AE72">
            <v>4365</v>
          </cell>
          <cell r="AH72">
            <v>4780</v>
          </cell>
          <cell r="AN72">
            <v>1540</v>
          </cell>
          <cell r="AQ72">
            <v>2452</v>
          </cell>
          <cell r="AT72">
            <v>1531</v>
          </cell>
          <cell r="AW72">
            <v>250</v>
          </cell>
          <cell r="AZ72">
            <v>1378.0374342786865</v>
          </cell>
          <cell r="BC72">
            <v>388</v>
          </cell>
          <cell r="BF72">
            <v>622</v>
          </cell>
          <cell r="BN72">
            <v>0</v>
          </cell>
        </row>
        <row r="73">
          <cell r="B73">
            <v>391</v>
          </cell>
          <cell r="C73" t="str">
            <v>Newcastle upon Tyne</v>
          </cell>
          <cell r="J73">
            <v>1</v>
          </cell>
          <cell r="X73">
            <v>56283.982000000004</v>
          </cell>
          <cell r="AA73">
            <v>8811</v>
          </cell>
          <cell r="AE73">
            <v>4530</v>
          </cell>
          <cell r="AH73">
            <v>3275</v>
          </cell>
          <cell r="AN73">
            <v>3575</v>
          </cell>
          <cell r="AQ73">
            <v>11418</v>
          </cell>
          <cell r="AT73">
            <v>5003</v>
          </cell>
          <cell r="AW73">
            <v>454</v>
          </cell>
          <cell r="AZ73">
            <v>2039.005883504298</v>
          </cell>
          <cell r="BC73">
            <v>643</v>
          </cell>
          <cell r="BF73">
            <v>814</v>
          </cell>
          <cell r="BN73">
            <v>0</v>
          </cell>
        </row>
        <row r="74">
          <cell r="B74">
            <v>392</v>
          </cell>
          <cell r="C74" t="str">
            <v>North Tyneside</v>
          </cell>
          <cell r="J74">
            <v>1</v>
          </cell>
          <cell r="X74">
            <v>38776.731</v>
          </cell>
          <cell r="AA74">
            <v>3935</v>
          </cell>
          <cell r="AE74">
            <v>3538</v>
          </cell>
          <cell r="AH74">
            <v>3340</v>
          </cell>
          <cell r="AN74">
            <v>4398</v>
          </cell>
          <cell r="AQ74">
            <v>2087</v>
          </cell>
          <cell r="AT74">
            <v>1262</v>
          </cell>
          <cell r="AW74">
            <v>222</v>
          </cell>
          <cell r="AZ74">
            <v>1555.5307039102909</v>
          </cell>
          <cell r="BC74">
            <v>387</v>
          </cell>
          <cell r="BF74">
            <v>478</v>
          </cell>
          <cell r="BN74">
            <v>0</v>
          </cell>
        </row>
        <row r="75">
          <cell r="B75">
            <v>393</v>
          </cell>
          <cell r="C75" t="str">
            <v>South Tyneside</v>
          </cell>
          <cell r="J75">
            <v>1</v>
          </cell>
          <cell r="X75">
            <v>27960.573</v>
          </cell>
          <cell r="AA75">
            <v>4316</v>
          </cell>
          <cell r="AE75">
            <v>2959</v>
          </cell>
          <cell r="AH75">
            <v>2153</v>
          </cell>
          <cell r="AN75">
            <v>4308</v>
          </cell>
          <cell r="AQ75">
            <v>4109</v>
          </cell>
          <cell r="AT75">
            <v>1457</v>
          </cell>
          <cell r="AW75">
            <v>178</v>
          </cell>
          <cell r="AZ75">
            <v>1229.846641610807</v>
          </cell>
          <cell r="BC75">
            <v>318</v>
          </cell>
          <cell r="BF75">
            <v>390</v>
          </cell>
          <cell r="BN75">
            <v>0</v>
          </cell>
        </row>
        <row r="76">
          <cell r="B76">
            <v>394</v>
          </cell>
          <cell r="C76" t="str">
            <v>Sunderland</v>
          </cell>
          <cell r="J76">
            <v>1</v>
          </cell>
          <cell r="X76">
            <v>51668.863000000012</v>
          </cell>
          <cell r="AA76">
            <v>8480</v>
          </cell>
          <cell r="AE76">
            <v>5839</v>
          </cell>
          <cell r="AH76">
            <v>4179</v>
          </cell>
          <cell r="AN76">
            <v>6473</v>
          </cell>
          <cell r="AQ76">
            <v>6674</v>
          </cell>
          <cell r="AT76">
            <v>2557</v>
          </cell>
          <cell r="AW76">
            <v>328</v>
          </cell>
          <cell r="AZ76">
            <v>2345.7431248109683</v>
          </cell>
          <cell r="BC76">
            <v>603</v>
          </cell>
          <cell r="BF76">
            <v>884</v>
          </cell>
          <cell r="BN76">
            <v>0</v>
          </cell>
        </row>
        <row r="77">
          <cell r="B77">
            <v>800</v>
          </cell>
          <cell r="C77" t="str">
            <v>Bath and North East Somerset</v>
          </cell>
          <cell r="J77">
            <v>1.021975426906069</v>
          </cell>
          <cell r="X77">
            <v>35393.589521710113</v>
          </cell>
          <cell r="AA77">
            <v>2172.7197576023027</v>
          </cell>
          <cell r="AE77">
            <v>1537.0510420667279</v>
          </cell>
          <cell r="AH77">
            <v>2551.8726409844544</v>
          </cell>
          <cell r="AN77">
            <v>992.33813952579305</v>
          </cell>
          <cell r="AQ77">
            <v>529.38327113734374</v>
          </cell>
          <cell r="AT77">
            <v>0</v>
          </cell>
          <cell r="AW77">
            <v>146.14248604756787</v>
          </cell>
          <cell r="AZ77">
            <v>1118.1686308004978</v>
          </cell>
          <cell r="BC77">
            <v>323.96621032922388</v>
          </cell>
          <cell r="BF77">
            <v>478.28449979204032</v>
          </cell>
          <cell r="BN77">
            <v>0</v>
          </cell>
        </row>
        <row r="78">
          <cell r="B78">
            <v>801</v>
          </cell>
          <cell r="C78" t="str">
            <v>Bristol, City of</v>
          </cell>
          <cell r="J78">
            <v>1.021975426906069</v>
          </cell>
          <cell r="X78">
            <v>93435.763092980662</v>
          </cell>
          <cell r="AA78">
            <v>11001.565470643833</v>
          </cell>
          <cell r="AE78">
            <v>10873.818542280575</v>
          </cell>
          <cell r="AH78">
            <v>8720.5163177894865</v>
          </cell>
          <cell r="AN78">
            <v>7536.0467980053527</v>
          </cell>
          <cell r="AQ78">
            <v>13330.647468562764</v>
          </cell>
          <cell r="AT78">
            <v>4954.5368696406222</v>
          </cell>
          <cell r="AW78">
            <v>628.51488754723243</v>
          </cell>
          <cell r="AZ78">
            <v>3111.2747811117656</v>
          </cell>
          <cell r="BC78">
            <v>1082.2719770935271</v>
          </cell>
          <cell r="BF78">
            <v>1400.1063348613145</v>
          </cell>
          <cell r="BN78">
            <v>0</v>
          </cell>
        </row>
        <row r="79">
          <cell r="B79">
            <v>802</v>
          </cell>
          <cell r="C79" t="str">
            <v>North Somerset</v>
          </cell>
          <cell r="J79">
            <v>1.021975426906069</v>
          </cell>
          <cell r="X79">
            <v>43264.650084409535</v>
          </cell>
          <cell r="AA79">
            <v>2639.7625276983763</v>
          </cell>
          <cell r="AE79">
            <v>1678.0836509797653</v>
          </cell>
          <cell r="AH79">
            <v>2091.9836988767233</v>
          </cell>
          <cell r="AN79">
            <v>158.40619117044071</v>
          </cell>
          <cell r="AQ79">
            <v>2283.0931037081582</v>
          </cell>
          <cell r="AT79">
            <v>1065.92037026303</v>
          </cell>
          <cell r="AW79">
            <v>205.41706080811988</v>
          </cell>
          <cell r="AZ79">
            <v>1164.0879027290835</v>
          </cell>
          <cell r="BC79">
            <v>402.65831820099118</v>
          </cell>
          <cell r="BF79">
            <v>568.21833735977441</v>
          </cell>
          <cell r="BN79">
            <v>0</v>
          </cell>
        </row>
        <row r="80">
          <cell r="B80">
            <v>803</v>
          </cell>
          <cell r="C80" t="str">
            <v>South Gloucestershire</v>
          </cell>
          <cell r="J80">
            <v>1.021975426906069</v>
          </cell>
          <cell r="X80">
            <v>57749.154820818905</v>
          </cell>
          <cell r="AA80">
            <v>3033.223067057213</v>
          </cell>
          <cell r="AE80">
            <v>6105.2812003368563</v>
          </cell>
          <cell r="AH80">
            <v>3150.7502411514106</v>
          </cell>
          <cell r="AN80">
            <v>193.15335568524705</v>
          </cell>
          <cell r="AQ80">
            <v>0</v>
          </cell>
          <cell r="AT80">
            <v>0</v>
          </cell>
          <cell r="AW80">
            <v>275.93336526463861</v>
          </cell>
          <cell r="AZ80">
            <v>1780.0170813682253</v>
          </cell>
          <cell r="BC80">
            <v>527.33932028353161</v>
          </cell>
          <cell r="BF80">
            <v>750.12996334905461</v>
          </cell>
          <cell r="BN80">
            <v>0</v>
          </cell>
        </row>
        <row r="81">
          <cell r="B81">
            <v>805</v>
          </cell>
          <cell r="C81" t="str">
            <v>Hartlepool</v>
          </cell>
          <cell r="J81">
            <v>1</v>
          </cell>
          <cell r="X81">
            <v>18831.464</v>
          </cell>
          <cell r="AA81">
            <v>3338</v>
          </cell>
          <cell r="AE81">
            <v>325</v>
          </cell>
          <cell r="AH81">
            <v>1189</v>
          </cell>
          <cell r="AN81">
            <v>1261</v>
          </cell>
          <cell r="AQ81">
            <v>4133</v>
          </cell>
          <cell r="AT81">
            <v>3100</v>
          </cell>
          <cell r="AW81">
            <v>110</v>
          </cell>
          <cell r="AZ81">
            <v>799.36130108389114</v>
          </cell>
          <cell r="BC81">
            <v>193</v>
          </cell>
          <cell r="BF81">
            <v>340</v>
          </cell>
          <cell r="BN81">
            <v>0</v>
          </cell>
        </row>
        <row r="82">
          <cell r="B82">
            <v>806</v>
          </cell>
          <cell r="C82" t="str">
            <v>Middlesbrough</v>
          </cell>
          <cell r="J82">
            <v>1</v>
          </cell>
          <cell r="X82">
            <v>30643.927999999996</v>
          </cell>
          <cell r="AA82">
            <v>6216</v>
          </cell>
          <cell r="AE82">
            <v>2175</v>
          </cell>
          <cell r="AH82">
            <v>1497</v>
          </cell>
          <cell r="AN82">
            <v>685</v>
          </cell>
          <cell r="AQ82">
            <v>5391</v>
          </cell>
          <cell r="AT82">
            <v>9692</v>
          </cell>
          <cell r="AW82">
            <v>260</v>
          </cell>
          <cell r="AZ82">
            <v>1333.3264042428273</v>
          </cell>
          <cell r="BC82">
            <v>494</v>
          </cell>
          <cell r="BF82">
            <v>637</v>
          </cell>
          <cell r="BN82">
            <v>0</v>
          </cell>
        </row>
        <row r="83">
          <cell r="B83">
            <v>807</v>
          </cell>
          <cell r="C83" t="str">
            <v>Redcar and Cleveland</v>
          </cell>
          <cell r="J83">
            <v>1</v>
          </cell>
          <cell r="X83">
            <v>25679.296999999999</v>
          </cell>
          <cell r="AA83">
            <v>3802</v>
          </cell>
          <cell r="AE83">
            <v>3042</v>
          </cell>
          <cell r="AH83">
            <v>1776</v>
          </cell>
          <cell r="AN83">
            <v>2207</v>
          </cell>
          <cell r="AQ83">
            <v>2885</v>
          </cell>
          <cell r="AT83">
            <v>3488</v>
          </cell>
          <cell r="AW83">
            <v>196</v>
          </cell>
          <cell r="AZ83">
            <v>1124.8618645997058</v>
          </cell>
          <cell r="BC83">
            <v>306</v>
          </cell>
          <cell r="BF83">
            <v>569</v>
          </cell>
          <cell r="BN83">
            <v>0</v>
          </cell>
        </row>
        <row r="84">
          <cell r="B84">
            <v>808</v>
          </cell>
          <cell r="C84" t="str">
            <v>Stockton-on-Tees</v>
          </cell>
          <cell r="J84">
            <v>1</v>
          </cell>
          <cell r="X84">
            <v>41428.42</v>
          </cell>
          <cell r="AA84">
            <v>5221</v>
          </cell>
          <cell r="AE84">
            <v>1834</v>
          </cell>
          <cell r="AH84">
            <v>3265</v>
          </cell>
          <cell r="AN84">
            <v>3346</v>
          </cell>
          <cell r="AQ84">
            <v>4761</v>
          </cell>
          <cell r="AT84">
            <v>2934</v>
          </cell>
          <cell r="AW84">
            <v>289</v>
          </cell>
          <cell r="AZ84">
            <v>1706.3076614909423</v>
          </cell>
          <cell r="BC84">
            <v>521</v>
          </cell>
          <cell r="BF84">
            <v>684</v>
          </cell>
          <cell r="BN84">
            <v>0</v>
          </cell>
        </row>
        <row r="85">
          <cell r="B85">
            <v>810</v>
          </cell>
          <cell r="C85" t="str">
            <v>Kingston Upon Hull, City of</v>
          </cell>
          <cell r="J85">
            <v>1</v>
          </cell>
          <cell r="X85">
            <v>53000.930999999997</v>
          </cell>
          <cell r="AA85">
            <v>9390</v>
          </cell>
          <cell r="AE85">
            <v>3489</v>
          </cell>
          <cell r="AH85">
            <v>3403</v>
          </cell>
          <cell r="AN85">
            <v>3626</v>
          </cell>
          <cell r="AQ85">
            <v>9435</v>
          </cell>
          <cell r="AT85">
            <v>13014</v>
          </cell>
          <cell r="AW85">
            <v>355</v>
          </cell>
          <cell r="AZ85">
            <v>1996.3859467696122</v>
          </cell>
          <cell r="BC85">
            <v>736</v>
          </cell>
          <cell r="BF85">
            <v>819</v>
          </cell>
          <cell r="BN85">
            <v>0</v>
          </cell>
        </row>
        <row r="86">
          <cell r="B86">
            <v>811</v>
          </cell>
          <cell r="C86" t="str">
            <v>East Riding of Yorkshire</v>
          </cell>
          <cell r="J86">
            <v>1</v>
          </cell>
          <cell r="X86">
            <v>60971.271999999997</v>
          </cell>
          <cell r="AA86">
            <v>4916</v>
          </cell>
          <cell r="AE86">
            <v>5538</v>
          </cell>
          <cell r="AH86">
            <v>2308</v>
          </cell>
          <cell r="AN86">
            <v>1990</v>
          </cell>
          <cell r="AQ86">
            <v>1397</v>
          </cell>
          <cell r="AT86">
            <v>217</v>
          </cell>
          <cell r="AW86">
            <v>254</v>
          </cell>
          <cell r="AZ86">
            <v>1615.8292712983402</v>
          </cell>
          <cell r="BC86">
            <v>601</v>
          </cell>
          <cell r="BF86">
            <v>680</v>
          </cell>
          <cell r="BN86">
            <v>0</v>
          </cell>
        </row>
        <row r="87">
          <cell r="B87">
            <v>812</v>
          </cell>
          <cell r="C87" t="str">
            <v>North East Lincolnshire</v>
          </cell>
          <cell r="J87">
            <v>1</v>
          </cell>
          <cell r="X87">
            <v>32544.964000000004</v>
          </cell>
          <cell r="AA87">
            <v>3789</v>
          </cell>
          <cell r="AE87">
            <v>3277</v>
          </cell>
          <cell r="AH87">
            <v>1493</v>
          </cell>
          <cell r="AN87">
            <v>2541</v>
          </cell>
          <cell r="AQ87">
            <v>4437</v>
          </cell>
          <cell r="AT87">
            <v>5373</v>
          </cell>
          <cell r="AW87">
            <v>237</v>
          </cell>
          <cell r="AZ87">
            <v>1129.0593253991653</v>
          </cell>
          <cell r="BC87">
            <v>500</v>
          </cell>
          <cell r="BF87">
            <v>564</v>
          </cell>
          <cell r="BN87">
            <v>0</v>
          </cell>
        </row>
        <row r="88">
          <cell r="B88">
            <v>813</v>
          </cell>
          <cell r="C88" t="str">
            <v>North Lincolnshire</v>
          </cell>
          <cell r="J88">
            <v>1</v>
          </cell>
          <cell r="X88">
            <v>33554.455000000002</v>
          </cell>
          <cell r="AA88">
            <v>3274</v>
          </cell>
          <cell r="AE88">
            <v>3363</v>
          </cell>
          <cell r="AH88">
            <v>3418</v>
          </cell>
          <cell r="AN88">
            <v>1663</v>
          </cell>
          <cell r="AQ88">
            <v>2412</v>
          </cell>
          <cell r="AT88">
            <v>1797</v>
          </cell>
          <cell r="AW88">
            <v>191</v>
          </cell>
          <cell r="AZ88">
            <v>1051.8490846690343</v>
          </cell>
          <cell r="BC88">
            <v>479</v>
          </cell>
          <cell r="BF88">
            <v>487</v>
          </cell>
          <cell r="BN88">
            <v>0</v>
          </cell>
        </row>
        <row r="89">
          <cell r="B89">
            <v>815</v>
          </cell>
          <cell r="C89" t="str">
            <v>North Yorkshire</v>
          </cell>
          <cell r="J89">
            <v>1</v>
          </cell>
          <cell r="X89">
            <v>111787.00200000001</v>
          </cell>
          <cell r="AA89">
            <v>5780</v>
          </cell>
          <cell r="AE89">
            <v>7513</v>
          </cell>
          <cell r="AH89">
            <v>2982</v>
          </cell>
          <cell r="AN89">
            <v>1247</v>
          </cell>
          <cell r="AQ89">
            <v>1001</v>
          </cell>
          <cell r="AT89">
            <v>1626</v>
          </cell>
          <cell r="AW89">
            <v>413</v>
          </cell>
          <cell r="AZ89">
            <v>3001.7504131375217</v>
          </cell>
          <cell r="BC89">
            <v>1301</v>
          </cell>
          <cell r="BF89">
            <v>1297</v>
          </cell>
          <cell r="BN89">
            <v>0</v>
          </cell>
        </row>
        <row r="90">
          <cell r="B90">
            <v>816</v>
          </cell>
          <cell r="C90" t="str">
            <v>York</v>
          </cell>
          <cell r="J90">
            <v>1</v>
          </cell>
          <cell r="X90">
            <v>36625.430999999997</v>
          </cell>
          <cell r="AA90">
            <v>1872</v>
          </cell>
          <cell r="AE90">
            <v>3467</v>
          </cell>
          <cell r="AH90">
            <v>625</v>
          </cell>
          <cell r="AN90">
            <v>1145</v>
          </cell>
          <cell r="AQ90">
            <v>883</v>
          </cell>
          <cell r="AT90">
            <v>0</v>
          </cell>
          <cell r="AW90">
            <v>139</v>
          </cell>
          <cell r="AZ90">
            <v>779.1562216107219</v>
          </cell>
          <cell r="BC90">
            <v>353</v>
          </cell>
          <cell r="BF90">
            <v>269</v>
          </cell>
          <cell r="BN90">
            <v>0</v>
          </cell>
        </row>
        <row r="91">
          <cell r="B91">
            <v>821</v>
          </cell>
          <cell r="C91" t="str">
            <v>Luton</v>
          </cell>
          <cell r="J91">
            <v>1.023570261471221</v>
          </cell>
          <cell r="X91">
            <v>56135.917695291035</v>
          </cell>
          <cell r="AA91">
            <v>6265.2735704653433</v>
          </cell>
          <cell r="AE91">
            <v>9389.2100084755093</v>
          </cell>
          <cell r="AH91">
            <v>4597.8776145287247</v>
          </cell>
          <cell r="AN91">
            <v>2803.5589461696741</v>
          </cell>
          <cell r="AQ91">
            <v>3705.3243465258201</v>
          </cell>
          <cell r="AT91">
            <v>380.76813726729421</v>
          </cell>
          <cell r="AW91">
            <v>374.62671569846691</v>
          </cell>
          <cell r="AZ91">
            <v>1877.2645271493011</v>
          </cell>
          <cell r="BC91">
            <v>785.07839054842646</v>
          </cell>
          <cell r="BF91">
            <v>689.88635623160292</v>
          </cell>
          <cell r="BN91">
            <v>0</v>
          </cell>
        </row>
        <row r="92">
          <cell r="B92">
            <v>822</v>
          </cell>
          <cell r="C92" t="str">
            <v>Bedford Borough</v>
          </cell>
          <cell r="J92">
            <v>1.023570261471221</v>
          </cell>
          <cell r="X92">
            <v>38844.248836680868</v>
          </cell>
          <cell r="AA92">
            <v>2911.0338236241523</v>
          </cell>
          <cell r="AE92">
            <v>4145.4595589584451</v>
          </cell>
          <cell r="AH92">
            <v>3001.1080066336199</v>
          </cell>
          <cell r="AN92">
            <v>2437.1207925629774</v>
          </cell>
          <cell r="AQ92">
            <v>933.49607846175354</v>
          </cell>
          <cell r="AT92">
            <v>393.05098040494886</v>
          </cell>
          <cell r="AW92">
            <v>197.54906046394564</v>
          </cell>
          <cell r="AZ92">
            <v>1211.4426015201686</v>
          </cell>
          <cell r="BC92">
            <v>425.80522877202793</v>
          </cell>
          <cell r="BF92">
            <v>498.47871733648464</v>
          </cell>
          <cell r="BN92">
            <v>0</v>
          </cell>
        </row>
        <row r="93">
          <cell r="B93">
            <v>823</v>
          </cell>
          <cell r="C93" t="str">
            <v>Central Bedfordshire</v>
          </cell>
          <cell r="J93">
            <v>1.023570261471221</v>
          </cell>
          <cell r="X93">
            <v>61296.417081161577</v>
          </cell>
          <cell r="AA93">
            <v>3154.6435458543033</v>
          </cell>
          <cell r="AE93">
            <v>3934.6040850953736</v>
          </cell>
          <cell r="AH93">
            <v>4140.3417076510887</v>
          </cell>
          <cell r="AN93">
            <v>2730.8854576052177</v>
          </cell>
          <cell r="AQ93">
            <v>0</v>
          </cell>
          <cell r="AT93">
            <v>0</v>
          </cell>
          <cell r="AW93">
            <v>235.42116013838083</v>
          </cell>
          <cell r="AZ93">
            <v>1936.7472906677676</v>
          </cell>
          <cell r="BC93">
            <v>621.3071487130311</v>
          </cell>
          <cell r="BF93">
            <v>799.40837420902358</v>
          </cell>
          <cell r="BN93">
            <v>0</v>
          </cell>
        </row>
        <row r="94">
          <cell r="B94">
            <v>825</v>
          </cell>
          <cell r="C94" t="str">
            <v>Buckinghamshire</v>
          </cell>
          <cell r="J94">
            <v>1.0480374594349251</v>
          </cell>
          <cell r="X94">
            <v>125340.55873966229</v>
          </cell>
          <cell r="AA94">
            <v>5169.9687873924859</v>
          </cell>
          <cell r="AE94">
            <v>6131.0191376943121</v>
          </cell>
          <cell r="AH94">
            <v>6511.4567354691899</v>
          </cell>
          <cell r="AN94">
            <v>1028.1247477056615</v>
          </cell>
          <cell r="AQ94">
            <v>0</v>
          </cell>
          <cell r="AT94">
            <v>0</v>
          </cell>
          <cell r="AW94">
            <v>474.76096912402107</v>
          </cell>
          <cell r="AZ94">
            <v>3030.5618633085801</v>
          </cell>
          <cell r="BC94">
            <v>1037.557084840576</v>
          </cell>
          <cell r="BF94">
            <v>1285.9419627266532</v>
          </cell>
          <cell r="BN94">
            <v>0</v>
          </cell>
        </row>
        <row r="95">
          <cell r="B95">
            <v>826</v>
          </cell>
          <cell r="C95" t="str">
            <v>Milton Keynes</v>
          </cell>
          <cell r="J95">
            <v>1.0431206446350318</v>
          </cell>
          <cell r="X95">
            <v>69496.000908667382</v>
          </cell>
          <cell r="AA95">
            <v>5404.4080598541004</v>
          </cell>
          <cell r="AE95">
            <v>8108.1767707481022</v>
          </cell>
          <cell r="AH95">
            <v>5751.7672345175652</v>
          </cell>
          <cell r="AN95">
            <v>2847.7193598536369</v>
          </cell>
          <cell r="AQ95">
            <v>5074.7819361494303</v>
          </cell>
          <cell r="AT95">
            <v>766.69367380674839</v>
          </cell>
          <cell r="AW95">
            <v>297.28938372098406</v>
          </cell>
          <cell r="AZ95">
            <v>1956.2681640081753</v>
          </cell>
          <cell r="BC95">
            <v>654.03664418616495</v>
          </cell>
          <cell r="BF95">
            <v>800.0735344350694</v>
          </cell>
          <cell r="BN95">
            <v>0</v>
          </cell>
        </row>
        <row r="96">
          <cell r="B96">
            <v>830</v>
          </cell>
          <cell r="C96" t="str">
            <v>Derbyshire</v>
          </cell>
          <cell r="J96">
            <v>1</v>
          </cell>
          <cell r="X96">
            <v>146641.992</v>
          </cell>
          <cell r="AA96">
            <v>13533</v>
          </cell>
          <cell r="AE96">
            <v>15368</v>
          </cell>
          <cell r="AH96">
            <v>7654</v>
          </cell>
          <cell r="AN96">
            <v>8208</v>
          </cell>
          <cell r="AQ96">
            <v>8138</v>
          </cell>
          <cell r="AT96">
            <v>758</v>
          </cell>
          <cell r="AW96">
            <v>670</v>
          </cell>
          <cell r="AZ96">
            <v>4996.0816335371164</v>
          </cell>
          <cell r="BC96">
            <v>1478</v>
          </cell>
          <cell r="BF96">
            <v>2124</v>
          </cell>
          <cell r="BN96">
            <v>0</v>
          </cell>
        </row>
        <row r="97">
          <cell r="B97">
            <v>831</v>
          </cell>
          <cell r="C97" t="str">
            <v>Derby</v>
          </cell>
          <cell r="J97">
            <v>1</v>
          </cell>
          <cell r="X97">
            <v>56681.582999999991</v>
          </cell>
          <cell r="AA97">
            <v>6528</v>
          </cell>
          <cell r="AE97">
            <v>5446</v>
          </cell>
          <cell r="AH97">
            <v>4662</v>
          </cell>
          <cell r="AN97">
            <v>6510</v>
          </cell>
          <cell r="AQ97">
            <v>8173</v>
          </cell>
          <cell r="AT97">
            <v>2849</v>
          </cell>
          <cell r="AW97">
            <v>341</v>
          </cell>
          <cell r="AZ97">
            <v>2082.4354370072397</v>
          </cell>
          <cell r="BC97">
            <v>940</v>
          </cell>
          <cell r="BF97">
            <v>965</v>
          </cell>
          <cell r="BN97">
            <v>0</v>
          </cell>
        </row>
        <row r="98">
          <cell r="B98">
            <v>835</v>
          </cell>
          <cell r="C98" t="str">
            <v>Dorset</v>
          </cell>
          <cell r="J98">
            <v>1</v>
          </cell>
          <cell r="X98">
            <v>76230.134999999995</v>
          </cell>
          <cell r="AA98">
            <v>6495</v>
          </cell>
          <cell r="AE98">
            <v>3666</v>
          </cell>
          <cell r="AH98">
            <v>2503</v>
          </cell>
          <cell r="AN98">
            <v>1847</v>
          </cell>
          <cell r="AQ98">
            <v>401</v>
          </cell>
          <cell r="AT98">
            <v>362</v>
          </cell>
          <cell r="AW98">
            <v>350</v>
          </cell>
          <cell r="AZ98">
            <v>2539.6202080278226</v>
          </cell>
          <cell r="BC98">
            <v>837</v>
          </cell>
          <cell r="BF98">
            <v>849</v>
          </cell>
          <cell r="BN98">
            <v>0</v>
          </cell>
        </row>
        <row r="99">
          <cell r="B99">
            <v>836</v>
          </cell>
          <cell r="C99" t="str">
            <v>Poole</v>
          </cell>
          <cell r="J99">
            <v>1</v>
          </cell>
          <cell r="X99">
            <v>29318.123</v>
          </cell>
          <cell r="AA99">
            <v>2106</v>
          </cell>
          <cell r="AE99">
            <v>4373</v>
          </cell>
          <cell r="AH99">
            <v>1849</v>
          </cell>
          <cell r="AN99">
            <v>781</v>
          </cell>
          <cell r="AQ99">
            <v>934</v>
          </cell>
          <cell r="AT99">
            <v>0</v>
          </cell>
          <cell r="AW99">
            <v>159</v>
          </cell>
          <cell r="AZ99">
            <v>841.35814078173598</v>
          </cell>
          <cell r="BC99">
            <v>332</v>
          </cell>
          <cell r="BF99">
            <v>362</v>
          </cell>
          <cell r="BN99">
            <v>0</v>
          </cell>
        </row>
        <row r="100">
          <cell r="B100">
            <v>837</v>
          </cell>
          <cell r="C100" t="str">
            <v>Bournemouth</v>
          </cell>
          <cell r="J100">
            <v>1</v>
          </cell>
          <cell r="X100">
            <v>34949.259000000005</v>
          </cell>
          <cell r="AA100">
            <v>2709</v>
          </cell>
          <cell r="AE100">
            <v>4232</v>
          </cell>
          <cell r="AH100">
            <v>3378</v>
          </cell>
          <cell r="AN100">
            <v>1308</v>
          </cell>
          <cell r="AQ100">
            <v>1507</v>
          </cell>
          <cell r="AT100">
            <v>0</v>
          </cell>
          <cell r="AW100">
            <v>193</v>
          </cell>
          <cell r="AZ100">
            <v>976.54535666229503</v>
          </cell>
          <cell r="BC100">
            <v>319</v>
          </cell>
          <cell r="BF100">
            <v>457</v>
          </cell>
          <cell r="BN100">
            <v>0</v>
          </cell>
        </row>
        <row r="101">
          <cell r="B101">
            <v>840</v>
          </cell>
          <cell r="C101" t="str">
            <v>Durham</v>
          </cell>
          <cell r="J101">
            <v>1</v>
          </cell>
          <cell r="X101">
            <v>97120.416999999987</v>
          </cell>
          <cell r="AA101">
            <v>13324</v>
          </cell>
          <cell r="AE101">
            <v>12140</v>
          </cell>
          <cell r="AH101">
            <v>13577</v>
          </cell>
          <cell r="AN101">
            <v>6914</v>
          </cell>
          <cell r="AQ101">
            <v>7052</v>
          </cell>
          <cell r="AT101">
            <v>4746</v>
          </cell>
          <cell r="AW101">
            <v>659</v>
          </cell>
          <cell r="AZ101">
            <v>3991.3298742799352</v>
          </cell>
          <cell r="BC101">
            <v>1144</v>
          </cell>
          <cell r="BF101">
            <v>1529</v>
          </cell>
          <cell r="BN101">
            <v>0</v>
          </cell>
        </row>
        <row r="102">
          <cell r="B102">
            <v>841</v>
          </cell>
          <cell r="C102" t="str">
            <v>Darlington</v>
          </cell>
          <cell r="J102">
            <v>1</v>
          </cell>
          <cell r="X102">
            <v>21246.453000000001</v>
          </cell>
          <cell r="AA102">
            <v>2653</v>
          </cell>
          <cell r="AE102">
            <v>3249</v>
          </cell>
          <cell r="AH102">
            <v>2055</v>
          </cell>
          <cell r="AN102">
            <v>1861</v>
          </cell>
          <cell r="AQ102">
            <v>1652</v>
          </cell>
          <cell r="AT102">
            <v>785</v>
          </cell>
          <cell r="AW102">
            <v>133</v>
          </cell>
          <cell r="AZ102">
            <v>783.856029406689</v>
          </cell>
          <cell r="BC102">
            <v>261</v>
          </cell>
          <cell r="BF102">
            <v>355</v>
          </cell>
          <cell r="BN102">
            <v>0</v>
          </cell>
        </row>
        <row r="103">
          <cell r="B103">
            <v>845</v>
          </cell>
          <cell r="C103" t="str">
            <v>East Sussex</v>
          </cell>
          <cell r="J103">
            <v>1.0025438138502634</v>
          </cell>
          <cell r="X103">
            <v>104321.43195353093</v>
          </cell>
          <cell r="AA103">
            <v>8272.9915518923735</v>
          </cell>
          <cell r="AE103">
            <v>12296.199876873479</v>
          </cell>
          <cell r="AH103">
            <v>5975.1611305475699</v>
          </cell>
          <cell r="AN103">
            <v>5315.4873010340962</v>
          </cell>
          <cell r="AQ103">
            <v>3699.3866731074718</v>
          </cell>
          <cell r="AT103">
            <v>1441.6580043166787</v>
          </cell>
          <cell r="AW103">
            <v>611.5517264486607</v>
          </cell>
          <cell r="AZ103">
            <v>3554.3188348605263</v>
          </cell>
          <cell r="BC103">
            <v>1180.9966127156104</v>
          </cell>
          <cell r="BF103">
            <v>1717.3575531255012</v>
          </cell>
          <cell r="BN103">
            <v>0</v>
          </cell>
        </row>
        <row r="104">
          <cell r="B104">
            <v>846</v>
          </cell>
          <cell r="C104" t="str">
            <v>Brighton and Hove</v>
          </cell>
          <cell r="J104">
            <v>1.0025438138502634</v>
          </cell>
          <cell r="X104">
            <v>49494.455215277856</v>
          </cell>
          <cell r="AA104">
            <v>4090.3787605090747</v>
          </cell>
          <cell r="AE104">
            <v>3799.6410544924984</v>
          </cell>
          <cell r="AH104">
            <v>3010.639072992341</v>
          </cell>
          <cell r="AN104">
            <v>2339.9372615265147</v>
          </cell>
          <cell r="AQ104">
            <v>4727.9966261178424</v>
          </cell>
          <cell r="AT104">
            <v>431.09383995561325</v>
          </cell>
          <cell r="AW104">
            <v>256.65121634566742</v>
          </cell>
          <cell r="AZ104">
            <v>1597.6737770901084</v>
          </cell>
          <cell r="BC104">
            <v>502.27445073898195</v>
          </cell>
          <cell r="BF104">
            <v>702.78321350903457</v>
          </cell>
          <cell r="BN104">
            <v>0</v>
          </cell>
        </row>
        <row r="105">
          <cell r="B105">
            <v>850</v>
          </cell>
          <cell r="C105" t="str">
            <v>Hampshire</v>
          </cell>
          <cell r="J105">
            <v>1.0213260495386489</v>
          </cell>
          <cell r="X105">
            <v>280361.86685159261</v>
          </cell>
          <cell r="AA105">
            <v>14869.485955233189</v>
          </cell>
          <cell r="AE105">
            <v>14931.786844255048</v>
          </cell>
          <cell r="AH105">
            <v>10095.807999689545</v>
          </cell>
          <cell r="AN105">
            <v>7069.6189149065276</v>
          </cell>
          <cell r="AQ105">
            <v>2176.4458115668608</v>
          </cell>
          <cell r="AT105">
            <v>0</v>
          </cell>
          <cell r="AW105">
            <v>1175.5462830189849</v>
          </cell>
          <cell r="AZ105">
            <v>8029.1747033491592</v>
          </cell>
          <cell r="BC105">
            <v>2608.4667305217095</v>
          </cell>
          <cell r="BF105">
            <v>3553.1933263449596</v>
          </cell>
          <cell r="BN105">
            <v>0</v>
          </cell>
        </row>
        <row r="106">
          <cell r="B106">
            <v>851</v>
          </cell>
          <cell r="C106" t="str">
            <v>Portsmouth</v>
          </cell>
          <cell r="J106">
            <v>1.0213260495386489</v>
          </cell>
          <cell r="X106">
            <v>43370.578011225152</v>
          </cell>
          <cell r="AA106">
            <v>4840.0641487636576</v>
          </cell>
          <cell r="AE106">
            <v>6607.9795405150589</v>
          </cell>
          <cell r="AH106">
            <v>3281.5205971676792</v>
          </cell>
          <cell r="AN106">
            <v>2686.0875102866466</v>
          </cell>
          <cell r="AQ106">
            <v>3991.34220159704</v>
          </cell>
          <cell r="AT106">
            <v>2001.7990570957518</v>
          </cell>
          <cell r="AW106">
            <v>253.28886028558492</v>
          </cell>
          <cell r="AZ106">
            <v>1436.8554518337419</v>
          </cell>
          <cell r="BC106">
            <v>538.23882810686803</v>
          </cell>
          <cell r="BF106">
            <v>857.91388161246505</v>
          </cell>
          <cell r="BN106">
            <v>0</v>
          </cell>
        </row>
        <row r="107">
          <cell r="B107">
            <v>852</v>
          </cell>
          <cell r="C107" t="str">
            <v>Southampton</v>
          </cell>
          <cell r="J107">
            <v>1.0213260495386489</v>
          </cell>
          <cell r="X107">
            <v>49608.148126723769</v>
          </cell>
          <cell r="AA107">
            <v>5691.8500740788904</v>
          </cell>
          <cell r="AE107">
            <v>6935.8252024169651</v>
          </cell>
          <cell r="AH107">
            <v>5600.9520556699508</v>
          </cell>
          <cell r="AN107">
            <v>3836.1006420671652</v>
          </cell>
          <cell r="AQ107">
            <v>6507.889587660271</v>
          </cell>
          <cell r="AT107">
            <v>1353.2570156387098</v>
          </cell>
          <cell r="AW107">
            <v>298.22720646528546</v>
          </cell>
          <cell r="AZ107">
            <v>1852.3066294732178</v>
          </cell>
          <cell r="BC107">
            <v>573.98523984072074</v>
          </cell>
          <cell r="BF107">
            <v>621.98756416903723</v>
          </cell>
          <cell r="BN107">
            <v>0</v>
          </cell>
        </row>
        <row r="108">
          <cell r="B108">
            <v>855</v>
          </cell>
          <cell r="C108" t="str">
            <v>Leicestershire</v>
          </cell>
          <cell r="J108">
            <v>1</v>
          </cell>
          <cell r="X108">
            <v>133657.41699999996</v>
          </cell>
          <cell r="AA108">
            <v>6717</v>
          </cell>
          <cell r="AE108">
            <v>8927</v>
          </cell>
          <cell r="AH108">
            <v>4056</v>
          </cell>
          <cell r="AN108">
            <v>1653</v>
          </cell>
          <cell r="AQ108">
            <v>1340</v>
          </cell>
          <cell r="AT108">
            <v>762</v>
          </cell>
          <cell r="AW108">
            <v>580</v>
          </cell>
          <cell r="AZ108">
            <v>3994.0368858910097</v>
          </cell>
          <cell r="BC108">
            <v>1390</v>
          </cell>
          <cell r="BF108">
            <v>1729</v>
          </cell>
          <cell r="BN108">
            <v>0</v>
          </cell>
        </row>
        <row r="109">
          <cell r="B109">
            <v>856</v>
          </cell>
          <cell r="C109" t="str">
            <v>Leicester</v>
          </cell>
          <cell r="J109">
            <v>1</v>
          </cell>
          <cell r="X109">
            <v>79790.28300000001</v>
          </cell>
          <cell r="AA109">
            <v>9632</v>
          </cell>
          <cell r="AE109">
            <v>9543</v>
          </cell>
          <cell r="AH109">
            <v>9437</v>
          </cell>
          <cell r="AN109">
            <v>9570</v>
          </cell>
          <cell r="AQ109">
            <v>10577</v>
          </cell>
          <cell r="AT109">
            <v>6511</v>
          </cell>
          <cell r="AW109">
            <v>596</v>
          </cell>
          <cell r="AZ109">
            <v>2385.5491635197354</v>
          </cell>
          <cell r="BC109">
            <v>1162</v>
          </cell>
          <cell r="BF109">
            <v>1444</v>
          </cell>
          <cell r="BN109">
            <v>0</v>
          </cell>
        </row>
        <row r="110">
          <cell r="B110">
            <v>857</v>
          </cell>
          <cell r="C110" t="str">
            <v>Rutland</v>
          </cell>
          <cell r="J110">
            <v>1</v>
          </cell>
          <cell r="X110">
            <v>7748.06</v>
          </cell>
          <cell r="AA110">
            <v>204</v>
          </cell>
          <cell r="AE110">
            <v>0</v>
          </cell>
          <cell r="AH110">
            <v>0</v>
          </cell>
          <cell r="AN110">
            <v>0</v>
          </cell>
          <cell r="AQ110">
            <v>0</v>
          </cell>
          <cell r="AT110">
            <v>0</v>
          </cell>
          <cell r="AW110">
            <v>22</v>
          </cell>
          <cell r="AZ110">
            <v>189.75494756744436</v>
          </cell>
          <cell r="BC110">
            <v>74</v>
          </cell>
          <cell r="BF110">
            <v>54</v>
          </cell>
          <cell r="BN110">
            <v>0</v>
          </cell>
        </row>
        <row r="111">
          <cell r="B111">
            <v>860</v>
          </cell>
          <cell r="C111" t="str">
            <v>Staffordshire</v>
          </cell>
          <cell r="J111">
            <v>1</v>
          </cell>
          <cell r="X111">
            <v>161275.70699999999</v>
          </cell>
          <cell r="AA111">
            <v>11152</v>
          </cell>
          <cell r="AE111">
            <v>16272</v>
          </cell>
          <cell r="AH111">
            <v>12185</v>
          </cell>
          <cell r="AN111">
            <v>4536</v>
          </cell>
          <cell r="AQ111">
            <v>3345</v>
          </cell>
          <cell r="AT111">
            <v>710</v>
          </cell>
          <cell r="AW111">
            <v>823</v>
          </cell>
          <cell r="AZ111">
            <v>5050.7292642251032</v>
          </cell>
          <cell r="BC111">
            <v>1946</v>
          </cell>
          <cell r="BF111">
            <v>2186</v>
          </cell>
          <cell r="BN111">
            <v>0</v>
          </cell>
        </row>
        <row r="112">
          <cell r="B112">
            <v>861</v>
          </cell>
          <cell r="C112" t="str">
            <v>Stoke-on-Trent</v>
          </cell>
          <cell r="J112">
            <v>1</v>
          </cell>
          <cell r="X112">
            <v>53210.02</v>
          </cell>
          <cell r="AA112">
            <v>7582</v>
          </cell>
          <cell r="AE112">
            <v>3907</v>
          </cell>
          <cell r="AH112">
            <v>4767</v>
          </cell>
          <cell r="AN112">
            <v>7632</v>
          </cell>
          <cell r="AQ112">
            <v>5600</v>
          </cell>
          <cell r="AT112">
            <v>5445</v>
          </cell>
          <cell r="AW112">
            <v>361</v>
          </cell>
          <cell r="AZ112">
            <v>2016.5454196125565</v>
          </cell>
          <cell r="BC112">
            <v>819</v>
          </cell>
          <cell r="BF112">
            <v>890</v>
          </cell>
          <cell r="BN112">
            <v>0</v>
          </cell>
        </row>
        <row r="113">
          <cell r="B113">
            <v>865</v>
          </cell>
          <cell r="C113" t="str">
            <v>Wiltshire</v>
          </cell>
          <cell r="J113">
            <v>1.0107827425534024</v>
          </cell>
          <cell r="X113">
            <v>101359.16471479938</v>
          </cell>
          <cell r="AA113">
            <v>5069.0754539053132</v>
          </cell>
          <cell r="AE113">
            <v>4743.6034108031172</v>
          </cell>
          <cell r="AH113">
            <v>2725.0702739239728</v>
          </cell>
          <cell r="AN113">
            <v>261.79273032133119</v>
          </cell>
          <cell r="AQ113">
            <v>544.81189823628392</v>
          </cell>
          <cell r="AT113">
            <v>0</v>
          </cell>
          <cell r="AW113">
            <v>385.10822491284631</v>
          </cell>
          <cell r="AZ113">
            <v>3532.712034456024</v>
          </cell>
          <cell r="BC113">
            <v>1052.2248349980919</v>
          </cell>
          <cell r="BF113">
            <v>1428.2360152279575</v>
          </cell>
          <cell r="BN113">
            <v>0</v>
          </cell>
        </row>
        <row r="114">
          <cell r="B114">
            <v>866</v>
          </cell>
          <cell r="C114" t="str">
            <v>Swindon</v>
          </cell>
          <cell r="J114">
            <v>1.0107827425534024</v>
          </cell>
          <cell r="X114">
            <v>48810.550052840648</v>
          </cell>
          <cell r="AA114">
            <v>4056.2711458668036</v>
          </cell>
          <cell r="AE114">
            <v>2536.0539010664866</v>
          </cell>
          <cell r="AH114">
            <v>2231.8082955579125</v>
          </cell>
          <cell r="AN114">
            <v>3559.976819273083</v>
          </cell>
          <cell r="AQ114">
            <v>1345.3518303385786</v>
          </cell>
          <cell r="AT114">
            <v>892.52116167465431</v>
          </cell>
          <cell r="AW114">
            <v>199.12420028302026</v>
          </cell>
          <cell r="AZ114">
            <v>1709.7102738635342</v>
          </cell>
          <cell r="BC114">
            <v>498.3158920788274</v>
          </cell>
          <cell r="BF114">
            <v>664.08426185758537</v>
          </cell>
          <cell r="BN114">
            <v>0</v>
          </cell>
        </row>
        <row r="115">
          <cell r="B115">
            <v>867</v>
          </cell>
          <cell r="C115" t="str">
            <v>Bracknell Forest</v>
          </cell>
          <cell r="J115">
            <v>1.0744343550114952</v>
          </cell>
          <cell r="X115">
            <v>30161.836023148706</v>
          </cell>
          <cell r="AA115">
            <v>1506.3569657261162</v>
          </cell>
          <cell r="AE115">
            <v>1865.2180402999556</v>
          </cell>
          <cell r="AH115">
            <v>652.18165349197761</v>
          </cell>
          <cell r="AN115">
            <v>0</v>
          </cell>
          <cell r="AQ115">
            <v>0</v>
          </cell>
          <cell r="AT115">
            <v>0</v>
          </cell>
          <cell r="AW115">
            <v>104.22013243611504</v>
          </cell>
          <cell r="AZ115">
            <v>809.08226525004625</v>
          </cell>
          <cell r="BC115">
            <v>228.85451761744847</v>
          </cell>
          <cell r="BF115">
            <v>265.38528568783931</v>
          </cell>
          <cell r="BN115">
            <v>0</v>
          </cell>
        </row>
        <row r="116">
          <cell r="B116">
            <v>868</v>
          </cell>
          <cell r="C116" t="str">
            <v>Windsor and Maidenhead</v>
          </cell>
          <cell r="J116">
            <v>1.0744343550114952</v>
          </cell>
          <cell r="X116">
            <v>36171.234399910754</v>
          </cell>
          <cell r="AA116">
            <v>1188.3243966427137</v>
          </cell>
          <cell r="AE116">
            <v>2320.7782068248298</v>
          </cell>
          <cell r="AH116">
            <v>1151.7936285723229</v>
          </cell>
          <cell r="AN116">
            <v>0</v>
          </cell>
          <cell r="AQ116">
            <v>0</v>
          </cell>
          <cell r="AT116">
            <v>0</v>
          </cell>
          <cell r="AW116">
            <v>108.51786985616101</v>
          </cell>
          <cell r="AZ116">
            <v>698.63487885390668</v>
          </cell>
          <cell r="BC116">
            <v>233.15225503749446</v>
          </cell>
          <cell r="BF116">
            <v>243.89659858760942</v>
          </cell>
          <cell r="BN116">
            <v>0</v>
          </cell>
        </row>
        <row r="117">
          <cell r="B117">
            <v>869</v>
          </cell>
          <cell r="C117" t="str">
            <v>West Berkshire</v>
          </cell>
          <cell r="J117">
            <v>1.0522356053683966</v>
          </cell>
          <cell r="X117">
            <v>36412.521579275686</v>
          </cell>
          <cell r="AA117">
            <v>1609.9204762136467</v>
          </cell>
          <cell r="AE117">
            <v>883.87790850945305</v>
          </cell>
          <cell r="AH117">
            <v>1077.4892598972381</v>
          </cell>
          <cell r="AN117">
            <v>328.29750887493975</v>
          </cell>
          <cell r="AQ117">
            <v>445.09566107083174</v>
          </cell>
          <cell r="AT117">
            <v>0</v>
          </cell>
          <cell r="AW117">
            <v>123.1115658281024</v>
          </cell>
          <cell r="AZ117">
            <v>1058.5684068474902</v>
          </cell>
          <cell r="BC117">
            <v>335.66315811251849</v>
          </cell>
          <cell r="BF117">
            <v>277.79019981725668</v>
          </cell>
          <cell r="BN117">
            <v>0</v>
          </cell>
        </row>
        <row r="118">
          <cell r="B118">
            <v>870</v>
          </cell>
          <cell r="C118" t="str">
            <v>Reading</v>
          </cell>
          <cell r="J118">
            <v>1.0522356053683966</v>
          </cell>
          <cell r="X118">
            <v>37394.595166713727</v>
          </cell>
          <cell r="AA118">
            <v>3434.4970159224463</v>
          </cell>
          <cell r="AE118">
            <v>4749.7915226329424</v>
          </cell>
          <cell r="AH118">
            <v>2190.7545303770016</v>
          </cell>
          <cell r="AN118">
            <v>2262.3065515420526</v>
          </cell>
          <cell r="AQ118">
            <v>2566.4026414935192</v>
          </cell>
          <cell r="AT118">
            <v>0</v>
          </cell>
          <cell r="AW118">
            <v>175.72334609652222</v>
          </cell>
          <cell r="AZ118">
            <v>1264.6168014041759</v>
          </cell>
          <cell r="BC118">
            <v>464.03590196746291</v>
          </cell>
          <cell r="BF118">
            <v>426.15542017420063</v>
          </cell>
          <cell r="BN118">
            <v>0</v>
          </cell>
        </row>
        <row r="119">
          <cell r="B119">
            <v>871</v>
          </cell>
          <cell r="C119" t="str">
            <v>Slough</v>
          </cell>
          <cell r="J119">
            <v>1.0744343550114952</v>
          </cell>
          <cell r="X119">
            <v>43148.990376682726</v>
          </cell>
          <cell r="AA119">
            <v>3467.1996636220952</v>
          </cell>
          <cell r="AE119">
            <v>12250.700515841068</v>
          </cell>
          <cell r="AH119">
            <v>3342.5652784407616</v>
          </cell>
          <cell r="AN119">
            <v>0</v>
          </cell>
          <cell r="AQ119">
            <v>0</v>
          </cell>
          <cell r="AT119">
            <v>0</v>
          </cell>
          <cell r="AW119">
            <v>232.07782068248295</v>
          </cell>
          <cell r="AZ119">
            <v>1155.3483499840777</v>
          </cell>
          <cell r="BC119">
            <v>452.33686345983949</v>
          </cell>
          <cell r="BF119">
            <v>307.28822553328763</v>
          </cell>
          <cell r="BN119">
            <v>0</v>
          </cell>
        </row>
        <row r="120">
          <cell r="B120">
            <v>872</v>
          </cell>
          <cell r="C120" t="str">
            <v>Wokingham</v>
          </cell>
          <cell r="J120">
            <v>1.0522356053683966</v>
          </cell>
          <cell r="X120">
            <v>39504.813688327049</v>
          </cell>
          <cell r="AA120">
            <v>1268.9961400742861</v>
          </cell>
          <cell r="AE120">
            <v>700.78891317535215</v>
          </cell>
          <cell r="AH120">
            <v>763.92304949745585</v>
          </cell>
          <cell r="AN120">
            <v>0</v>
          </cell>
          <cell r="AQ120">
            <v>0</v>
          </cell>
          <cell r="AT120">
            <v>0</v>
          </cell>
          <cell r="AW120">
            <v>93.648968877787297</v>
          </cell>
          <cell r="AZ120">
            <v>891.74595595035271</v>
          </cell>
          <cell r="BC120">
            <v>296.73044071388784</v>
          </cell>
          <cell r="BF120">
            <v>243.06642484009961</v>
          </cell>
          <cell r="BN120">
            <v>0</v>
          </cell>
        </row>
        <row r="121">
          <cell r="B121">
            <v>873</v>
          </cell>
          <cell r="C121" t="str">
            <v>Cambridgeshire</v>
          </cell>
          <cell r="J121">
            <v>1.0193022956972073</v>
          </cell>
          <cell r="X121">
            <v>134444.25833600029</v>
          </cell>
          <cell r="AA121">
            <v>8228.8274331635548</v>
          </cell>
          <cell r="AE121">
            <v>11047.198280766333</v>
          </cell>
          <cell r="AH121">
            <v>7302.2816463747931</v>
          </cell>
          <cell r="AN121">
            <v>1040.7076439068487</v>
          </cell>
          <cell r="AQ121">
            <v>1586.0343721048546</v>
          </cell>
          <cell r="AT121">
            <v>331.27324610159241</v>
          </cell>
          <cell r="AW121">
            <v>537.17230983242825</v>
          </cell>
          <cell r="AZ121">
            <v>3897.5324893571592</v>
          </cell>
          <cell r="BC121">
            <v>1498.3743746748949</v>
          </cell>
          <cell r="BF121">
            <v>1868.381108012981</v>
          </cell>
          <cell r="BN121">
            <v>0</v>
          </cell>
        </row>
        <row r="122">
          <cell r="B122">
            <v>874</v>
          </cell>
          <cell r="C122" t="str">
            <v>Peterborough</v>
          </cell>
          <cell r="J122">
            <v>1.0193022956972073</v>
          </cell>
          <cell r="X122">
            <v>47645.705893807615</v>
          </cell>
          <cell r="AA122">
            <v>5289.1596123728086</v>
          </cell>
          <cell r="AE122">
            <v>5736.6333201838825</v>
          </cell>
          <cell r="AH122">
            <v>7147.3476974288178</v>
          </cell>
          <cell r="AN122">
            <v>4493.0845194332896</v>
          </cell>
          <cell r="AQ122">
            <v>4716.3117221909779</v>
          </cell>
          <cell r="AT122">
            <v>1871.4390149000726</v>
          </cell>
          <cell r="AW122">
            <v>341.46626905856448</v>
          </cell>
          <cell r="AZ122">
            <v>1959.9012512320953</v>
          </cell>
          <cell r="BC122">
            <v>736.95555978908089</v>
          </cell>
          <cell r="BF122">
            <v>762.43811718151107</v>
          </cell>
          <cell r="BN122">
            <v>0</v>
          </cell>
        </row>
        <row r="123">
          <cell r="B123">
            <v>876</v>
          </cell>
          <cell r="C123" t="str">
            <v>Halton</v>
          </cell>
          <cell r="J123">
            <v>1.0054548012657853</v>
          </cell>
          <cell r="X123">
            <v>27003.184890242399</v>
          </cell>
          <cell r="AA123">
            <v>4605.9884445985626</v>
          </cell>
          <cell r="AE123">
            <v>2800.1916215252122</v>
          </cell>
          <cell r="AH123">
            <v>2685.5697741809126</v>
          </cell>
          <cell r="AN123">
            <v>2317.5733169176351</v>
          </cell>
          <cell r="AQ123">
            <v>4733.6812043593172</v>
          </cell>
          <cell r="AT123">
            <v>2388.9606078075058</v>
          </cell>
          <cell r="AW123">
            <v>150.81822018986782</v>
          </cell>
          <cell r="AZ123">
            <v>1035.1415914847335</v>
          </cell>
          <cell r="BC123">
            <v>309.68007878986191</v>
          </cell>
          <cell r="BF123">
            <v>421.28556173036407</v>
          </cell>
          <cell r="BN123">
            <v>0</v>
          </cell>
        </row>
        <row r="124">
          <cell r="B124">
            <v>877</v>
          </cell>
          <cell r="C124" t="str">
            <v>Warrington</v>
          </cell>
          <cell r="J124">
            <v>1.0054548012657853</v>
          </cell>
          <cell r="X124">
            <v>43666.843702594582</v>
          </cell>
          <cell r="AA124">
            <v>3197.3462680251973</v>
          </cell>
          <cell r="AE124">
            <v>5277.6322518441075</v>
          </cell>
          <cell r="AH124">
            <v>2989.21712416318</v>
          </cell>
          <cell r="AN124">
            <v>1257.8239563834975</v>
          </cell>
          <cell r="AQ124">
            <v>2983.1843953555849</v>
          </cell>
          <cell r="AT124">
            <v>454.46557017213496</v>
          </cell>
          <cell r="AW124">
            <v>152.82912979239939</v>
          </cell>
          <cell r="AZ124">
            <v>1268.5962778834571</v>
          </cell>
          <cell r="BC124">
            <v>407.20919451264308</v>
          </cell>
          <cell r="BF124">
            <v>555.01105029871349</v>
          </cell>
          <cell r="BN124">
            <v>0</v>
          </cell>
        </row>
        <row r="125">
          <cell r="B125">
            <v>878</v>
          </cell>
          <cell r="C125" t="str">
            <v>Devon</v>
          </cell>
          <cell r="J125">
            <v>1</v>
          </cell>
          <cell r="X125">
            <v>140829.20300000001</v>
          </cell>
          <cell r="AA125">
            <v>12464</v>
          </cell>
          <cell r="AE125">
            <v>12112</v>
          </cell>
          <cell r="AH125">
            <v>6792</v>
          </cell>
          <cell r="AN125">
            <v>767</v>
          </cell>
          <cell r="AQ125">
            <v>1170</v>
          </cell>
          <cell r="AT125">
            <v>0</v>
          </cell>
          <cell r="AW125">
            <v>696</v>
          </cell>
          <cell r="AZ125">
            <v>4791.0443092363375</v>
          </cell>
          <cell r="BC125">
            <v>1416</v>
          </cell>
          <cell r="BF125">
            <v>1766</v>
          </cell>
          <cell r="BN125">
            <v>0</v>
          </cell>
        </row>
        <row r="126">
          <cell r="B126">
            <v>879</v>
          </cell>
          <cell r="C126" t="str">
            <v>Plymouth</v>
          </cell>
          <cell r="J126">
            <v>1</v>
          </cell>
          <cell r="X126">
            <v>50496.533000000003</v>
          </cell>
          <cell r="AA126">
            <v>6156</v>
          </cell>
          <cell r="AE126">
            <v>4392</v>
          </cell>
          <cell r="AH126">
            <v>4004</v>
          </cell>
          <cell r="AN126">
            <v>2630</v>
          </cell>
          <cell r="AQ126">
            <v>3753</v>
          </cell>
          <cell r="AT126">
            <v>3382</v>
          </cell>
          <cell r="AW126">
            <v>338</v>
          </cell>
          <cell r="AZ126">
            <v>2617.323923784249</v>
          </cell>
          <cell r="BC126">
            <v>609</v>
          </cell>
          <cell r="BF126">
            <v>747</v>
          </cell>
          <cell r="BN126">
            <v>0</v>
          </cell>
        </row>
        <row r="127">
          <cell r="B127">
            <v>880</v>
          </cell>
          <cell r="C127" t="str">
            <v>Torbay</v>
          </cell>
          <cell r="J127">
            <v>1</v>
          </cell>
          <cell r="X127">
            <v>24310.042000000001</v>
          </cell>
          <cell r="AA127">
            <v>3149</v>
          </cell>
          <cell r="AE127">
            <v>3935</v>
          </cell>
          <cell r="AH127">
            <v>3080</v>
          </cell>
          <cell r="AN127">
            <v>815</v>
          </cell>
          <cell r="AQ127">
            <v>3503</v>
          </cell>
          <cell r="AT127">
            <v>0</v>
          </cell>
          <cell r="AW127">
            <v>154</v>
          </cell>
          <cell r="AZ127">
            <v>1143.6493847725162</v>
          </cell>
          <cell r="BC127">
            <v>338</v>
          </cell>
          <cell r="BF127">
            <v>447</v>
          </cell>
          <cell r="BN127">
            <v>0</v>
          </cell>
        </row>
        <row r="128">
          <cell r="B128">
            <v>881</v>
          </cell>
          <cell r="C128" t="str">
            <v>Essex</v>
          </cell>
          <cell r="J128">
            <v>1.0189419796053065</v>
          </cell>
          <cell r="X128">
            <v>303283.7201767888</v>
          </cell>
          <cell r="AA128">
            <v>22396.344711724636</v>
          </cell>
          <cell r="AE128">
            <v>30019.049661151934</v>
          </cell>
          <cell r="AH128">
            <v>22444.234984766088</v>
          </cell>
          <cell r="AN128">
            <v>11485.513994111016</v>
          </cell>
          <cell r="AQ128">
            <v>12203.868089732756</v>
          </cell>
          <cell r="AT128">
            <v>4672.8679184699358</v>
          </cell>
          <cell r="AW128">
            <v>1454.0302048967724</v>
          </cell>
          <cell r="AZ128">
            <v>10379.949637679329</v>
          </cell>
          <cell r="BC128">
            <v>3287.1068262067188</v>
          </cell>
          <cell r="BF128">
            <v>4372.2800344863699</v>
          </cell>
          <cell r="BN128">
            <v>0</v>
          </cell>
        </row>
        <row r="129">
          <cell r="B129">
            <v>882</v>
          </cell>
          <cell r="C129" t="str">
            <v>Southend-on-Sea</v>
          </cell>
          <cell r="J129">
            <v>1.0053237953143217</v>
          </cell>
          <cell r="X129">
            <v>37618.793179344095</v>
          </cell>
          <cell r="AA129">
            <v>3479.4256555828674</v>
          </cell>
          <cell r="AE129">
            <v>3693.5596239848178</v>
          </cell>
          <cell r="AH129">
            <v>5440.8123802411092</v>
          </cell>
          <cell r="AN129">
            <v>3023.0086525101656</v>
          </cell>
          <cell r="AQ129">
            <v>2480.1338030404318</v>
          </cell>
          <cell r="AT129">
            <v>2064.9350755756168</v>
          </cell>
          <cell r="AW129">
            <v>225.19253015040806</v>
          </cell>
          <cell r="AZ129">
            <v>1252.3259369362843</v>
          </cell>
          <cell r="BC129">
            <v>474.51283138835981</v>
          </cell>
          <cell r="BF129">
            <v>710.76392328722545</v>
          </cell>
          <cell r="BN129">
            <v>0</v>
          </cell>
        </row>
        <row r="130">
          <cell r="B130">
            <v>883</v>
          </cell>
          <cell r="C130" t="str">
            <v>Thurrock</v>
          </cell>
          <cell r="J130">
            <v>1.0452520358512145</v>
          </cell>
          <cell r="X130">
            <v>42283.07993056401</v>
          </cell>
          <cell r="AA130">
            <v>3781.7218657096942</v>
          </cell>
          <cell r="AE130">
            <v>6007.0634500369297</v>
          </cell>
          <cell r="AH130">
            <v>7874.9288381030501</v>
          </cell>
          <cell r="AN130">
            <v>722.26915677318925</v>
          </cell>
          <cell r="AQ130">
            <v>2557.7317317279221</v>
          </cell>
          <cell r="AT130">
            <v>458.86564373868316</v>
          </cell>
          <cell r="AW130">
            <v>214.27666734949898</v>
          </cell>
          <cell r="AZ130">
            <v>1478.3388711301884</v>
          </cell>
          <cell r="BC130">
            <v>484.99694463496354</v>
          </cell>
          <cell r="BF130">
            <v>504.85673331613663</v>
          </cell>
          <cell r="BN130">
            <v>0</v>
          </cell>
        </row>
        <row r="131">
          <cell r="B131">
            <v>884</v>
          </cell>
          <cell r="C131" t="str">
            <v>Herefordshire</v>
          </cell>
          <cell r="J131">
            <v>1</v>
          </cell>
          <cell r="X131">
            <v>34872.617999999995</v>
          </cell>
          <cell r="AA131">
            <v>1885</v>
          </cell>
          <cell r="AE131">
            <v>2506</v>
          </cell>
          <cell r="AH131">
            <v>2172</v>
          </cell>
          <cell r="AN131">
            <v>451</v>
          </cell>
          <cell r="AQ131">
            <v>0</v>
          </cell>
          <cell r="AT131">
            <v>0</v>
          </cell>
          <cell r="AW131">
            <v>165</v>
          </cell>
          <cell r="AZ131">
            <v>839.41926591036145</v>
          </cell>
          <cell r="BC131">
            <v>371</v>
          </cell>
          <cell r="BF131">
            <v>429</v>
          </cell>
          <cell r="BN131">
            <v>0</v>
          </cell>
        </row>
        <row r="132">
          <cell r="B132">
            <v>885</v>
          </cell>
          <cell r="C132" t="str">
            <v>Worcestershire</v>
          </cell>
          <cell r="J132">
            <v>1</v>
          </cell>
          <cell r="X132">
            <v>110632.47999999998</v>
          </cell>
          <cell r="AA132">
            <v>8531</v>
          </cell>
          <cell r="AE132">
            <v>8646</v>
          </cell>
          <cell r="AH132">
            <v>4726</v>
          </cell>
          <cell r="AN132">
            <v>4269</v>
          </cell>
          <cell r="AQ132">
            <v>4442</v>
          </cell>
          <cell r="AT132">
            <v>1677</v>
          </cell>
          <cell r="AW132">
            <v>537</v>
          </cell>
          <cell r="AZ132">
            <v>3925.9221928392249</v>
          </cell>
          <cell r="BC132">
            <v>1428</v>
          </cell>
          <cell r="BF132">
            <v>1534</v>
          </cell>
          <cell r="BN132">
            <v>0</v>
          </cell>
        </row>
        <row r="133">
          <cell r="B133">
            <v>886</v>
          </cell>
          <cell r="C133" t="str">
            <v>Kent</v>
          </cell>
          <cell r="J133">
            <v>1.0077014294588473</v>
          </cell>
          <cell r="X133">
            <v>327898.46823886078</v>
          </cell>
          <cell r="AA133">
            <v>25748.786925532466</v>
          </cell>
          <cell r="AE133">
            <v>35500.313658405736</v>
          </cell>
          <cell r="AH133">
            <v>21856.036303532939</v>
          </cell>
          <cell r="AN133">
            <v>15899.513154001694</v>
          </cell>
          <cell r="AQ133">
            <v>17189.370983709017</v>
          </cell>
          <cell r="AT133">
            <v>5047.5764601593664</v>
          </cell>
          <cell r="AW133">
            <v>1739.2926672459705</v>
          </cell>
          <cell r="AZ133">
            <v>12998.925024166363</v>
          </cell>
          <cell r="BC133">
            <v>3985.4591535097411</v>
          </cell>
          <cell r="BF133">
            <v>4929.6753929126808</v>
          </cell>
          <cell r="BN133">
            <v>0</v>
          </cell>
        </row>
        <row r="134">
          <cell r="B134">
            <v>887</v>
          </cell>
          <cell r="C134" t="str">
            <v>Medway</v>
          </cell>
          <cell r="J134">
            <v>1.0010615758871764</v>
          </cell>
          <cell r="X134">
            <v>62058.860327052513</v>
          </cell>
          <cell r="AA134">
            <v>5360.6847388758297</v>
          </cell>
          <cell r="AE134">
            <v>7636.0977008673817</v>
          </cell>
          <cell r="AH134">
            <v>9005.5499366810382</v>
          </cell>
          <cell r="AN134">
            <v>2802.9724124840936</v>
          </cell>
          <cell r="AQ134">
            <v>3716.941631269086</v>
          </cell>
          <cell r="AT134">
            <v>1481.5711323130211</v>
          </cell>
          <cell r="AW134">
            <v>342.36305895341434</v>
          </cell>
          <cell r="AZ134">
            <v>2874.9235277155672</v>
          </cell>
          <cell r="BC134">
            <v>919.97558824031512</v>
          </cell>
          <cell r="BF134">
            <v>906.96178775378178</v>
          </cell>
          <cell r="BN134">
            <v>0</v>
          </cell>
        </row>
        <row r="135">
          <cell r="B135">
            <v>888</v>
          </cell>
          <cell r="C135" t="str">
            <v>Lancashire</v>
          </cell>
          <cell r="J135">
            <v>1</v>
          </cell>
          <cell r="X135">
            <v>236095.19799999997</v>
          </cell>
          <cell r="AA135">
            <v>22512</v>
          </cell>
          <cell r="AE135">
            <v>21791</v>
          </cell>
          <cell r="AH135">
            <v>22028</v>
          </cell>
          <cell r="AN135">
            <v>10946</v>
          </cell>
          <cell r="AQ135">
            <v>14128</v>
          </cell>
          <cell r="AT135">
            <v>3657</v>
          </cell>
          <cell r="AW135">
            <v>1279</v>
          </cell>
          <cell r="AZ135">
            <v>7891.415316616477</v>
          </cell>
          <cell r="BC135">
            <v>2550</v>
          </cell>
          <cell r="BF135">
            <v>3562</v>
          </cell>
          <cell r="BN135">
            <v>0</v>
          </cell>
        </row>
        <row r="136">
          <cell r="B136">
            <v>889</v>
          </cell>
          <cell r="C136" t="str">
            <v>Blackburn with Darwen</v>
          </cell>
          <cell r="J136">
            <v>1</v>
          </cell>
          <cell r="X136">
            <v>35388.297999999995</v>
          </cell>
          <cell r="AA136">
            <v>4060</v>
          </cell>
          <cell r="AE136">
            <v>6398</v>
          </cell>
          <cell r="AH136">
            <v>4132</v>
          </cell>
          <cell r="AN136">
            <v>1873</v>
          </cell>
          <cell r="AQ136">
            <v>3105</v>
          </cell>
          <cell r="AT136">
            <v>2232</v>
          </cell>
          <cell r="AW136">
            <v>250</v>
          </cell>
          <cell r="AZ136">
            <v>1142.660187473535</v>
          </cell>
          <cell r="BC136">
            <v>482</v>
          </cell>
          <cell r="BF136">
            <v>481</v>
          </cell>
          <cell r="BN136">
            <v>0</v>
          </cell>
        </row>
        <row r="137">
          <cell r="B137">
            <v>890</v>
          </cell>
          <cell r="C137" t="str">
            <v>Blackpool</v>
          </cell>
          <cell r="J137">
            <v>1</v>
          </cell>
          <cell r="X137">
            <v>27186.863000000005</v>
          </cell>
          <cell r="AA137">
            <v>4867</v>
          </cell>
          <cell r="AE137">
            <v>3751</v>
          </cell>
          <cell r="AH137">
            <v>1904</v>
          </cell>
          <cell r="AN137">
            <v>2727</v>
          </cell>
          <cell r="AQ137">
            <v>2989</v>
          </cell>
          <cell r="AT137">
            <v>5361</v>
          </cell>
          <cell r="AW137">
            <v>187</v>
          </cell>
          <cell r="AZ137">
            <v>1077.506528219885</v>
          </cell>
          <cell r="BC137">
            <v>334</v>
          </cell>
          <cell r="BF137">
            <v>565</v>
          </cell>
          <cell r="BN137">
            <v>0</v>
          </cell>
        </row>
        <row r="138">
          <cell r="B138">
            <v>891</v>
          </cell>
          <cell r="C138" t="str">
            <v>Nottinghamshire</v>
          </cell>
          <cell r="J138">
            <v>1.0041582963367661</v>
          </cell>
          <cell r="X138">
            <v>159612.40417820078</v>
          </cell>
          <cell r="AA138">
            <v>13064.099435341328</v>
          </cell>
          <cell r="AE138">
            <v>15795.410001377331</v>
          </cell>
          <cell r="AH138">
            <v>12058.936980708224</v>
          </cell>
          <cell r="AN138">
            <v>9252.3145424469622</v>
          </cell>
          <cell r="AQ138">
            <v>6849.3637393130821</v>
          </cell>
          <cell r="AT138">
            <v>2093.6700478621574</v>
          </cell>
          <cell r="AW138">
            <v>819.39316981080117</v>
          </cell>
          <cell r="AZ138">
            <v>6203.3799671054203</v>
          </cell>
          <cell r="BC138">
            <v>1713.0940535505231</v>
          </cell>
          <cell r="BF138">
            <v>1815.5181997768732</v>
          </cell>
          <cell r="BN138">
            <v>0</v>
          </cell>
        </row>
        <row r="139">
          <cell r="B139">
            <v>892</v>
          </cell>
          <cell r="C139" t="str">
            <v>Nottingham</v>
          </cell>
          <cell r="J139">
            <v>1.0041582963367661</v>
          </cell>
          <cell r="X139">
            <v>65065.36264508999</v>
          </cell>
          <cell r="AA139">
            <v>10694.28585598656</v>
          </cell>
          <cell r="AE139">
            <v>4773.7685407849858</v>
          </cell>
          <cell r="AH139">
            <v>4911.338227383123</v>
          </cell>
          <cell r="AN139">
            <v>10314.714019971261</v>
          </cell>
          <cell r="AQ139">
            <v>14554.270347105088</v>
          </cell>
          <cell r="AT139">
            <v>9088.6367401440693</v>
          </cell>
          <cell r="AW139">
            <v>529.1914221694758</v>
          </cell>
          <cell r="AZ139">
            <v>2690.0019106467516</v>
          </cell>
          <cell r="BC139">
            <v>949.93374833458074</v>
          </cell>
          <cell r="BF139">
            <v>1427.9130973908814</v>
          </cell>
          <cell r="BN139">
            <v>0</v>
          </cell>
        </row>
        <row r="140">
          <cell r="B140">
            <v>893</v>
          </cell>
          <cell r="C140" t="str">
            <v>Shropshire</v>
          </cell>
          <cell r="J140">
            <v>1</v>
          </cell>
          <cell r="X140">
            <v>56749.856999999989</v>
          </cell>
          <cell r="AA140">
            <v>3228</v>
          </cell>
          <cell r="AE140">
            <v>3724</v>
          </cell>
          <cell r="AH140">
            <v>2555</v>
          </cell>
          <cell r="AN140">
            <v>882</v>
          </cell>
          <cell r="AQ140">
            <v>247</v>
          </cell>
          <cell r="AT140">
            <v>463</v>
          </cell>
          <cell r="AW140">
            <v>266</v>
          </cell>
          <cell r="AZ140">
            <v>1597.4149713623688</v>
          </cell>
          <cell r="BC140">
            <v>560</v>
          </cell>
          <cell r="BF140">
            <v>598</v>
          </cell>
          <cell r="BN140">
            <v>0</v>
          </cell>
        </row>
        <row r="141">
          <cell r="B141">
            <v>894</v>
          </cell>
          <cell r="C141" t="str">
            <v>Telford and Wrekin</v>
          </cell>
          <cell r="J141">
            <v>1</v>
          </cell>
          <cell r="X141">
            <v>37299.690999999999</v>
          </cell>
          <cell r="AA141">
            <v>4277</v>
          </cell>
          <cell r="AE141">
            <v>4772</v>
          </cell>
          <cell r="AH141">
            <v>2932</v>
          </cell>
          <cell r="AN141">
            <v>2677</v>
          </cell>
          <cell r="AQ141">
            <v>1342</v>
          </cell>
          <cell r="AT141">
            <v>3821</v>
          </cell>
          <cell r="AW141">
            <v>248</v>
          </cell>
          <cell r="AZ141">
            <v>1547.4938991855104</v>
          </cell>
          <cell r="BC141">
            <v>457</v>
          </cell>
          <cell r="BF141">
            <v>658</v>
          </cell>
          <cell r="BN141">
            <v>0</v>
          </cell>
        </row>
        <row r="142">
          <cell r="B142">
            <v>895</v>
          </cell>
          <cell r="C142" t="str">
            <v>Cheshire East</v>
          </cell>
          <cell r="J142">
            <v>1.0054548012657853</v>
          </cell>
          <cell r="X142">
            <v>72567.344928285951</v>
          </cell>
          <cell r="AA142">
            <v>4320.43928103908</v>
          </cell>
          <cell r="AE142">
            <v>4280.2210889884482</v>
          </cell>
          <cell r="AH142">
            <v>5023.2521871238632</v>
          </cell>
          <cell r="AN142">
            <v>2635.2970341176233</v>
          </cell>
          <cell r="AQ142">
            <v>874.74567710123324</v>
          </cell>
          <cell r="AT142">
            <v>419.2746521278325</v>
          </cell>
          <cell r="AW142">
            <v>271.47279634176203</v>
          </cell>
          <cell r="AZ142">
            <v>2031.5537179327728</v>
          </cell>
          <cell r="BC142">
            <v>648.51834681643152</v>
          </cell>
          <cell r="BF142">
            <v>807.38020541642561</v>
          </cell>
          <cell r="BN142">
            <v>0</v>
          </cell>
        </row>
        <row r="143">
          <cell r="B143">
            <v>896</v>
          </cell>
          <cell r="C143" t="str">
            <v>Cheshire West and Chester</v>
          </cell>
          <cell r="J143">
            <v>1.0054548012657853</v>
          </cell>
          <cell r="X143">
            <v>63717.180949324313</v>
          </cell>
          <cell r="AA143">
            <v>5226.3540569795523</v>
          </cell>
          <cell r="AE143">
            <v>4168.6156060479461</v>
          </cell>
          <cell r="AH143">
            <v>2435.2115286657322</v>
          </cell>
          <cell r="AN143">
            <v>3765.428230740366</v>
          </cell>
          <cell r="AQ143">
            <v>3656.8391122036614</v>
          </cell>
          <cell r="AT143">
            <v>1386.5221709455179</v>
          </cell>
          <cell r="AW143">
            <v>303.6473499822672</v>
          </cell>
          <cell r="AZ143">
            <v>2393.9363762738885</v>
          </cell>
          <cell r="BC143">
            <v>658.57289482908936</v>
          </cell>
          <cell r="BF143">
            <v>810.39656982022302</v>
          </cell>
          <cell r="BN143">
            <v>0</v>
          </cell>
        </row>
        <row r="144">
          <cell r="B144">
            <v>908</v>
          </cell>
          <cell r="C144" t="str">
            <v>Cornwall</v>
          </cell>
          <cell r="J144">
            <v>1</v>
          </cell>
          <cell r="X144">
            <v>104452.81200000002</v>
          </cell>
          <cell r="AA144">
            <v>8014</v>
          </cell>
          <cell r="AE144">
            <v>11572</v>
          </cell>
          <cell r="AH144">
            <v>6317</v>
          </cell>
          <cell r="AN144">
            <v>3993</v>
          </cell>
          <cell r="AQ144">
            <v>3589</v>
          </cell>
          <cell r="AT144">
            <v>0</v>
          </cell>
          <cell r="AW144">
            <v>574</v>
          </cell>
          <cell r="AZ144">
            <v>3500.1194167921158</v>
          </cell>
          <cell r="BC144">
            <v>1187</v>
          </cell>
          <cell r="BF144">
            <v>1244</v>
          </cell>
          <cell r="BN144">
            <v>0</v>
          </cell>
        </row>
        <row r="145">
          <cell r="B145">
            <v>909</v>
          </cell>
          <cell r="C145" t="str">
            <v>Cumbria</v>
          </cell>
          <cell r="J145">
            <v>1</v>
          </cell>
          <cell r="X145">
            <v>86965.558000000005</v>
          </cell>
          <cell r="AA145">
            <v>6401</v>
          </cell>
          <cell r="AE145">
            <v>7851</v>
          </cell>
          <cell r="AH145">
            <v>5059</v>
          </cell>
          <cell r="AN145">
            <v>1596</v>
          </cell>
          <cell r="AQ145">
            <v>4732</v>
          </cell>
          <cell r="AT145">
            <v>2098</v>
          </cell>
          <cell r="AW145">
            <v>445</v>
          </cell>
          <cell r="AZ145">
            <v>2494.2609886106984</v>
          </cell>
          <cell r="BC145">
            <v>963</v>
          </cell>
          <cell r="BF145">
            <v>1374</v>
          </cell>
          <cell r="BN145">
            <v>0</v>
          </cell>
        </row>
        <row r="146">
          <cell r="B146">
            <v>916</v>
          </cell>
          <cell r="C146" t="str">
            <v>Gloucestershire</v>
          </cell>
          <cell r="J146">
            <v>1.0094696081392127</v>
          </cell>
          <cell r="X146">
            <v>123551.80882665221</v>
          </cell>
          <cell r="AA146">
            <v>8739.987867269303</v>
          </cell>
          <cell r="AE146">
            <v>9651.5389234190134</v>
          </cell>
          <cell r="AH146">
            <v>8506.800387789146</v>
          </cell>
          <cell r="AN146">
            <v>4039.8973717731292</v>
          </cell>
          <cell r="AQ146">
            <v>4499.2060434764708</v>
          </cell>
          <cell r="AT146">
            <v>716.72342177884104</v>
          </cell>
          <cell r="AW146">
            <v>552.17987565214935</v>
          </cell>
          <cell r="AZ146">
            <v>3090.5448588973622</v>
          </cell>
          <cell r="BC146">
            <v>1135.6533091566143</v>
          </cell>
          <cell r="BF146">
            <v>1568.7157710483366</v>
          </cell>
          <cell r="BN146">
            <v>0</v>
          </cell>
        </row>
        <row r="147">
          <cell r="B147">
            <v>919</v>
          </cell>
          <cell r="C147" t="str">
            <v>Hertfordshire</v>
          </cell>
          <cell r="J147">
            <v>1.0525261171555516</v>
          </cell>
          <cell r="X147">
            <v>279366.55624383729</v>
          </cell>
          <cell r="AA147">
            <v>14861.668774236388</v>
          </cell>
          <cell r="AE147">
            <v>24675.42229059475</v>
          </cell>
          <cell r="AH147">
            <v>19628.55955883388</v>
          </cell>
          <cell r="AN147">
            <v>3795.409178462919</v>
          </cell>
          <cell r="AQ147">
            <v>2165.0462229889695</v>
          </cell>
          <cell r="AT147">
            <v>0</v>
          </cell>
          <cell r="AW147">
            <v>1171.4615683941288</v>
          </cell>
          <cell r="AZ147">
            <v>7521.727415114995</v>
          </cell>
          <cell r="BC147">
            <v>2187.149271449236</v>
          </cell>
          <cell r="BF147">
            <v>2656.5759197006123</v>
          </cell>
          <cell r="BN147">
            <v>0</v>
          </cell>
        </row>
        <row r="148">
          <cell r="B148">
            <v>921</v>
          </cell>
          <cell r="C148" t="str">
            <v>Isle of Wight</v>
          </cell>
          <cell r="J148">
            <v>1.0213260495386489</v>
          </cell>
          <cell r="X148">
            <v>24791.018963133658</v>
          </cell>
          <cell r="AA148">
            <v>2300.0262635610375</v>
          </cell>
          <cell r="AE148">
            <v>6099.3591678448111</v>
          </cell>
          <cell r="AH148">
            <v>1778.1286522467879</v>
          </cell>
          <cell r="AN148">
            <v>561.72932724625696</v>
          </cell>
          <cell r="AQ148">
            <v>1738.2969363147804</v>
          </cell>
          <cell r="AT148">
            <v>0</v>
          </cell>
          <cell r="AW148">
            <v>139.9216687867949</v>
          </cell>
          <cell r="AZ148">
            <v>1035.8175889765807</v>
          </cell>
          <cell r="BC148">
            <v>329.8883140009836</v>
          </cell>
          <cell r="BF148">
            <v>638.32878096165553</v>
          </cell>
          <cell r="BN148">
            <v>0</v>
          </cell>
        </row>
        <row r="149">
          <cell r="B149">
            <v>925</v>
          </cell>
          <cell r="C149" t="str">
            <v>Lincolnshire</v>
          </cell>
          <cell r="J149">
            <v>1</v>
          </cell>
          <cell r="X149">
            <v>139512.13399999999</v>
          </cell>
          <cell r="AA149">
            <v>13124</v>
          </cell>
          <cell r="AE149">
            <v>13377</v>
          </cell>
          <cell r="AH149">
            <v>10256</v>
          </cell>
          <cell r="AN149">
            <v>5838</v>
          </cell>
          <cell r="AQ149">
            <v>5725</v>
          </cell>
          <cell r="AT149">
            <v>2235</v>
          </cell>
          <cell r="AW149">
            <v>722</v>
          </cell>
          <cell r="AZ149">
            <v>5469.4350630201152</v>
          </cell>
          <cell r="BC149">
            <v>1588</v>
          </cell>
          <cell r="BF149">
            <v>2084</v>
          </cell>
          <cell r="BN149">
            <v>0</v>
          </cell>
        </row>
        <row r="150">
          <cell r="B150">
            <v>926</v>
          </cell>
          <cell r="C150" t="str">
            <v>Norfolk</v>
          </cell>
          <cell r="J150">
            <v>1</v>
          </cell>
          <cell r="X150">
            <v>164205.10400000002</v>
          </cell>
          <cell r="AA150">
            <v>14146</v>
          </cell>
          <cell r="AE150">
            <v>12852</v>
          </cell>
          <cell r="AH150">
            <v>9939</v>
          </cell>
          <cell r="AN150">
            <v>6367</v>
          </cell>
          <cell r="AQ150">
            <v>8838</v>
          </cell>
          <cell r="AT150">
            <v>3037</v>
          </cell>
          <cell r="AW150">
            <v>911</v>
          </cell>
          <cell r="AZ150">
            <v>6199.1466777571195</v>
          </cell>
          <cell r="BC150">
            <v>2140</v>
          </cell>
          <cell r="BF150">
            <v>1802</v>
          </cell>
          <cell r="BN150">
            <v>0</v>
          </cell>
        </row>
        <row r="151">
          <cell r="B151">
            <v>928</v>
          </cell>
          <cell r="C151" t="str">
            <v>Northamptonshire</v>
          </cell>
          <cell r="J151">
            <v>1.004938767636737</v>
          </cell>
          <cell r="X151">
            <v>160517.1036772012</v>
          </cell>
          <cell r="AA151">
            <v>12196.941822807077</v>
          </cell>
          <cell r="AE151">
            <v>11517.603215884643</v>
          </cell>
          <cell r="AH151">
            <v>10867.407833223673</v>
          </cell>
          <cell r="AN151">
            <v>8168.1423033513984</v>
          </cell>
          <cell r="AQ151">
            <v>6212.5314615303078</v>
          </cell>
          <cell r="AT151">
            <v>2172.6776156306255</v>
          </cell>
          <cell r="AW151">
            <v>752.69913695991602</v>
          </cell>
          <cell r="AZ151">
            <v>5336.0403480820032</v>
          </cell>
          <cell r="BC151">
            <v>1954.6059030534534</v>
          </cell>
          <cell r="BF151">
            <v>2283.2208800706662</v>
          </cell>
          <cell r="BN151">
            <v>0</v>
          </cell>
        </row>
        <row r="152">
          <cell r="B152">
            <v>929</v>
          </cell>
          <cell r="C152" t="str">
            <v>Northumberland</v>
          </cell>
          <cell r="J152">
            <v>1</v>
          </cell>
          <cell r="X152">
            <v>55852.86</v>
          </cell>
          <cell r="AA152">
            <v>5321</v>
          </cell>
          <cell r="AE152">
            <v>5024</v>
          </cell>
          <cell r="AH152">
            <v>3870</v>
          </cell>
          <cell r="AN152">
            <v>5074</v>
          </cell>
          <cell r="AQ152">
            <v>5705</v>
          </cell>
          <cell r="AT152">
            <v>1232</v>
          </cell>
          <cell r="AW152">
            <v>296</v>
          </cell>
          <cell r="AZ152">
            <v>2211.2676148259725</v>
          </cell>
          <cell r="BC152">
            <v>620</v>
          </cell>
          <cell r="BF152">
            <v>1111</v>
          </cell>
          <cell r="BN152">
            <v>0</v>
          </cell>
        </row>
        <row r="153">
          <cell r="B153">
            <v>931</v>
          </cell>
          <cell r="C153" t="str">
            <v>Oxfordshire</v>
          </cell>
          <cell r="J153">
            <v>1.0333689168320959</v>
          </cell>
          <cell r="X153">
            <v>144147.29630071446</v>
          </cell>
          <cell r="AA153">
            <v>7870.1376705932416</v>
          </cell>
          <cell r="AE153">
            <v>11065.314361438082</v>
          </cell>
          <cell r="AH153">
            <v>6397.5869641075051</v>
          </cell>
          <cell r="AN153">
            <v>3172.4425746745342</v>
          </cell>
          <cell r="AQ153">
            <v>2030.5699215750683</v>
          </cell>
          <cell r="AT153">
            <v>0</v>
          </cell>
          <cell r="AW153">
            <v>521.85130300020842</v>
          </cell>
          <cell r="AZ153">
            <v>3709.4770672951458</v>
          </cell>
          <cell r="BC153">
            <v>1369.2138148025269</v>
          </cell>
          <cell r="BF153">
            <v>1693.6916546878051</v>
          </cell>
          <cell r="BN153">
            <v>0</v>
          </cell>
        </row>
        <row r="154">
          <cell r="B154">
            <v>933</v>
          </cell>
          <cell r="C154" t="str">
            <v>Somerset</v>
          </cell>
          <cell r="J154">
            <v>1</v>
          </cell>
          <cell r="X154">
            <v>107036.459</v>
          </cell>
          <cell r="AA154">
            <v>7353</v>
          </cell>
          <cell r="AE154">
            <v>9541</v>
          </cell>
          <cell r="AH154">
            <v>8367</v>
          </cell>
          <cell r="AN154">
            <v>1860</v>
          </cell>
          <cell r="AQ154">
            <v>3316</v>
          </cell>
          <cell r="AT154">
            <v>461</v>
          </cell>
          <cell r="AW154">
            <v>502</v>
          </cell>
          <cell r="AZ154">
            <v>3008.2976623664836</v>
          </cell>
          <cell r="BC154">
            <v>1129</v>
          </cell>
          <cell r="BF154">
            <v>1339</v>
          </cell>
          <cell r="BN154">
            <v>0</v>
          </cell>
        </row>
        <row r="155">
          <cell r="B155">
            <v>935</v>
          </cell>
          <cell r="C155" t="str">
            <v>Suffolk</v>
          </cell>
          <cell r="J155">
            <v>1.0000359327175439</v>
          </cell>
          <cell r="X155">
            <v>145623.28645240367</v>
          </cell>
          <cell r="AA155">
            <v>12238.439744597303</v>
          </cell>
          <cell r="AE155">
            <v>11959.429719369107</v>
          </cell>
          <cell r="AH155">
            <v>7170.2576375847893</v>
          </cell>
          <cell r="AN155">
            <v>4897.175962517812</v>
          </cell>
          <cell r="AQ155">
            <v>4200.1509174136845</v>
          </cell>
          <cell r="AT155">
            <v>787.02827904870708</v>
          </cell>
          <cell r="AW155">
            <v>731.02626681652453</v>
          </cell>
          <cell r="AZ155">
            <v>4842.0822971736416</v>
          </cell>
          <cell r="BC155">
            <v>1839.0660802675632</v>
          </cell>
          <cell r="BF155">
            <v>2033.0730512147668</v>
          </cell>
          <cell r="BN155">
            <v>0</v>
          </cell>
        </row>
        <row r="156">
          <cell r="B156">
            <v>936</v>
          </cell>
          <cell r="C156" t="str">
            <v>Surrey</v>
          </cell>
          <cell r="J156">
            <v>1.0744343550114952</v>
          </cell>
          <cell r="X156">
            <v>275517.88714471622</v>
          </cell>
          <cell r="AA156">
            <v>11382.55755699178</v>
          </cell>
          <cell r="AE156">
            <v>12942.636240468471</v>
          </cell>
          <cell r="AH156">
            <v>9749.417337374307</v>
          </cell>
          <cell r="AN156">
            <v>1719.0949680183924</v>
          </cell>
          <cell r="AQ156">
            <v>737.06196753788572</v>
          </cell>
          <cell r="AT156">
            <v>0</v>
          </cell>
          <cell r="AW156">
            <v>1037.9035869411043</v>
          </cell>
          <cell r="AZ156">
            <v>7567.7944501502197</v>
          </cell>
          <cell r="BC156">
            <v>2111.2635075975882</v>
          </cell>
          <cell r="BF156">
            <v>2543.1861183122091</v>
          </cell>
          <cell r="BN156">
            <v>0</v>
          </cell>
        </row>
        <row r="157">
          <cell r="B157">
            <v>937</v>
          </cell>
          <cell r="C157" t="str">
            <v>Warwickshire</v>
          </cell>
          <cell r="J157">
            <v>1.0105351699887246</v>
          </cell>
          <cell r="X157">
            <v>110374.58224797978</v>
          </cell>
          <cell r="AA157">
            <v>6723.0904859349848</v>
          </cell>
          <cell r="AE157">
            <v>12483.140954870714</v>
          </cell>
          <cell r="AH157">
            <v>5861.1039859346029</v>
          </cell>
          <cell r="AN157">
            <v>0</v>
          </cell>
          <cell r="AQ157">
            <v>1619.8878774919256</v>
          </cell>
          <cell r="AT157">
            <v>1492.5604460733462</v>
          </cell>
          <cell r="AW157">
            <v>460.80403751485841</v>
          </cell>
          <cell r="AZ157">
            <v>3562.159522575444</v>
          </cell>
          <cell r="BC157">
            <v>1091.3779835878227</v>
          </cell>
          <cell r="BF157">
            <v>1191.4209654167064</v>
          </cell>
          <cell r="BN157">
            <v>0</v>
          </cell>
        </row>
        <row r="158">
          <cell r="B158">
            <v>938</v>
          </cell>
          <cell r="C158" t="str">
            <v>West Sussex</v>
          </cell>
          <cell r="J158">
            <v>1.0111639788232589</v>
          </cell>
          <cell r="X158">
            <v>170356.77250263325</v>
          </cell>
          <cell r="AA158">
            <v>8862.8522743858648</v>
          </cell>
          <cell r="AE158">
            <v>15057.242808657149</v>
          </cell>
          <cell r="AH158">
            <v>12800.324807923635</v>
          </cell>
          <cell r="AN158">
            <v>1043.5212261456031</v>
          </cell>
          <cell r="AQ158">
            <v>1900.9882801877268</v>
          </cell>
          <cell r="AT158">
            <v>0</v>
          </cell>
          <cell r="AW158">
            <v>752.30600024450462</v>
          </cell>
          <cell r="AZ158">
            <v>4668.1380533209231</v>
          </cell>
          <cell r="BC158">
            <v>1771.5592908983497</v>
          </cell>
          <cell r="BF158">
            <v>2299.3868878440908</v>
          </cell>
          <cell r="BN158">
            <v>0</v>
          </cell>
        </row>
      </sheetData>
      <sheetData sheetId="25">
        <row r="8">
          <cell r="B8">
            <v>9999</v>
          </cell>
          <cell r="C8" t="str">
            <v>ESFA</v>
          </cell>
          <cell r="J8">
            <v>1</v>
          </cell>
          <cell r="X8">
            <v>0</v>
          </cell>
          <cell r="AA8">
            <v>0</v>
          </cell>
          <cell r="AE8">
            <v>0</v>
          </cell>
          <cell r="AH8">
            <v>0</v>
          </cell>
          <cell r="AN8">
            <v>0</v>
          </cell>
          <cell r="AQ8">
            <v>0</v>
          </cell>
          <cell r="AT8">
            <v>0</v>
          </cell>
          <cell r="AW8">
            <v>0</v>
          </cell>
          <cell r="AZ8">
            <v>0</v>
          </cell>
          <cell r="BC8">
            <v>0</v>
          </cell>
          <cell r="BF8">
            <v>0</v>
          </cell>
          <cell r="BN8">
            <v>0</v>
          </cell>
        </row>
        <row r="9">
          <cell r="B9">
            <v>202</v>
          </cell>
          <cell r="C9" t="str">
            <v>Camden</v>
          </cell>
          <cell r="J9">
            <v>1.205632878027378</v>
          </cell>
          <cell r="X9">
            <v>56739.121965165155</v>
          </cell>
          <cell r="AA9">
            <v>6936.0059472915054</v>
          </cell>
          <cell r="AE9">
            <v>4869.5511943525798</v>
          </cell>
          <cell r="AH9">
            <v>5190.2495399078625</v>
          </cell>
          <cell r="AN9">
            <v>5984.7616065279044</v>
          </cell>
          <cell r="AQ9">
            <v>9933.2092820675662</v>
          </cell>
          <cell r="AT9">
            <v>3637.3943930085993</v>
          </cell>
          <cell r="AW9">
            <v>417.14897579747276</v>
          </cell>
          <cell r="AZ9">
            <v>1338.2524946103895</v>
          </cell>
          <cell r="BC9">
            <v>358.07296477413126</v>
          </cell>
          <cell r="BF9">
            <v>456.93486077237623</v>
          </cell>
          <cell r="BN9">
            <v>0</v>
          </cell>
        </row>
        <row r="10">
          <cell r="B10">
            <v>203</v>
          </cell>
          <cell r="C10" t="str">
            <v>Greenwich</v>
          </cell>
          <cell r="J10">
            <v>1.205632878027378</v>
          </cell>
          <cell r="X10">
            <v>78737.306826507716</v>
          </cell>
          <cell r="AA10">
            <v>8954.2353851093358</v>
          </cell>
          <cell r="AE10">
            <v>11379.96873570042</v>
          </cell>
          <cell r="AH10">
            <v>12514.469273924184</v>
          </cell>
          <cell r="AN10">
            <v>11340.182850725518</v>
          </cell>
          <cell r="AQ10">
            <v>6517.651338616005</v>
          </cell>
          <cell r="AT10">
            <v>0</v>
          </cell>
          <cell r="AW10">
            <v>572.67561706300455</v>
          </cell>
          <cell r="AZ10">
            <v>2519.7727150772198</v>
          </cell>
          <cell r="BC10">
            <v>648.6304883787293</v>
          </cell>
          <cell r="BF10">
            <v>799.33459813215154</v>
          </cell>
          <cell r="BN10">
            <v>0</v>
          </cell>
        </row>
        <row r="11">
          <cell r="B11">
            <v>204</v>
          </cell>
          <cell r="C11" t="str">
            <v>Hackney</v>
          </cell>
          <cell r="J11">
            <v>1.205632878027378</v>
          </cell>
          <cell r="X11">
            <v>72469.225110542</v>
          </cell>
          <cell r="AA11">
            <v>12182.920232466655</v>
          </cell>
          <cell r="AE11">
            <v>7714.8447864971913</v>
          </cell>
          <cell r="AH11">
            <v>8289.9316693162509</v>
          </cell>
          <cell r="AN11">
            <v>13869.600628826956</v>
          </cell>
          <cell r="AQ11">
            <v>16699.220993557214</v>
          </cell>
          <cell r="AT11">
            <v>2309.9925943004559</v>
          </cell>
          <cell r="AW11">
            <v>618.48966642804487</v>
          </cell>
          <cell r="AZ11">
            <v>2290.7024682520182</v>
          </cell>
          <cell r="BC11">
            <v>637.77979247648295</v>
          </cell>
          <cell r="BF11">
            <v>694.44453774376973</v>
          </cell>
          <cell r="BN11">
            <v>0</v>
          </cell>
        </row>
        <row r="12">
          <cell r="B12">
            <v>205</v>
          </cell>
          <cell r="C12" t="str">
            <v>Hammersmith and Fulham</v>
          </cell>
          <cell r="J12">
            <v>1.205632878027378</v>
          </cell>
          <cell r="X12">
            <v>38928.308663699579</v>
          </cell>
          <cell r="AA12">
            <v>4611.5457584547203</v>
          </cell>
          <cell r="AE12">
            <v>2969.4737785814318</v>
          </cell>
          <cell r="AH12">
            <v>2719.9077728297648</v>
          </cell>
          <cell r="AN12">
            <v>4489.7768377739558</v>
          </cell>
          <cell r="AQ12">
            <v>5930.508127016672</v>
          </cell>
          <cell r="AT12">
            <v>2819.975301706037</v>
          </cell>
          <cell r="AW12">
            <v>267.65049892207793</v>
          </cell>
          <cell r="AZ12">
            <v>855.99934339943832</v>
          </cell>
          <cell r="BC12">
            <v>251.97727150772198</v>
          </cell>
          <cell r="BF12">
            <v>306.23075101895398</v>
          </cell>
          <cell r="BN12">
            <v>0</v>
          </cell>
        </row>
        <row r="13">
          <cell r="B13">
            <v>206</v>
          </cell>
          <cell r="C13" t="str">
            <v>Islington</v>
          </cell>
          <cell r="J13">
            <v>1.205632878027378</v>
          </cell>
          <cell r="X13">
            <v>48266.274086860351</v>
          </cell>
          <cell r="AA13">
            <v>7959.5882607367494</v>
          </cell>
          <cell r="AE13">
            <v>2422.1164519570025</v>
          </cell>
          <cell r="AH13">
            <v>4877.9906244987715</v>
          </cell>
          <cell r="AN13">
            <v>6917.9214541210949</v>
          </cell>
          <cell r="AQ13">
            <v>12169.658270808353</v>
          </cell>
          <cell r="AT13">
            <v>4964.7961917167422</v>
          </cell>
          <cell r="AW13">
            <v>412.32644428536327</v>
          </cell>
          <cell r="AZ13">
            <v>1615.5480565566866</v>
          </cell>
          <cell r="BC13">
            <v>443.67289911407511</v>
          </cell>
          <cell r="BF13">
            <v>391.83068535889782</v>
          </cell>
          <cell r="BN13">
            <v>0</v>
          </cell>
        </row>
        <row r="14">
          <cell r="B14">
            <v>207</v>
          </cell>
          <cell r="C14" t="str">
            <v>Kensington and Chelsea</v>
          </cell>
          <cell r="J14">
            <v>1.205632878027378</v>
          </cell>
          <cell r="X14">
            <v>31706.105966923293</v>
          </cell>
          <cell r="AA14">
            <v>2582.4656247346434</v>
          </cell>
          <cell r="AE14">
            <v>1691.5029278724112</v>
          </cell>
          <cell r="AH14">
            <v>1375.6271138292382</v>
          </cell>
          <cell r="AN14">
            <v>1427.4693275844154</v>
          </cell>
          <cell r="AQ14">
            <v>3729.0224917386799</v>
          </cell>
          <cell r="AT14">
            <v>1066.9850970542295</v>
          </cell>
          <cell r="AW14">
            <v>191.6956276063531</v>
          </cell>
          <cell r="AZ14">
            <v>518.42213755177249</v>
          </cell>
          <cell r="BC14">
            <v>120.56328780273779</v>
          </cell>
          <cell r="BF14">
            <v>115.74075629062828</v>
          </cell>
          <cell r="BN14">
            <v>0</v>
          </cell>
        </row>
        <row r="15">
          <cell r="B15">
            <v>208</v>
          </cell>
          <cell r="C15" t="str">
            <v>Lambeth</v>
          </cell>
          <cell r="J15">
            <v>1.205632878027378</v>
          </cell>
          <cell r="X15">
            <v>72053.735085584703</v>
          </cell>
          <cell r="AA15">
            <v>10496.239836106353</v>
          </cell>
          <cell r="AE15">
            <v>5350.5987126855034</v>
          </cell>
          <cell r="AH15">
            <v>10892.893052977361</v>
          </cell>
          <cell r="AN15">
            <v>12893.03799762478</v>
          </cell>
          <cell r="AQ15">
            <v>12596.452309630045</v>
          </cell>
          <cell r="AT15">
            <v>821.03598993664434</v>
          </cell>
          <cell r="AW15">
            <v>590.76011023341516</v>
          </cell>
          <cell r="AZ15">
            <v>2109.8575365479114</v>
          </cell>
          <cell r="BC15">
            <v>624.51783081818178</v>
          </cell>
          <cell r="BF15">
            <v>704.08960076798871</v>
          </cell>
          <cell r="BN15">
            <v>0</v>
          </cell>
        </row>
        <row r="16">
          <cell r="B16">
            <v>209</v>
          </cell>
          <cell r="C16" t="str">
            <v>Lewisham</v>
          </cell>
          <cell r="J16">
            <v>1.205632878027378</v>
          </cell>
          <cell r="X16">
            <v>81181.030630904701</v>
          </cell>
          <cell r="AA16">
            <v>9295.4294895910843</v>
          </cell>
          <cell r="AE16">
            <v>11712.723410035976</v>
          </cell>
          <cell r="AH16">
            <v>15072.82224109828</v>
          </cell>
          <cell r="AN16">
            <v>11950.233087007371</v>
          </cell>
          <cell r="AQ16">
            <v>12613.331169922429</v>
          </cell>
          <cell r="AT16">
            <v>1179.1089547107756</v>
          </cell>
          <cell r="AW16">
            <v>532.88973208810103</v>
          </cell>
          <cell r="AZ16">
            <v>2905.575236045981</v>
          </cell>
          <cell r="BC16">
            <v>752.31491588908386</v>
          </cell>
          <cell r="BF16">
            <v>966.91756817795715</v>
          </cell>
          <cell r="BN16">
            <v>0</v>
          </cell>
        </row>
        <row r="17">
          <cell r="B17">
            <v>210</v>
          </cell>
          <cell r="C17" t="str">
            <v>Southwark</v>
          </cell>
          <cell r="J17">
            <v>1.205632878027378</v>
          </cell>
          <cell r="X17">
            <v>72902.90813562875</v>
          </cell>
          <cell r="AA17">
            <v>10564.960910153914</v>
          </cell>
          <cell r="AE17">
            <v>3561.4395216928747</v>
          </cell>
          <cell r="AH17">
            <v>8289.9316693162509</v>
          </cell>
          <cell r="AN17">
            <v>18191.794496555107</v>
          </cell>
          <cell r="AQ17">
            <v>10992.960581853633</v>
          </cell>
          <cell r="AT17">
            <v>701.678335011934</v>
          </cell>
          <cell r="AW17">
            <v>525.65593481993676</v>
          </cell>
          <cell r="AZ17">
            <v>2338.927783373113</v>
          </cell>
          <cell r="BC17">
            <v>664.3037157930853</v>
          </cell>
          <cell r="BF17">
            <v>710.11776515812562</v>
          </cell>
          <cell r="BN17">
            <v>0</v>
          </cell>
        </row>
        <row r="18">
          <cell r="B18">
            <v>211</v>
          </cell>
          <cell r="C18" t="str">
            <v>Tower Hamlets</v>
          </cell>
          <cell r="J18">
            <v>1.205632878027378</v>
          </cell>
          <cell r="X18">
            <v>82901.548319619731</v>
          </cell>
          <cell r="AA18">
            <v>17727.625838514567</v>
          </cell>
          <cell r="AE18">
            <v>1411.7961001700596</v>
          </cell>
          <cell r="AH18">
            <v>2084.5392461093365</v>
          </cell>
          <cell r="AN18">
            <v>15322.388246849947</v>
          </cell>
          <cell r="AQ18">
            <v>29773.103922886097</v>
          </cell>
          <cell r="AT18">
            <v>7896.8953510793253</v>
          </cell>
          <cell r="AW18">
            <v>786.07263647385048</v>
          </cell>
          <cell r="AZ18">
            <v>2531.8290438574936</v>
          </cell>
          <cell r="BC18">
            <v>659.48118428097575</v>
          </cell>
          <cell r="BF18">
            <v>596.78827462355207</v>
          </cell>
          <cell r="BN18">
            <v>0</v>
          </cell>
        </row>
        <row r="19">
          <cell r="B19">
            <v>212</v>
          </cell>
          <cell r="C19" t="str">
            <v>Wandsworth</v>
          </cell>
          <cell r="J19">
            <v>1.205632878027378</v>
          </cell>
          <cell r="X19">
            <v>70437.649316764393</v>
          </cell>
          <cell r="AA19">
            <v>6180.074132768339</v>
          </cell>
          <cell r="AE19">
            <v>9019.3395605228143</v>
          </cell>
          <cell r="AH19">
            <v>7828.1742770317651</v>
          </cell>
          <cell r="AN19">
            <v>3260.0313021860302</v>
          </cell>
          <cell r="AQ19">
            <v>9227.9140484215513</v>
          </cell>
          <cell r="AT19">
            <v>671.53751306124957</v>
          </cell>
          <cell r="AW19">
            <v>423.17714018760967</v>
          </cell>
          <cell r="AZ19">
            <v>1953.1252624043523</v>
          </cell>
          <cell r="BC19">
            <v>432.82220321182871</v>
          </cell>
          <cell r="BF19">
            <v>517.21650467374513</v>
          </cell>
          <cell r="BN19">
            <v>0</v>
          </cell>
        </row>
        <row r="20">
          <cell r="B20">
            <v>213</v>
          </cell>
          <cell r="C20" t="str">
            <v>Westminster</v>
          </cell>
          <cell r="J20">
            <v>1.205632878027378</v>
          </cell>
          <cell r="X20">
            <v>52969.497374993138</v>
          </cell>
          <cell r="AA20">
            <v>5381.9451675142154</v>
          </cell>
          <cell r="AE20">
            <v>2723.524671463847</v>
          </cell>
          <cell r="AH20">
            <v>3308.256617307125</v>
          </cell>
          <cell r="AN20">
            <v>4035.2532427576339</v>
          </cell>
          <cell r="AQ20">
            <v>10650.560844493857</v>
          </cell>
          <cell r="AT20">
            <v>4648.9203776735694</v>
          </cell>
          <cell r="AW20">
            <v>379.77435657862407</v>
          </cell>
          <cell r="AZ20">
            <v>1036.844275103545</v>
          </cell>
          <cell r="BC20">
            <v>295.38005511670758</v>
          </cell>
          <cell r="BF20">
            <v>268.85613180010529</v>
          </cell>
          <cell r="BN20">
            <v>0</v>
          </cell>
        </row>
        <row r="21">
          <cell r="B21">
            <v>301</v>
          </cell>
          <cell r="C21" t="str">
            <v>Barking and Dagenham</v>
          </cell>
          <cell r="J21">
            <v>1.1243577599840504</v>
          </cell>
          <cell r="X21">
            <v>71554.226788867833</v>
          </cell>
          <cell r="AA21">
            <v>8361.8486610013824</v>
          </cell>
          <cell r="AE21">
            <v>3971.2316082636662</v>
          </cell>
          <cell r="AH21">
            <v>17256.642900235205</v>
          </cell>
          <cell r="AN21">
            <v>13938.663150522272</v>
          </cell>
          <cell r="AQ21">
            <v>7903.1106949278901</v>
          </cell>
          <cell r="AT21">
            <v>0</v>
          </cell>
          <cell r="AW21">
            <v>469.98154367333308</v>
          </cell>
          <cell r="AZ21">
            <v>2057.5747007708123</v>
          </cell>
          <cell r="BC21">
            <v>767.93635006910642</v>
          </cell>
          <cell r="BF21">
            <v>734.20561726958488</v>
          </cell>
          <cell r="BN21">
            <v>0</v>
          </cell>
        </row>
        <row r="22">
          <cell r="B22">
            <v>302</v>
          </cell>
          <cell r="C22" t="str">
            <v>Barnet</v>
          </cell>
          <cell r="J22">
            <v>1.1116135618035334</v>
          </cell>
          <cell r="X22">
            <v>102182.47993950946</v>
          </cell>
          <cell r="AA22">
            <v>7522.288972724511</v>
          </cell>
          <cell r="AE22">
            <v>8282.6326489981275</v>
          </cell>
          <cell r="AH22">
            <v>7752.3929800178421</v>
          </cell>
          <cell r="AN22">
            <v>5117.868838543468</v>
          </cell>
          <cell r="AQ22">
            <v>3542.7124214678611</v>
          </cell>
          <cell r="AT22">
            <v>0</v>
          </cell>
          <cell r="AW22">
            <v>568.03453008160557</v>
          </cell>
          <cell r="AZ22">
            <v>2156.5303098988547</v>
          </cell>
          <cell r="BC22">
            <v>663.63329639670951</v>
          </cell>
          <cell r="BF22">
            <v>818.14758148740066</v>
          </cell>
          <cell r="BN22">
            <v>0</v>
          </cell>
        </row>
        <row r="23">
          <cell r="B23">
            <v>303</v>
          </cell>
          <cell r="C23" t="str">
            <v>Bexley</v>
          </cell>
          <cell r="J23">
            <v>1.0870826162281</v>
          </cell>
          <cell r="X23">
            <v>63475.359466575988</v>
          </cell>
          <cell r="AA23">
            <v>4653.8006800724961</v>
          </cell>
          <cell r="AE23">
            <v>6695.341833348868</v>
          </cell>
          <cell r="AH23">
            <v>7275.8439504146736</v>
          </cell>
          <cell r="AN23">
            <v>4546.1795010659143</v>
          </cell>
          <cell r="AQ23">
            <v>966.41644582678089</v>
          </cell>
          <cell r="AT23">
            <v>0</v>
          </cell>
          <cell r="AW23">
            <v>334.82144579825479</v>
          </cell>
          <cell r="AZ23">
            <v>2000.232013859704</v>
          </cell>
          <cell r="BC23">
            <v>483.75176422150452</v>
          </cell>
          <cell r="BF23">
            <v>697.90703961844019</v>
          </cell>
          <cell r="BN23">
            <v>0</v>
          </cell>
        </row>
        <row r="24">
          <cell r="B24">
            <v>304</v>
          </cell>
          <cell r="C24" t="str">
            <v>Brent</v>
          </cell>
          <cell r="J24">
            <v>1.1488887055594839</v>
          </cell>
          <cell r="X24">
            <v>85062.014808785141</v>
          </cell>
          <cell r="AA24">
            <v>7725.1276561819695</v>
          </cell>
          <cell r="AE24">
            <v>12726.240191482402</v>
          </cell>
          <cell r="AH24">
            <v>7391.9499315697194</v>
          </cell>
          <cell r="AN24">
            <v>12054.140298730104</v>
          </cell>
          <cell r="AQ24">
            <v>9042.903001458697</v>
          </cell>
          <cell r="AT24">
            <v>1372.9220031435832</v>
          </cell>
          <cell r="AW24">
            <v>641.07989770219194</v>
          </cell>
          <cell r="AZ24">
            <v>2148.421879396235</v>
          </cell>
          <cell r="BC24">
            <v>880.04874845856466</v>
          </cell>
          <cell r="BF24">
            <v>924.85540797538454</v>
          </cell>
          <cell r="BN24">
            <v>0</v>
          </cell>
        </row>
        <row r="25">
          <cell r="B25">
            <v>305</v>
          </cell>
          <cell r="C25" t="str">
            <v>Bromley</v>
          </cell>
          <cell r="J25">
            <v>1.0870826162281</v>
          </cell>
          <cell r="X25">
            <v>80798.569932891973</v>
          </cell>
          <cell r="AA25">
            <v>4534.2215922874047</v>
          </cell>
          <cell r="AE25">
            <v>2477.4612823838397</v>
          </cell>
          <cell r="AH25">
            <v>5174.5132532457555</v>
          </cell>
          <cell r="AN25">
            <v>3162.3233306075426</v>
          </cell>
          <cell r="AQ25">
            <v>6445.3128316164048</v>
          </cell>
          <cell r="AT25">
            <v>708.77786578072119</v>
          </cell>
          <cell r="AW25">
            <v>311.99271085746471</v>
          </cell>
          <cell r="AZ25">
            <v>2369.8401033772579</v>
          </cell>
          <cell r="BC25">
            <v>570.7183735197525</v>
          </cell>
          <cell r="BF25">
            <v>614.20167816887647</v>
          </cell>
          <cell r="BN25">
            <v>0</v>
          </cell>
        </row>
        <row r="26">
          <cell r="B26">
            <v>306</v>
          </cell>
          <cell r="C26" t="str">
            <v>Croydon</v>
          </cell>
          <cell r="J26">
            <v>1.0870826162281</v>
          </cell>
          <cell r="X26">
            <v>103065.75821619541</v>
          </cell>
          <cell r="AA26">
            <v>11638.306489338038</v>
          </cell>
          <cell r="AE26">
            <v>14014.669088412666</v>
          </cell>
          <cell r="AH26">
            <v>18159.71510409041</v>
          </cell>
          <cell r="AN26">
            <v>11131.725990175744</v>
          </cell>
          <cell r="AQ26">
            <v>3683.0359037808025</v>
          </cell>
          <cell r="AT26">
            <v>442.44262480483667</v>
          </cell>
          <cell r="AW26">
            <v>640.29166095835092</v>
          </cell>
          <cell r="AZ26">
            <v>3011.2188469518369</v>
          </cell>
          <cell r="BC26">
            <v>996.85475908116769</v>
          </cell>
          <cell r="BF26">
            <v>1153.3946558180141</v>
          </cell>
          <cell r="BN26">
            <v>0</v>
          </cell>
        </row>
        <row r="27">
          <cell r="B27">
            <v>307</v>
          </cell>
          <cell r="C27" t="str">
            <v>Ealing</v>
          </cell>
          <cell r="J27">
            <v>1.1488887055594839</v>
          </cell>
          <cell r="X27">
            <v>90708.436301112903</v>
          </cell>
          <cell r="AA27">
            <v>8728.1074961353988</v>
          </cell>
          <cell r="AE27">
            <v>15069.973150823749</v>
          </cell>
          <cell r="AH27">
            <v>12004.738084391047</v>
          </cell>
          <cell r="AN27">
            <v>6810.6122465566204</v>
          </cell>
          <cell r="AQ27">
            <v>5703.0835343972776</v>
          </cell>
          <cell r="AT27">
            <v>962.76873525884753</v>
          </cell>
          <cell r="AW27">
            <v>558.35991090190919</v>
          </cell>
          <cell r="AZ27">
            <v>2056.5107829514759</v>
          </cell>
          <cell r="BC27">
            <v>846.73097599733956</v>
          </cell>
          <cell r="BF27">
            <v>840.98653246954223</v>
          </cell>
          <cell r="BN27">
            <v>0</v>
          </cell>
        </row>
        <row r="28">
          <cell r="B28">
            <v>308</v>
          </cell>
          <cell r="C28" t="str">
            <v>Enfield</v>
          </cell>
          <cell r="J28">
            <v>1.0870826162281</v>
          </cell>
          <cell r="X28">
            <v>91560.56608029714</v>
          </cell>
          <cell r="AA28">
            <v>10108.781248305102</v>
          </cell>
          <cell r="AE28">
            <v>6810.5725906690468</v>
          </cell>
          <cell r="AH28">
            <v>8091.1559125857484</v>
          </cell>
          <cell r="AN28">
            <v>16517.133270969753</v>
          </cell>
          <cell r="AQ28">
            <v>23227.694260945813</v>
          </cell>
          <cell r="AT28">
            <v>1215.3583649430159</v>
          </cell>
          <cell r="AW28">
            <v>625.07250433115746</v>
          </cell>
          <cell r="AZ28">
            <v>2108.9402754825142</v>
          </cell>
          <cell r="BC28">
            <v>1008.8126678596768</v>
          </cell>
          <cell r="BF28">
            <v>1063.1667986710818</v>
          </cell>
          <cell r="BN28">
            <v>0</v>
          </cell>
        </row>
        <row r="29">
          <cell r="B29">
            <v>309</v>
          </cell>
          <cell r="C29" t="str">
            <v>Haringey</v>
          </cell>
          <cell r="J29">
            <v>1.1243577599840504</v>
          </cell>
          <cell r="X29">
            <v>63473.962285276881</v>
          </cell>
          <cell r="AA29">
            <v>7962.7016562070448</v>
          </cell>
          <cell r="AE29">
            <v>3772.2202847464891</v>
          </cell>
          <cell r="AH29">
            <v>5027.0035448886892</v>
          </cell>
          <cell r="AN29">
            <v>12924.49245101666</v>
          </cell>
          <cell r="AQ29">
            <v>11560.646488156006</v>
          </cell>
          <cell r="AT29">
            <v>2083.4349292504453</v>
          </cell>
          <cell r="AW29">
            <v>557.681448952089</v>
          </cell>
          <cell r="AZ29">
            <v>1787.7288383746402</v>
          </cell>
          <cell r="BC29">
            <v>734.20561726958488</v>
          </cell>
          <cell r="BF29">
            <v>836.52217342813356</v>
          </cell>
          <cell r="BN29">
            <v>0</v>
          </cell>
        </row>
        <row r="30">
          <cell r="B30">
            <v>310</v>
          </cell>
          <cell r="C30" t="str">
            <v>Harrow</v>
          </cell>
          <cell r="J30">
            <v>1.1116135618035334</v>
          </cell>
          <cell r="X30">
            <v>64744.044387418864</v>
          </cell>
          <cell r="AA30">
            <v>3847.2945374020292</v>
          </cell>
          <cell r="AE30">
            <v>6132.7720204700936</v>
          </cell>
          <cell r="AH30">
            <v>7649.0129187701132</v>
          </cell>
          <cell r="AN30">
            <v>1347.2756369058825</v>
          </cell>
          <cell r="AQ30">
            <v>1168.3058534555137</v>
          </cell>
          <cell r="AT30">
            <v>0</v>
          </cell>
          <cell r="AW30">
            <v>366.83247539516606</v>
          </cell>
          <cell r="AZ30">
            <v>1433.9814947265581</v>
          </cell>
          <cell r="BC30">
            <v>534.68612322749959</v>
          </cell>
          <cell r="BF30">
            <v>487.99835363175117</v>
          </cell>
          <cell r="BN30">
            <v>0</v>
          </cell>
        </row>
        <row r="31">
          <cell r="B31">
            <v>311</v>
          </cell>
          <cell r="C31" t="str">
            <v>Havering</v>
          </cell>
          <cell r="J31">
            <v>1.0870826162281</v>
          </cell>
          <cell r="X31">
            <v>62379.949797507594</v>
          </cell>
          <cell r="AA31">
            <v>4926.6584167457495</v>
          </cell>
          <cell r="AE31">
            <v>8349.8815752480368</v>
          </cell>
          <cell r="AH31">
            <v>6226.8092257545568</v>
          </cell>
          <cell r="AN31">
            <v>4263.5380208466086</v>
          </cell>
          <cell r="AQ31">
            <v>2991.6513598597312</v>
          </cell>
          <cell r="AT31">
            <v>0</v>
          </cell>
          <cell r="AW31">
            <v>297.8606368464994</v>
          </cell>
          <cell r="AZ31">
            <v>1663.2364028289931</v>
          </cell>
          <cell r="BC31">
            <v>459.8359466644863</v>
          </cell>
          <cell r="BF31">
            <v>642.46582619080709</v>
          </cell>
          <cell r="BN31">
            <v>0</v>
          </cell>
        </row>
        <row r="32">
          <cell r="B32">
            <v>312</v>
          </cell>
          <cell r="C32" t="str">
            <v>Hillingdon</v>
          </cell>
          <cell r="J32">
            <v>1.1116135618035334</v>
          </cell>
          <cell r="X32">
            <v>81831.133328118987</v>
          </cell>
          <cell r="AA32">
            <v>7073.1970937558835</v>
          </cell>
          <cell r="AE32">
            <v>14046.348966949448</v>
          </cell>
          <cell r="AH32">
            <v>12565.679702627142</v>
          </cell>
          <cell r="AN32">
            <v>4411.9942267982242</v>
          </cell>
          <cell r="AQ32">
            <v>921.52764273512923</v>
          </cell>
          <cell r="AT32">
            <v>0</v>
          </cell>
          <cell r="AW32">
            <v>446.86865184502045</v>
          </cell>
          <cell r="AZ32">
            <v>2556.7111921481269</v>
          </cell>
          <cell r="BC32">
            <v>674.7494320147448</v>
          </cell>
          <cell r="BF32">
            <v>833.71017135265004</v>
          </cell>
          <cell r="BN32">
            <v>0</v>
          </cell>
        </row>
        <row r="33">
          <cell r="B33">
            <v>313</v>
          </cell>
          <cell r="C33" t="str">
            <v>Hounslow</v>
          </cell>
          <cell r="J33">
            <v>1.1116135618035334</v>
          </cell>
          <cell r="X33">
            <v>70070.393014637899</v>
          </cell>
          <cell r="AA33">
            <v>6609.6542384838094</v>
          </cell>
          <cell r="AE33">
            <v>13691.74424073412</v>
          </cell>
          <cell r="AH33">
            <v>7841.3220649621253</v>
          </cell>
          <cell r="AN33">
            <v>2584.5015311932152</v>
          </cell>
          <cell r="AQ33">
            <v>3556.0517842095032</v>
          </cell>
          <cell r="AT33">
            <v>0</v>
          </cell>
          <cell r="AW33">
            <v>416.85508567632502</v>
          </cell>
          <cell r="AZ33">
            <v>1834.1623769758301</v>
          </cell>
          <cell r="BC33">
            <v>626.95004885719288</v>
          </cell>
          <cell r="BF33">
            <v>562.47646227258792</v>
          </cell>
          <cell r="BN33">
            <v>0</v>
          </cell>
        </row>
        <row r="34">
          <cell r="B34">
            <v>314</v>
          </cell>
          <cell r="C34" t="str">
            <v>Kingston upon Thames</v>
          </cell>
          <cell r="J34">
            <v>1.1116135618035334</v>
          </cell>
          <cell r="X34">
            <v>44521.7238737605</v>
          </cell>
          <cell r="AA34">
            <v>2012.0205468643956</v>
          </cell>
          <cell r="AE34">
            <v>3186.9960816907305</v>
          </cell>
          <cell r="AH34">
            <v>1382.8472708835957</v>
          </cell>
          <cell r="AN34">
            <v>467.98930951928759</v>
          </cell>
          <cell r="AQ34">
            <v>0</v>
          </cell>
          <cell r="AT34">
            <v>0</v>
          </cell>
          <cell r="AW34">
            <v>164.51880714692294</v>
          </cell>
          <cell r="AZ34">
            <v>1067.1490193313921</v>
          </cell>
          <cell r="BC34">
            <v>275.68016332727632</v>
          </cell>
          <cell r="BF34">
            <v>309.02857018138229</v>
          </cell>
          <cell r="BN34">
            <v>0</v>
          </cell>
        </row>
        <row r="35">
          <cell r="B35">
            <v>315</v>
          </cell>
          <cell r="C35" t="str">
            <v>Merton</v>
          </cell>
          <cell r="J35">
            <v>1.1488887055594839</v>
          </cell>
          <cell r="X35">
            <v>52977.215919702081</v>
          </cell>
          <cell r="AA35">
            <v>4396.7970761761444</v>
          </cell>
          <cell r="AE35">
            <v>5302.1213761570179</v>
          </cell>
          <cell r="AH35">
            <v>5606.5768831302812</v>
          </cell>
          <cell r="AN35">
            <v>2676.9106839535975</v>
          </cell>
          <cell r="AQ35">
            <v>912.21763221423021</v>
          </cell>
          <cell r="AT35">
            <v>505.51103044617292</v>
          </cell>
          <cell r="AW35">
            <v>255.05329263420541</v>
          </cell>
          <cell r="AZ35">
            <v>1229.3109149486477</v>
          </cell>
          <cell r="BC35">
            <v>345.81550037340463</v>
          </cell>
          <cell r="BF35">
            <v>483.68214504054271</v>
          </cell>
          <cell r="BN35">
            <v>0</v>
          </cell>
        </row>
        <row r="36">
          <cell r="B36">
            <v>316</v>
          </cell>
          <cell r="C36" t="str">
            <v>Newham</v>
          </cell>
          <cell r="J36">
            <v>1.1243577599840504</v>
          </cell>
          <cell r="X36">
            <v>91490.904586809658</v>
          </cell>
          <cell r="AA36">
            <v>12451.137834063375</v>
          </cell>
          <cell r="AE36">
            <v>23148.27756255163</v>
          </cell>
          <cell r="AH36">
            <v>22714.275467197785</v>
          </cell>
          <cell r="AN36">
            <v>9424.3667441863108</v>
          </cell>
          <cell r="AQ36">
            <v>7771.5608370097561</v>
          </cell>
          <cell r="AT36">
            <v>0</v>
          </cell>
          <cell r="AW36">
            <v>796.04529406870768</v>
          </cell>
          <cell r="AZ36">
            <v>2372.3948735663462</v>
          </cell>
          <cell r="BC36">
            <v>983.81303998604415</v>
          </cell>
          <cell r="BF36">
            <v>883.74519934746365</v>
          </cell>
          <cell r="BN36">
            <v>0</v>
          </cell>
        </row>
        <row r="37">
          <cell r="B37">
            <v>317</v>
          </cell>
          <cell r="C37" t="str">
            <v>Redbridge</v>
          </cell>
          <cell r="J37">
            <v>1.0870826162281</v>
          </cell>
          <cell r="X37">
            <v>84801.222257917834</v>
          </cell>
          <cell r="AA37">
            <v>7707.4157490572288</v>
          </cell>
          <cell r="AE37">
            <v>11988.347091763486</v>
          </cell>
          <cell r="AH37">
            <v>12805.833219167018</v>
          </cell>
          <cell r="AN37">
            <v>4371.1591998531903</v>
          </cell>
          <cell r="AQ37">
            <v>434.83304649124</v>
          </cell>
          <cell r="AT37">
            <v>0</v>
          </cell>
          <cell r="AW37">
            <v>409.83014631799369</v>
          </cell>
          <cell r="AZ37">
            <v>1565.3989673684639</v>
          </cell>
          <cell r="BC37">
            <v>677.25246991010624</v>
          </cell>
          <cell r="BF37">
            <v>712.03911362940551</v>
          </cell>
          <cell r="BN37">
            <v>0</v>
          </cell>
        </row>
        <row r="38">
          <cell r="B38">
            <v>318</v>
          </cell>
          <cell r="C38" t="str">
            <v>Richmond upon Thames</v>
          </cell>
          <cell r="J38">
            <v>1.1116135618035334</v>
          </cell>
          <cell r="X38">
            <v>50823.164354803746</v>
          </cell>
          <cell r="AA38">
            <v>1817.4881735487772</v>
          </cell>
          <cell r="AE38">
            <v>1727.4474750426909</v>
          </cell>
          <cell r="AH38">
            <v>1820.8230142341877</v>
          </cell>
          <cell r="AN38">
            <v>337.93052278827417</v>
          </cell>
          <cell r="AQ38">
            <v>0</v>
          </cell>
          <cell r="AT38">
            <v>0</v>
          </cell>
          <cell r="AW38">
            <v>153.40267152888762</v>
          </cell>
          <cell r="AZ38">
            <v>911.52312067889739</v>
          </cell>
          <cell r="BC38">
            <v>196.75560043922542</v>
          </cell>
          <cell r="BF38">
            <v>280.12661757449041</v>
          </cell>
          <cell r="BN38">
            <v>0</v>
          </cell>
        </row>
        <row r="39">
          <cell r="B39">
            <v>319</v>
          </cell>
          <cell r="C39" t="str">
            <v>Sutton</v>
          </cell>
          <cell r="J39">
            <v>1.1116135618035334</v>
          </cell>
          <cell r="X39">
            <v>53243.629519135859</v>
          </cell>
          <cell r="AA39">
            <v>4102.9656566168424</v>
          </cell>
          <cell r="AE39">
            <v>2592.2828261258401</v>
          </cell>
          <cell r="AH39">
            <v>5914.8957623566012</v>
          </cell>
          <cell r="AN39">
            <v>1246.1188027817609</v>
          </cell>
          <cell r="AQ39">
            <v>1905.3056449312562</v>
          </cell>
          <cell r="AT39">
            <v>0</v>
          </cell>
          <cell r="AW39">
            <v>202.31366824824309</v>
          </cell>
          <cell r="AZ39">
            <v>1522.9105796708409</v>
          </cell>
          <cell r="BC39">
            <v>286.79629894531161</v>
          </cell>
          <cell r="BF39">
            <v>431.30606197977096</v>
          </cell>
          <cell r="BN39">
            <v>0</v>
          </cell>
        </row>
        <row r="40">
          <cell r="B40">
            <v>320</v>
          </cell>
          <cell r="C40" t="str">
            <v>Waltham Forest</v>
          </cell>
          <cell r="J40">
            <v>1.0870826162281</v>
          </cell>
          <cell r="X40">
            <v>69562.26550795247</v>
          </cell>
          <cell r="AA40">
            <v>7002.9862137414202</v>
          </cell>
          <cell r="AE40">
            <v>15701.821308798677</v>
          </cell>
          <cell r="AH40">
            <v>11228.476343020046</v>
          </cell>
          <cell r="AN40">
            <v>4727.7222979760072</v>
          </cell>
          <cell r="AQ40">
            <v>4492.9124528707371</v>
          </cell>
          <cell r="AT40">
            <v>1218.6196127917001</v>
          </cell>
          <cell r="AW40">
            <v>563.10879520615583</v>
          </cell>
          <cell r="AZ40">
            <v>1695.848881315836</v>
          </cell>
          <cell r="BC40">
            <v>795.74447507896923</v>
          </cell>
          <cell r="BF40">
            <v>559.84754735747151</v>
          </cell>
          <cell r="BN40">
            <v>0</v>
          </cell>
        </row>
        <row r="41">
          <cell r="B41">
            <v>330</v>
          </cell>
          <cell r="C41" t="str">
            <v>Birmingham</v>
          </cell>
          <cell r="J41">
            <v>1.0050794999200126</v>
          </cell>
          <cell r="X41">
            <v>279965.68570028595</v>
          </cell>
          <cell r="AA41">
            <v>50659.022034468391</v>
          </cell>
          <cell r="AE41">
            <v>24145.024826578461</v>
          </cell>
          <cell r="AH41">
            <v>28463.851437734756</v>
          </cell>
          <cell r="AN41">
            <v>37802.045071491593</v>
          </cell>
          <cell r="AQ41">
            <v>53389.823035751069</v>
          </cell>
          <cell r="AT41">
            <v>13872.107257896014</v>
          </cell>
          <cell r="AW41">
            <v>2465.4600133037907</v>
          </cell>
          <cell r="AZ41">
            <v>11126.230064114539</v>
          </cell>
          <cell r="BC41">
            <v>3748.9465347016467</v>
          </cell>
          <cell r="BF41">
            <v>3516.773170220124</v>
          </cell>
          <cell r="BN41">
            <v>0</v>
          </cell>
        </row>
        <row r="42">
          <cell r="B42">
            <v>331</v>
          </cell>
          <cell r="C42" t="str">
            <v>Coventry</v>
          </cell>
          <cell r="J42">
            <v>1.0050794999200126</v>
          </cell>
          <cell r="X42">
            <v>78558.786673986033</v>
          </cell>
          <cell r="AA42">
            <v>8683.8868793089077</v>
          </cell>
          <cell r="AE42">
            <v>7900.9299488712186</v>
          </cell>
          <cell r="AH42">
            <v>5247.5200690823858</v>
          </cell>
          <cell r="AN42">
            <v>7529.0505339008141</v>
          </cell>
          <cell r="AQ42">
            <v>5973.1874680246347</v>
          </cell>
          <cell r="AT42">
            <v>5567.1353500569494</v>
          </cell>
          <cell r="AW42">
            <v>499.52451146024623</v>
          </cell>
          <cell r="AZ42">
            <v>2914.7305497680363</v>
          </cell>
          <cell r="BC42">
            <v>1046.287759416733</v>
          </cell>
          <cell r="BF42">
            <v>970.90679692273216</v>
          </cell>
          <cell r="BN42">
            <v>0</v>
          </cell>
        </row>
        <row r="43">
          <cell r="B43">
            <v>332</v>
          </cell>
          <cell r="C43" t="str">
            <v>Dudley</v>
          </cell>
          <cell r="J43">
            <v>1.0050794999200126</v>
          </cell>
          <cell r="X43">
            <v>66261.720403904183</v>
          </cell>
          <cell r="AA43">
            <v>7039.5768174397681</v>
          </cell>
          <cell r="AE43">
            <v>7581.314667896655</v>
          </cell>
          <cell r="AH43">
            <v>11590.576793077586</v>
          </cell>
          <cell r="AN43">
            <v>5653.5721870500702</v>
          </cell>
          <cell r="AQ43">
            <v>5261.5911820812653</v>
          </cell>
          <cell r="AT43">
            <v>1346.8065298928168</v>
          </cell>
          <cell r="AW43">
            <v>393.99116396864491</v>
          </cell>
          <cell r="AZ43">
            <v>2422.2415948072303</v>
          </cell>
          <cell r="BC43">
            <v>882.45980092977106</v>
          </cell>
          <cell r="BF43">
            <v>852.30741593217067</v>
          </cell>
          <cell r="BN43">
            <v>0</v>
          </cell>
        </row>
        <row r="44">
          <cell r="B44">
            <v>333</v>
          </cell>
          <cell r="C44" t="str">
            <v>Sandwell</v>
          </cell>
          <cell r="J44">
            <v>1.0050794999200126</v>
          </cell>
          <cell r="X44">
            <v>78664.167249393679</v>
          </cell>
          <cell r="AA44">
            <v>12427.808016510955</v>
          </cell>
          <cell r="AE44">
            <v>8320.0481003378645</v>
          </cell>
          <cell r="AH44">
            <v>11649.876483572865</v>
          </cell>
          <cell r="AN44">
            <v>10125.170882194207</v>
          </cell>
          <cell r="AQ44">
            <v>13002.713490465203</v>
          </cell>
          <cell r="AT44">
            <v>2183.0326738262675</v>
          </cell>
          <cell r="AW44">
            <v>545.75816845656686</v>
          </cell>
          <cell r="AZ44">
            <v>2301.6320548168287</v>
          </cell>
          <cell r="BC44">
            <v>973.92203542249217</v>
          </cell>
          <cell r="BF44">
            <v>1178.9582534061747</v>
          </cell>
          <cell r="BN44">
            <v>0</v>
          </cell>
        </row>
        <row r="45">
          <cell r="B45">
            <v>334</v>
          </cell>
          <cell r="C45" t="str">
            <v>Solihull</v>
          </cell>
          <cell r="J45">
            <v>1.0050794999200126</v>
          </cell>
          <cell r="X45">
            <v>46182.074306225681</v>
          </cell>
          <cell r="AA45">
            <v>4159.0189706690117</v>
          </cell>
          <cell r="AE45">
            <v>1530.7360783781792</v>
          </cell>
          <cell r="AH45">
            <v>1825.2243718547427</v>
          </cell>
          <cell r="AN45">
            <v>1604.10688187234</v>
          </cell>
          <cell r="AQ45">
            <v>4582.1574401353373</v>
          </cell>
          <cell r="AT45">
            <v>1248.3087389006555</v>
          </cell>
          <cell r="AW45">
            <v>220.11241048248274</v>
          </cell>
          <cell r="AZ45">
            <v>1980.0066148424248</v>
          </cell>
          <cell r="BC45">
            <v>375.8997329700847</v>
          </cell>
          <cell r="BF45">
            <v>542.74292995680673</v>
          </cell>
          <cell r="BN45">
            <v>0</v>
          </cell>
        </row>
        <row r="46">
          <cell r="B46">
            <v>335</v>
          </cell>
          <cell r="C46" t="str">
            <v>Walsall</v>
          </cell>
          <cell r="J46">
            <v>1.0050794999200126</v>
          </cell>
          <cell r="X46">
            <v>64141.764509333902</v>
          </cell>
          <cell r="AA46">
            <v>10337.242656677328</v>
          </cell>
          <cell r="AE46">
            <v>5464.6172410651079</v>
          </cell>
          <cell r="AH46">
            <v>5286.718169579266</v>
          </cell>
          <cell r="AN46">
            <v>7959.2245598665795</v>
          </cell>
          <cell r="AQ46">
            <v>11025.722114122538</v>
          </cell>
          <cell r="AT46">
            <v>3656.4792207090059</v>
          </cell>
          <cell r="AW46">
            <v>441.22990046488553</v>
          </cell>
          <cell r="AZ46">
            <v>2241.3272848216279</v>
          </cell>
          <cell r="BC46">
            <v>828.18550793409031</v>
          </cell>
          <cell r="BF46">
            <v>1222.1766719027353</v>
          </cell>
          <cell r="BN46">
            <v>0</v>
          </cell>
        </row>
        <row r="47">
          <cell r="B47">
            <v>336</v>
          </cell>
          <cell r="C47" t="str">
            <v>Wolverhampton</v>
          </cell>
          <cell r="J47">
            <v>1.0050794999200126</v>
          </cell>
          <cell r="X47">
            <v>57626.552743194894</v>
          </cell>
          <cell r="AA47">
            <v>8955.258344287311</v>
          </cell>
          <cell r="AE47">
            <v>5553.064237058069</v>
          </cell>
          <cell r="AH47">
            <v>3173.0359812474794</v>
          </cell>
          <cell r="AN47">
            <v>9287.9396587608353</v>
          </cell>
          <cell r="AQ47">
            <v>11141.306256613339</v>
          </cell>
          <cell r="AT47">
            <v>4489.6901261426965</v>
          </cell>
          <cell r="AW47">
            <v>393.99116396864491</v>
          </cell>
          <cell r="AZ47">
            <v>1899.6002548488236</v>
          </cell>
          <cell r="BC47">
            <v>769.89089693872961</v>
          </cell>
          <cell r="BF47">
            <v>1128.7042784101741</v>
          </cell>
          <cell r="BN47">
            <v>0</v>
          </cell>
        </row>
        <row r="48">
          <cell r="B48">
            <v>340</v>
          </cell>
          <cell r="C48" t="str">
            <v>Knowsley</v>
          </cell>
          <cell r="J48">
            <v>1.0016847182558959</v>
          </cell>
          <cell r="X48">
            <v>30820.444435606107</v>
          </cell>
          <cell r="AA48">
            <v>6085.234663404568</v>
          </cell>
          <cell r="AE48">
            <v>1866.1386301107341</v>
          </cell>
          <cell r="AH48">
            <v>2987.0238298390814</v>
          </cell>
          <cell r="AN48">
            <v>2328.9169699449581</v>
          </cell>
          <cell r="AQ48">
            <v>5973.0459749599067</v>
          </cell>
          <cell r="AT48">
            <v>6732.3229913978766</v>
          </cell>
          <cell r="AW48">
            <v>255.42960315525346</v>
          </cell>
          <cell r="AZ48">
            <v>1242.0890506373109</v>
          </cell>
          <cell r="BC48">
            <v>339.57111948874871</v>
          </cell>
          <cell r="BF48">
            <v>987.66113220031332</v>
          </cell>
          <cell r="BN48">
            <v>0</v>
          </cell>
        </row>
        <row r="49">
          <cell r="B49">
            <v>341</v>
          </cell>
          <cell r="C49" t="str">
            <v>Liverpool</v>
          </cell>
          <cell r="J49">
            <v>1.0016847182558959</v>
          </cell>
          <cell r="X49">
            <v>88780.766016807363</v>
          </cell>
          <cell r="AA49">
            <v>16767.200498885442</v>
          </cell>
          <cell r="AE49">
            <v>4887.2197403705159</v>
          </cell>
          <cell r="AH49">
            <v>6982.7441709618506</v>
          </cell>
          <cell r="AN49">
            <v>6904.6127629378907</v>
          </cell>
          <cell r="AQ49">
            <v>23184.994488750966</v>
          </cell>
          <cell r="AT49">
            <v>13192.187739430148</v>
          </cell>
          <cell r="AW49">
            <v>775.30397193006343</v>
          </cell>
          <cell r="AZ49">
            <v>4156.9915807619682</v>
          </cell>
          <cell r="BC49">
            <v>1181.9879675419572</v>
          </cell>
          <cell r="BF49">
            <v>1850.1116746186397</v>
          </cell>
          <cell r="BN49">
            <v>0</v>
          </cell>
        </row>
        <row r="50">
          <cell r="B50">
            <v>342</v>
          </cell>
          <cell r="C50" t="str">
            <v>St Helens</v>
          </cell>
          <cell r="J50">
            <v>1.0016847182558959</v>
          </cell>
          <cell r="X50">
            <v>35208.233190616687</v>
          </cell>
          <cell r="AA50">
            <v>4485.5441683499021</v>
          </cell>
          <cell r="AE50">
            <v>3618.0852023402958</v>
          </cell>
          <cell r="AH50">
            <v>2569.3213023263729</v>
          </cell>
          <cell r="AN50">
            <v>1934.2531909521349</v>
          </cell>
          <cell r="AQ50">
            <v>5663.5253970188351</v>
          </cell>
          <cell r="AT50">
            <v>2775.6683542870874</v>
          </cell>
          <cell r="AW50">
            <v>226.38074632583246</v>
          </cell>
          <cell r="AZ50">
            <v>1602.6955492094335</v>
          </cell>
          <cell r="BC50">
            <v>320.53910984188667</v>
          </cell>
          <cell r="BF50">
            <v>586.98724489795495</v>
          </cell>
          <cell r="BN50">
            <v>0</v>
          </cell>
        </row>
        <row r="51">
          <cell r="B51">
            <v>343</v>
          </cell>
          <cell r="C51" t="str">
            <v>Sefton</v>
          </cell>
          <cell r="J51">
            <v>1.0016847182558959</v>
          </cell>
          <cell r="X51">
            <v>51411.322920199695</v>
          </cell>
          <cell r="AA51">
            <v>6075.2178162220089</v>
          </cell>
          <cell r="AE51">
            <v>5201.7487419028676</v>
          </cell>
          <cell r="AH51">
            <v>2080.4991598174956</v>
          </cell>
          <cell r="AN51">
            <v>1728.9078237096762</v>
          </cell>
          <cell r="AQ51">
            <v>5322.952592811831</v>
          </cell>
          <cell r="AT51">
            <v>2420.0702793062446</v>
          </cell>
          <cell r="AW51">
            <v>320.53910984188667</v>
          </cell>
          <cell r="AZ51">
            <v>2223.7400745280888</v>
          </cell>
          <cell r="BC51">
            <v>562.94681165981353</v>
          </cell>
          <cell r="BF51">
            <v>839.41179389844081</v>
          </cell>
          <cell r="BN51">
            <v>0</v>
          </cell>
        </row>
        <row r="52">
          <cell r="B52">
            <v>344</v>
          </cell>
          <cell r="C52" t="str">
            <v>Wirral</v>
          </cell>
          <cell r="J52">
            <v>1.0016847182558959</v>
          </cell>
          <cell r="X52">
            <v>65184.928537494314</v>
          </cell>
          <cell r="AA52">
            <v>8374.0842446192892</v>
          </cell>
          <cell r="AE52">
            <v>4489.5509072229252</v>
          </cell>
          <cell r="AH52">
            <v>3298.5477772166651</v>
          </cell>
          <cell r="AN52">
            <v>3801.393505781125</v>
          </cell>
          <cell r="AQ52">
            <v>6271.5480210001642</v>
          </cell>
          <cell r="AT52">
            <v>7467.5595745977034</v>
          </cell>
          <cell r="AW52">
            <v>460.77497039771208</v>
          </cell>
          <cell r="AZ52">
            <v>3616.0818329037843</v>
          </cell>
          <cell r="BC52">
            <v>624.04957947342314</v>
          </cell>
          <cell r="BF52">
            <v>994.67292522810465</v>
          </cell>
          <cell r="BN52">
            <v>0</v>
          </cell>
        </row>
        <row r="53">
          <cell r="B53">
            <v>350</v>
          </cell>
          <cell r="C53" t="str">
            <v>Bolton</v>
          </cell>
          <cell r="J53">
            <v>1.0082072667712707</v>
          </cell>
          <cell r="X53">
            <v>65076.671775289338</v>
          </cell>
          <cell r="AA53">
            <v>8054.5678542356818</v>
          </cell>
          <cell r="AE53">
            <v>8560.6879021548593</v>
          </cell>
          <cell r="AH53">
            <v>11611.523091404724</v>
          </cell>
          <cell r="AN53">
            <v>4327.2255889822936</v>
          </cell>
          <cell r="AQ53">
            <v>4796.0419680309351</v>
          </cell>
          <cell r="AT53">
            <v>3014.5397276460994</v>
          </cell>
          <cell r="AW53">
            <v>388.15979770693923</v>
          </cell>
          <cell r="AZ53">
            <v>2167.6456235582318</v>
          </cell>
          <cell r="BC53">
            <v>725.90923207531489</v>
          </cell>
          <cell r="BF53">
            <v>959.81331796624966</v>
          </cell>
          <cell r="BN53">
            <v>0</v>
          </cell>
        </row>
        <row r="54">
          <cell r="B54">
            <v>351</v>
          </cell>
          <cell r="C54" t="str">
            <v>Bury</v>
          </cell>
          <cell r="J54">
            <v>1.0082072667712707</v>
          </cell>
          <cell r="X54">
            <v>42327.241038118351</v>
          </cell>
          <cell r="AA54">
            <v>4177.0027062333747</v>
          </cell>
          <cell r="AE54">
            <v>4453.2514973287025</v>
          </cell>
          <cell r="AH54">
            <v>3697.0960472502497</v>
          </cell>
          <cell r="AN54">
            <v>1532.4750454923314</v>
          </cell>
          <cell r="AQ54">
            <v>1642.3696375704001</v>
          </cell>
          <cell r="AT54">
            <v>948.72303803176578</v>
          </cell>
          <cell r="AW54">
            <v>212.73173328873813</v>
          </cell>
          <cell r="AZ54">
            <v>1421.5722461474918</v>
          </cell>
          <cell r="BC54">
            <v>464.78354998155578</v>
          </cell>
          <cell r="BF54">
            <v>323.63453263357792</v>
          </cell>
          <cell r="BN54">
            <v>0</v>
          </cell>
        </row>
        <row r="55">
          <cell r="B55">
            <v>352</v>
          </cell>
          <cell r="C55" t="str">
            <v>Manchester</v>
          </cell>
          <cell r="J55">
            <v>1.0082072667712707</v>
          </cell>
          <cell r="X55">
            <v>117436.86663129057</v>
          </cell>
          <cell r="AA55">
            <v>20717.651124882843</v>
          </cell>
          <cell r="AE55">
            <v>8318.7181581297555</v>
          </cell>
          <cell r="AH55">
            <v>12613.681114575367</v>
          </cell>
          <cell r="AN55">
            <v>15078.747881831125</v>
          </cell>
          <cell r="AQ55">
            <v>27876.930926225636</v>
          </cell>
          <cell r="AT55">
            <v>15286.438578786006</v>
          </cell>
          <cell r="AW55">
            <v>979.97746330167513</v>
          </cell>
          <cell r="AZ55">
            <v>4355.4553924518896</v>
          </cell>
          <cell r="BC55">
            <v>1500.2124129556507</v>
          </cell>
          <cell r="BF55">
            <v>2178.7359034927158</v>
          </cell>
          <cell r="BN55">
            <v>0</v>
          </cell>
        </row>
        <row r="56">
          <cell r="B56">
            <v>353</v>
          </cell>
          <cell r="C56" t="str">
            <v>Oldham</v>
          </cell>
          <cell r="J56">
            <v>1.0082072667712707</v>
          </cell>
          <cell r="X56">
            <v>56065.897968687903</v>
          </cell>
          <cell r="AA56">
            <v>7323.6175858265105</v>
          </cell>
          <cell r="AE56">
            <v>6120.8263165683848</v>
          </cell>
          <cell r="AH56">
            <v>6516.0435651427224</v>
          </cell>
          <cell r="AN56">
            <v>5433.2289606303775</v>
          </cell>
          <cell r="AQ56">
            <v>7192.5506411462457</v>
          </cell>
          <cell r="AT56">
            <v>2300.7289827720397</v>
          </cell>
          <cell r="AW56">
            <v>423.4470520439337</v>
          </cell>
          <cell r="AZ56">
            <v>2137.3994055550938</v>
          </cell>
          <cell r="BC56">
            <v>674.49066146998007</v>
          </cell>
          <cell r="BF56">
            <v>1040.4698993079514</v>
          </cell>
          <cell r="BN56">
            <v>0</v>
          </cell>
        </row>
        <row r="57">
          <cell r="B57">
            <v>354</v>
          </cell>
          <cell r="C57" t="str">
            <v>Rochdale</v>
          </cell>
          <cell r="J57">
            <v>1.0082072667712707</v>
          </cell>
          <cell r="X57">
            <v>48695.346318178657</v>
          </cell>
          <cell r="AA57">
            <v>7011.0733331274168</v>
          </cell>
          <cell r="AE57">
            <v>4701.2704849544352</v>
          </cell>
          <cell r="AH57">
            <v>8505.2365024824394</v>
          </cell>
          <cell r="AN57">
            <v>3855.3845881333391</v>
          </cell>
          <cell r="AQ57">
            <v>8121.1095338425857</v>
          </cell>
          <cell r="AT57">
            <v>1413.5065880133216</v>
          </cell>
          <cell r="AW57">
            <v>343.79867796900334</v>
          </cell>
          <cell r="AZ57">
            <v>2117.2352602196684</v>
          </cell>
          <cell r="BC57">
            <v>608.95718912984751</v>
          </cell>
          <cell r="BF57">
            <v>754.13903554491048</v>
          </cell>
          <cell r="BN57">
            <v>0</v>
          </cell>
        </row>
        <row r="58">
          <cell r="B58">
            <v>355</v>
          </cell>
          <cell r="C58" t="str">
            <v>Salford</v>
          </cell>
          <cell r="J58">
            <v>1.0082072667712707</v>
          </cell>
          <cell r="X58">
            <v>54273.293349881402</v>
          </cell>
          <cell r="AA58">
            <v>6909.244399183518</v>
          </cell>
          <cell r="AE58">
            <v>4195.1504370352577</v>
          </cell>
          <cell r="AH58">
            <v>4869.6410985052371</v>
          </cell>
          <cell r="AN58">
            <v>4353.4389779183466</v>
          </cell>
          <cell r="AQ58">
            <v>7903.336764219991</v>
          </cell>
          <cell r="AT58">
            <v>5602.6077814479513</v>
          </cell>
          <cell r="AW58">
            <v>343.79867796900334</v>
          </cell>
          <cell r="AZ58">
            <v>2117.2352602196684</v>
          </cell>
          <cell r="BC58">
            <v>525.27598598783209</v>
          </cell>
          <cell r="BF58">
            <v>674.49066146998007</v>
          </cell>
          <cell r="BN58">
            <v>0</v>
          </cell>
        </row>
        <row r="59">
          <cell r="B59">
            <v>356</v>
          </cell>
          <cell r="C59" t="str">
            <v>Stockport</v>
          </cell>
          <cell r="J59">
            <v>1.0082072667712707</v>
          </cell>
          <cell r="X59">
            <v>61681.85239793337</v>
          </cell>
          <cell r="AA59">
            <v>5281.9978706146876</v>
          </cell>
          <cell r="AE59">
            <v>5028.9378466550979</v>
          </cell>
          <cell r="AH59">
            <v>6064.3667096291929</v>
          </cell>
          <cell r="AN59">
            <v>397.23366310788066</v>
          </cell>
          <cell r="AQ59">
            <v>2411.6317821168795</v>
          </cell>
          <cell r="AT59">
            <v>2157.5635508905193</v>
          </cell>
          <cell r="AW59">
            <v>293.38831463043977</v>
          </cell>
          <cell r="AZ59">
            <v>2097.0711148842429</v>
          </cell>
          <cell r="BC59">
            <v>548.46475312357131</v>
          </cell>
          <cell r="BF59">
            <v>753.13082827813923</v>
          </cell>
          <cell r="BN59">
            <v>0</v>
          </cell>
        </row>
        <row r="60">
          <cell r="B60">
            <v>357</v>
          </cell>
          <cell r="C60" t="str">
            <v>Tameside</v>
          </cell>
          <cell r="J60">
            <v>1.0082072667712707</v>
          </cell>
          <cell r="X60">
            <v>47854.926921157996</v>
          </cell>
          <cell r="AA60">
            <v>6174.2613017072617</v>
          </cell>
          <cell r="AE60">
            <v>6463.6167872706164</v>
          </cell>
          <cell r="AH60">
            <v>6286.1723083188726</v>
          </cell>
          <cell r="AN60">
            <v>2613.2732354711338</v>
          </cell>
          <cell r="AQ60">
            <v>3770.6951777245527</v>
          </cell>
          <cell r="AT60">
            <v>1601.0331396327779</v>
          </cell>
          <cell r="AW60">
            <v>285.32265649626959</v>
          </cell>
          <cell r="AZ60">
            <v>1451.8184641506298</v>
          </cell>
          <cell r="BC60">
            <v>509.14466971949173</v>
          </cell>
          <cell r="BF60">
            <v>758.1718646119956</v>
          </cell>
          <cell r="BN60">
            <v>0</v>
          </cell>
        </row>
        <row r="61">
          <cell r="B61">
            <v>358</v>
          </cell>
          <cell r="C61" t="str">
            <v>Trafford</v>
          </cell>
          <cell r="J61">
            <v>1.0082072667712707</v>
          </cell>
          <cell r="X61">
            <v>55428.72912381927</v>
          </cell>
          <cell r="AA61">
            <v>3494.4463866292244</v>
          </cell>
          <cell r="AE61">
            <v>2619.3224790717613</v>
          </cell>
          <cell r="AH61">
            <v>3130.4835633247953</v>
          </cell>
          <cell r="AN61">
            <v>1794.6089348528619</v>
          </cell>
          <cell r="AQ61">
            <v>2658.6425624758408</v>
          </cell>
          <cell r="AT61">
            <v>556.53041125774143</v>
          </cell>
          <cell r="AW61">
            <v>224.83022048999337</v>
          </cell>
          <cell r="AZ61">
            <v>1270.3411561318012</v>
          </cell>
          <cell r="BC61">
            <v>372.02848143859887</v>
          </cell>
          <cell r="BF61">
            <v>458.73430638092816</v>
          </cell>
          <cell r="BN61">
            <v>0</v>
          </cell>
        </row>
        <row r="62">
          <cell r="B62">
            <v>359</v>
          </cell>
          <cell r="C62" t="str">
            <v>Wigan</v>
          </cell>
          <cell r="J62">
            <v>1.0082072667712707</v>
          </cell>
          <cell r="X62">
            <v>65437.240972933818</v>
          </cell>
          <cell r="AA62">
            <v>6464.6249945373875</v>
          </cell>
          <cell r="AE62">
            <v>7552.4806353835893</v>
          </cell>
          <cell r="AH62">
            <v>6119.8181093016128</v>
          </cell>
          <cell r="AN62">
            <v>3405.7241471533525</v>
          </cell>
          <cell r="AQ62">
            <v>5503.8034693043664</v>
          </cell>
          <cell r="AT62">
            <v>1932.733330400526</v>
          </cell>
          <cell r="AW62">
            <v>357.91357970380108</v>
          </cell>
          <cell r="AZ62">
            <v>2218.0559868967957</v>
          </cell>
          <cell r="BC62">
            <v>594.84228739504977</v>
          </cell>
          <cell r="BF62">
            <v>775.31138814710721</v>
          </cell>
          <cell r="BN62">
            <v>0</v>
          </cell>
        </row>
        <row r="63">
          <cell r="B63">
            <v>370</v>
          </cell>
          <cell r="C63" t="str">
            <v>Barnsley</v>
          </cell>
          <cell r="J63">
            <v>1</v>
          </cell>
          <cell r="X63">
            <v>48960.421999999999</v>
          </cell>
          <cell r="AA63">
            <v>6176</v>
          </cell>
          <cell r="AE63">
            <v>5454</v>
          </cell>
          <cell r="AH63">
            <v>5397</v>
          </cell>
          <cell r="AN63">
            <v>2768</v>
          </cell>
          <cell r="AQ63">
            <v>7722</v>
          </cell>
          <cell r="AT63">
            <v>1151</v>
          </cell>
          <cell r="AW63">
            <v>308</v>
          </cell>
          <cell r="AZ63">
            <v>2050</v>
          </cell>
          <cell r="BC63">
            <v>668</v>
          </cell>
          <cell r="BF63">
            <v>831</v>
          </cell>
          <cell r="BN63">
            <v>0</v>
          </cell>
        </row>
        <row r="64">
          <cell r="B64">
            <v>371</v>
          </cell>
          <cell r="C64" t="str">
            <v>Doncaster</v>
          </cell>
          <cell r="J64">
            <v>1</v>
          </cell>
          <cell r="X64">
            <v>62118.741000000002</v>
          </cell>
          <cell r="AA64">
            <v>7389</v>
          </cell>
          <cell r="AE64">
            <v>8681</v>
          </cell>
          <cell r="AH64">
            <v>2635</v>
          </cell>
          <cell r="AN64">
            <v>4822</v>
          </cell>
          <cell r="AQ64">
            <v>8324</v>
          </cell>
          <cell r="AT64">
            <v>1921</v>
          </cell>
          <cell r="AW64">
            <v>372</v>
          </cell>
          <cell r="AZ64">
            <v>2200</v>
          </cell>
          <cell r="BC64">
            <v>885</v>
          </cell>
          <cell r="BF64">
            <v>1061</v>
          </cell>
          <cell r="BN64">
            <v>0</v>
          </cell>
        </row>
        <row r="65">
          <cell r="B65">
            <v>372</v>
          </cell>
          <cell r="C65" t="str">
            <v>Rotherham</v>
          </cell>
          <cell r="J65">
            <v>1</v>
          </cell>
          <cell r="X65">
            <v>54443.087000000007</v>
          </cell>
          <cell r="AA65">
            <v>6557</v>
          </cell>
          <cell r="AE65">
            <v>6862</v>
          </cell>
          <cell r="AH65">
            <v>6346</v>
          </cell>
          <cell r="AN65">
            <v>4636</v>
          </cell>
          <cell r="AQ65">
            <v>3570</v>
          </cell>
          <cell r="AT65">
            <v>3997</v>
          </cell>
          <cell r="AW65">
            <v>413</v>
          </cell>
          <cell r="AZ65">
            <v>2530</v>
          </cell>
          <cell r="BC65">
            <v>929</v>
          </cell>
          <cell r="BF65">
            <v>946</v>
          </cell>
          <cell r="BN65">
            <v>0</v>
          </cell>
        </row>
        <row r="66">
          <cell r="B66">
            <v>373</v>
          </cell>
          <cell r="C66" t="str">
            <v>Sheffield</v>
          </cell>
          <cell r="J66">
            <v>1</v>
          </cell>
          <cell r="X66">
            <v>114063.29399999999</v>
          </cell>
          <cell r="AA66">
            <v>16411</v>
          </cell>
          <cell r="AE66">
            <v>7850</v>
          </cell>
          <cell r="AH66">
            <v>8377</v>
          </cell>
          <cell r="AN66">
            <v>12558</v>
          </cell>
          <cell r="AQ66">
            <v>18294</v>
          </cell>
          <cell r="AT66">
            <v>4461</v>
          </cell>
          <cell r="AW66">
            <v>828</v>
          </cell>
          <cell r="AZ66">
            <v>5330</v>
          </cell>
          <cell r="BC66">
            <v>1891</v>
          </cell>
          <cell r="BF66">
            <v>2106</v>
          </cell>
          <cell r="BN66">
            <v>0</v>
          </cell>
        </row>
        <row r="67">
          <cell r="B67">
            <v>380</v>
          </cell>
          <cell r="C67" t="str">
            <v>Bradford</v>
          </cell>
          <cell r="J67">
            <v>1.0002429734488885</v>
          </cell>
          <cell r="X67">
            <v>132907.30810260944</v>
          </cell>
          <cell r="AA67">
            <v>18332.453217371229</v>
          </cell>
          <cell r="AE67">
            <v>17127.160434365316</v>
          </cell>
          <cell r="AH67">
            <v>22046.355377786949</v>
          </cell>
          <cell r="AN67">
            <v>8065.9593378918362</v>
          </cell>
          <cell r="AQ67">
            <v>15486.761957909141</v>
          </cell>
          <cell r="AT67">
            <v>4315.0481874585048</v>
          </cell>
          <cell r="AW67">
            <v>1133.2752889175906</v>
          </cell>
          <cell r="AZ67">
            <v>4411.0715129095979</v>
          </cell>
          <cell r="BC67">
            <v>2224.5403729503278</v>
          </cell>
          <cell r="BF67">
            <v>2406.5845941180255</v>
          </cell>
          <cell r="BN67">
            <v>0</v>
          </cell>
        </row>
        <row r="68">
          <cell r="B68">
            <v>381</v>
          </cell>
          <cell r="C68" t="str">
            <v>Calderdale</v>
          </cell>
          <cell r="J68">
            <v>1.0002429734488885</v>
          </cell>
          <cell r="X68">
            <v>44295.193941661048</v>
          </cell>
          <cell r="AA68">
            <v>4696.1407603425314</v>
          </cell>
          <cell r="AE68">
            <v>5416.3157012257307</v>
          </cell>
          <cell r="AH68">
            <v>3262.7925793902741</v>
          </cell>
          <cell r="AN68">
            <v>2328.5656421890121</v>
          </cell>
          <cell r="AQ68">
            <v>3209.7797017974831</v>
          </cell>
          <cell r="AT68">
            <v>1750.4252035355548</v>
          </cell>
          <cell r="AW68">
            <v>247.06001444187544</v>
          </cell>
          <cell r="AZ68">
            <v>1280.3110060145773</v>
          </cell>
          <cell r="BC68">
            <v>495.12027185719978</v>
          </cell>
          <cell r="BF68">
            <v>482.11711320236424</v>
          </cell>
          <cell r="BN68">
            <v>0</v>
          </cell>
        </row>
        <row r="69">
          <cell r="B69">
            <v>382</v>
          </cell>
          <cell r="C69" t="str">
            <v>Kirklees</v>
          </cell>
          <cell r="J69">
            <v>1.0002429734488885</v>
          </cell>
          <cell r="X69">
            <v>96247.273851390637</v>
          </cell>
          <cell r="AA69">
            <v>12871.126582340297</v>
          </cell>
          <cell r="AE69">
            <v>14478.517040672661</v>
          </cell>
          <cell r="AH69">
            <v>8810.1401101378087</v>
          </cell>
          <cell r="AN69">
            <v>4661.1322562718206</v>
          </cell>
          <cell r="AQ69">
            <v>4825.1721039174381</v>
          </cell>
          <cell r="AT69">
            <v>903.21940502434632</v>
          </cell>
          <cell r="AW69">
            <v>604.14675596312861</v>
          </cell>
          <cell r="AZ69">
            <v>2410.5855660118214</v>
          </cell>
          <cell r="BC69">
            <v>1225.2976424748883</v>
          </cell>
          <cell r="BF69">
            <v>1057.2568229354752</v>
          </cell>
          <cell r="BN69">
            <v>0</v>
          </cell>
        </row>
        <row r="70">
          <cell r="B70">
            <v>383</v>
          </cell>
          <cell r="C70" t="str">
            <v>Leeds</v>
          </cell>
          <cell r="J70">
            <v>1.0002429734488885</v>
          </cell>
          <cell r="X70">
            <v>162412.98445707827</v>
          </cell>
          <cell r="AA70">
            <v>18849.578834644304</v>
          </cell>
          <cell r="AE70">
            <v>10023.434836931312</v>
          </cell>
          <cell r="AH70">
            <v>15695.812739359957</v>
          </cell>
          <cell r="AN70">
            <v>10163.468853214155</v>
          </cell>
          <cell r="AQ70">
            <v>21746.282485752283</v>
          </cell>
          <cell r="AT70">
            <v>8626.0954030232133</v>
          </cell>
          <cell r="AW70">
            <v>827.20093904223074</v>
          </cell>
          <cell r="AZ70">
            <v>4060.9864722024872</v>
          </cell>
          <cell r="BC70">
            <v>2029.4929931277948</v>
          </cell>
          <cell r="BF70">
            <v>2643.6421788254124</v>
          </cell>
          <cell r="BN70">
            <v>0</v>
          </cell>
        </row>
        <row r="71">
          <cell r="B71">
            <v>384</v>
          </cell>
          <cell r="C71" t="str">
            <v>Wakefield</v>
          </cell>
          <cell r="J71">
            <v>1.0002429734488885</v>
          </cell>
          <cell r="X71">
            <v>67888.330054804246</v>
          </cell>
          <cell r="AA71">
            <v>6637.6123718068238</v>
          </cell>
          <cell r="AE71">
            <v>7667.8626344591794</v>
          </cell>
          <cell r="AH71">
            <v>8105.969056829792</v>
          </cell>
          <cell r="AN71">
            <v>5391.3096268895088</v>
          </cell>
          <cell r="AQ71">
            <v>5731.392237862131</v>
          </cell>
          <cell r="AT71">
            <v>2080.5053847736881</v>
          </cell>
          <cell r="AW71">
            <v>364.08844233539543</v>
          </cell>
          <cell r="AZ71">
            <v>2630.6390201705767</v>
          </cell>
          <cell r="BC71">
            <v>971.23592721887064</v>
          </cell>
          <cell r="BF71">
            <v>1055.2563369885772</v>
          </cell>
          <cell r="BN71">
            <v>0</v>
          </cell>
        </row>
        <row r="72">
          <cell r="B72">
            <v>390</v>
          </cell>
          <cell r="C72" t="str">
            <v>Gateshead</v>
          </cell>
          <cell r="J72">
            <v>1</v>
          </cell>
          <cell r="X72">
            <v>38444.385000000009</v>
          </cell>
          <cell r="AA72">
            <v>4379</v>
          </cell>
          <cell r="AE72">
            <v>4365</v>
          </cell>
          <cell r="AH72">
            <v>4780</v>
          </cell>
          <cell r="AN72">
            <v>1540</v>
          </cell>
          <cell r="AQ72">
            <v>2452</v>
          </cell>
          <cell r="AT72">
            <v>1531</v>
          </cell>
          <cell r="AW72">
            <v>250</v>
          </cell>
          <cell r="AZ72">
            <v>1380</v>
          </cell>
          <cell r="BC72">
            <v>388</v>
          </cell>
          <cell r="BF72">
            <v>622</v>
          </cell>
          <cell r="BN72">
            <v>0</v>
          </cell>
        </row>
        <row r="73">
          <cell r="B73">
            <v>391</v>
          </cell>
          <cell r="C73" t="str">
            <v>Newcastle upon Tyne</v>
          </cell>
          <cell r="J73">
            <v>1</v>
          </cell>
          <cell r="X73">
            <v>56924.847999999998</v>
          </cell>
          <cell r="AA73">
            <v>8811</v>
          </cell>
          <cell r="AE73">
            <v>4530</v>
          </cell>
          <cell r="AH73">
            <v>3275</v>
          </cell>
          <cell r="AN73">
            <v>3575</v>
          </cell>
          <cell r="AQ73">
            <v>11418</v>
          </cell>
          <cell r="AT73">
            <v>5003</v>
          </cell>
          <cell r="AW73">
            <v>454</v>
          </cell>
          <cell r="AZ73">
            <v>2000</v>
          </cell>
          <cell r="BC73">
            <v>643</v>
          </cell>
          <cell r="BF73">
            <v>814</v>
          </cell>
          <cell r="BN73">
            <v>0</v>
          </cell>
        </row>
        <row r="74">
          <cell r="B74">
            <v>392</v>
          </cell>
          <cell r="C74" t="str">
            <v>North Tyneside</v>
          </cell>
          <cell r="J74">
            <v>1</v>
          </cell>
          <cell r="X74">
            <v>39071.485999999997</v>
          </cell>
          <cell r="AA74">
            <v>3935</v>
          </cell>
          <cell r="AE74">
            <v>3538</v>
          </cell>
          <cell r="AH74">
            <v>3340</v>
          </cell>
          <cell r="AN74">
            <v>4398</v>
          </cell>
          <cell r="AQ74">
            <v>2087</v>
          </cell>
          <cell r="AT74">
            <v>1262</v>
          </cell>
          <cell r="AW74">
            <v>222</v>
          </cell>
          <cell r="AZ74">
            <v>1550</v>
          </cell>
          <cell r="BC74">
            <v>387</v>
          </cell>
          <cell r="BF74">
            <v>478</v>
          </cell>
          <cell r="BN74">
            <v>0</v>
          </cell>
        </row>
        <row r="75">
          <cell r="B75">
            <v>393</v>
          </cell>
          <cell r="C75" t="str">
            <v>South Tyneside</v>
          </cell>
          <cell r="J75">
            <v>1</v>
          </cell>
          <cell r="X75">
            <v>28185.927999999996</v>
          </cell>
          <cell r="AA75">
            <v>4316</v>
          </cell>
          <cell r="AE75">
            <v>2959</v>
          </cell>
          <cell r="AH75">
            <v>2153</v>
          </cell>
          <cell r="AN75">
            <v>4308</v>
          </cell>
          <cell r="AQ75">
            <v>4109</v>
          </cell>
          <cell r="AT75">
            <v>1457</v>
          </cell>
          <cell r="AW75">
            <v>178</v>
          </cell>
          <cell r="AZ75">
            <v>1230</v>
          </cell>
          <cell r="BC75">
            <v>318</v>
          </cell>
          <cell r="BF75">
            <v>390</v>
          </cell>
          <cell r="BN75">
            <v>0</v>
          </cell>
        </row>
        <row r="76">
          <cell r="B76">
            <v>394</v>
          </cell>
          <cell r="C76" t="str">
            <v>Sunderland</v>
          </cell>
          <cell r="J76">
            <v>1</v>
          </cell>
          <cell r="X76">
            <v>52047.760000000009</v>
          </cell>
          <cell r="AA76">
            <v>8480</v>
          </cell>
          <cell r="AE76">
            <v>5839</v>
          </cell>
          <cell r="AH76">
            <v>4179</v>
          </cell>
          <cell r="AN76">
            <v>6473</v>
          </cell>
          <cell r="AQ76">
            <v>6674</v>
          </cell>
          <cell r="AT76">
            <v>2557</v>
          </cell>
          <cell r="AW76">
            <v>328</v>
          </cell>
          <cell r="AZ76">
            <v>2350</v>
          </cell>
          <cell r="BC76">
            <v>603</v>
          </cell>
          <cell r="BF76">
            <v>884</v>
          </cell>
          <cell r="BN76">
            <v>0</v>
          </cell>
        </row>
        <row r="77">
          <cell r="B77">
            <v>800</v>
          </cell>
          <cell r="C77" t="str">
            <v>Bath and North East Somerset</v>
          </cell>
          <cell r="J77">
            <v>1.021975426906069</v>
          </cell>
          <cell r="X77">
            <v>35840.329727975266</v>
          </cell>
          <cell r="AA77">
            <v>2172.7197576023027</v>
          </cell>
          <cell r="AE77">
            <v>1537.0510420667279</v>
          </cell>
          <cell r="AH77">
            <v>2551.8726409844544</v>
          </cell>
          <cell r="AN77">
            <v>992.33813952579305</v>
          </cell>
          <cell r="AQ77">
            <v>529.38327113734374</v>
          </cell>
          <cell r="AT77">
            <v>0</v>
          </cell>
          <cell r="AW77">
            <v>146.14248604756787</v>
          </cell>
          <cell r="AZ77">
            <v>1103.7334610585544</v>
          </cell>
          <cell r="BC77">
            <v>323.96621032922388</v>
          </cell>
          <cell r="BF77">
            <v>478.28449979204032</v>
          </cell>
          <cell r="BN77">
            <v>0</v>
          </cell>
        </row>
        <row r="78">
          <cell r="B78">
            <v>801</v>
          </cell>
          <cell r="C78" t="str">
            <v>Bristol, City of</v>
          </cell>
          <cell r="J78">
            <v>1.021975426906069</v>
          </cell>
          <cell r="X78">
            <v>95143.571921227427</v>
          </cell>
          <cell r="AA78">
            <v>11001.565470643833</v>
          </cell>
          <cell r="AE78">
            <v>10873.818542280575</v>
          </cell>
          <cell r="AH78">
            <v>8720.5163177894865</v>
          </cell>
          <cell r="AN78">
            <v>7536.0467980053527</v>
          </cell>
          <cell r="AQ78">
            <v>13330.647468562764</v>
          </cell>
          <cell r="AT78">
            <v>4954.5368696406222</v>
          </cell>
          <cell r="AW78">
            <v>628.51488754723243</v>
          </cell>
          <cell r="AZ78">
            <v>3035.2670179110251</v>
          </cell>
          <cell r="BC78">
            <v>1082.2719770935271</v>
          </cell>
          <cell r="BF78">
            <v>1400.1063348613145</v>
          </cell>
          <cell r="BN78">
            <v>0</v>
          </cell>
        </row>
        <row r="79">
          <cell r="B79">
            <v>802</v>
          </cell>
          <cell r="C79" t="str">
            <v>North Somerset</v>
          </cell>
          <cell r="J79">
            <v>1.021975426906069</v>
          </cell>
          <cell r="X79">
            <v>43798.81517856937</v>
          </cell>
          <cell r="AA79">
            <v>2639.7625276983763</v>
          </cell>
          <cell r="AE79">
            <v>1678.0836509797653</v>
          </cell>
          <cell r="AH79">
            <v>2091.9836988767233</v>
          </cell>
          <cell r="AN79">
            <v>158.40619117044071</v>
          </cell>
          <cell r="AQ79">
            <v>2283.0931037081582</v>
          </cell>
          <cell r="AT79">
            <v>1065.92037026303</v>
          </cell>
          <cell r="AW79">
            <v>205.41706080811988</v>
          </cell>
          <cell r="AZ79">
            <v>1144.6124781347974</v>
          </cell>
          <cell r="BC79">
            <v>402.65831820099118</v>
          </cell>
          <cell r="BF79">
            <v>568.21833735977441</v>
          </cell>
          <cell r="BN79">
            <v>0</v>
          </cell>
        </row>
        <row r="80">
          <cell r="B80">
            <v>803</v>
          </cell>
          <cell r="C80" t="str">
            <v>South Gloucestershire</v>
          </cell>
          <cell r="J80">
            <v>1.021975426906069</v>
          </cell>
          <cell r="X80">
            <v>58653.522337572038</v>
          </cell>
          <cell r="AA80">
            <v>3033.223067057213</v>
          </cell>
          <cell r="AE80">
            <v>6105.2812003368563</v>
          </cell>
          <cell r="AH80">
            <v>3150.7502411514106</v>
          </cell>
          <cell r="AN80">
            <v>193.15335568524705</v>
          </cell>
          <cell r="AQ80">
            <v>0</v>
          </cell>
          <cell r="AT80">
            <v>0</v>
          </cell>
          <cell r="AW80">
            <v>275.93336526463861</v>
          </cell>
          <cell r="AZ80">
            <v>1757.7977342784386</v>
          </cell>
          <cell r="BC80">
            <v>527.33932028353161</v>
          </cell>
          <cell r="BF80">
            <v>750.12996334905461</v>
          </cell>
          <cell r="BN80">
            <v>0</v>
          </cell>
        </row>
        <row r="81">
          <cell r="B81">
            <v>805</v>
          </cell>
          <cell r="C81" t="str">
            <v>Hartlepool</v>
          </cell>
          <cell r="J81">
            <v>1</v>
          </cell>
          <cell r="X81">
            <v>18962.283000000003</v>
          </cell>
          <cell r="AA81">
            <v>3338</v>
          </cell>
          <cell r="AE81">
            <v>325</v>
          </cell>
          <cell r="AH81">
            <v>1189</v>
          </cell>
          <cell r="AN81">
            <v>1261</v>
          </cell>
          <cell r="AQ81">
            <v>4133</v>
          </cell>
          <cell r="AT81">
            <v>3100</v>
          </cell>
          <cell r="AW81">
            <v>110</v>
          </cell>
          <cell r="AZ81">
            <v>800</v>
          </cell>
          <cell r="BC81">
            <v>193</v>
          </cell>
          <cell r="BF81">
            <v>340</v>
          </cell>
          <cell r="BN81">
            <v>0</v>
          </cell>
        </row>
        <row r="82">
          <cell r="B82">
            <v>806</v>
          </cell>
          <cell r="C82" t="str">
            <v>Middlesbrough</v>
          </cell>
          <cell r="J82">
            <v>1</v>
          </cell>
          <cell r="X82">
            <v>31003.977999999996</v>
          </cell>
          <cell r="AA82">
            <v>6216</v>
          </cell>
          <cell r="AE82">
            <v>2175</v>
          </cell>
          <cell r="AH82">
            <v>1497</v>
          </cell>
          <cell r="AN82">
            <v>685</v>
          </cell>
          <cell r="AQ82">
            <v>5391</v>
          </cell>
          <cell r="AT82">
            <v>9692</v>
          </cell>
          <cell r="AW82">
            <v>260</v>
          </cell>
          <cell r="AZ82">
            <v>1320</v>
          </cell>
          <cell r="BC82">
            <v>494</v>
          </cell>
          <cell r="BF82">
            <v>637</v>
          </cell>
          <cell r="BN82">
            <v>0</v>
          </cell>
        </row>
        <row r="83">
          <cell r="B83">
            <v>807</v>
          </cell>
          <cell r="C83" t="str">
            <v>Redcar and Cleveland</v>
          </cell>
          <cell r="J83">
            <v>1</v>
          </cell>
          <cell r="X83">
            <v>25844.418000000001</v>
          </cell>
          <cell r="AA83">
            <v>3802</v>
          </cell>
          <cell r="AE83">
            <v>3042</v>
          </cell>
          <cell r="AH83">
            <v>1776</v>
          </cell>
          <cell r="AN83">
            <v>2207</v>
          </cell>
          <cell r="AQ83">
            <v>2885</v>
          </cell>
          <cell r="AT83">
            <v>3488</v>
          </cell>
          <cell r="AW83">
            <v>196</v>
          </cell>
          <cell r="AZ83">
            <v>1130</v>
          </cell>
          <cell r="BC83">
            <v>306</v>
          </cell>
          <cell r="BF83">
            <v>569</v>
          </cell>
          <cell r="BN83">
            <v>0</v>
          </cell>
        </row>
        <row r="84">
          <cell r="B84">
            <v>808</v>
          </cell>
          <cell r="C84" t="str">
            <v>Stockton-on-Tees</v>
          </cell>
          <cell r="J84">
            <v>1</v>
          </cell>
          <cell r="X84">
            <v>41880.347999999998</v>
          </cell>
          <cell r="AA84">
            <v>5221</v>
          </cell>
          <cell r="AE84">
            <v>1834</v>
          </cell>
          <cell r="AH84">
            <v>3265</v>
          </cell>
          <cell r="AN84">
            <v>3346</v>
          </cell>
          <cell r="AQ84">
            <v>4761</v>
          </cell>
          <cell r="AT84">
            <v>2934</v>
          </cell>
          <cell r="AW84">
            <v>289</v>
          </cell>
          <cell r="AZ84">
            <v>1690</v>
          </cell>
          <cell r="BC84">
            <v>521</v>
          </cell>
          <cell r="BF84">
            <v>684</v>
          </cell>
          <cell r="BN84">
            <v>0</v>
          </cell>
        </row>
        <row r="85">
          <cell r="B85">
            <v>810</v>
          </cell>
          <cell r="C85" t="str">
            <v>Kingston Upon Hull, City of</v>
          </cell>
          <cell r="J85">
            <v>1</v>
          </cell>
          <cell r="X85">
            <v>53421.920000000013</v>
          </cell>
          <cell r="AA85">
            <v>9390</v>
          </cell>
          <cell r="AE85">
            <v>3489</v>
          </cell>
          <cell r="AH85">
            <v>3403</v>
          </cell>
          <cell r="AN85">
            <v>3626</v>
          </cell>
          <cell r="AQ85">
            <v>9435</v>
          </cell>
          <cell r="AT85">
            <v>13014</v>
          </cell>
          <cell r="AW85">
            <v>355</v>
          </cell>
          <cell r="AZ85">
            <v>1980</v>
          </cell>
          <cell r="BC85">
            <v>736</v>
          </cell>
          <cell r="BF85">
            <v>819</v>
          </cell>
          <cell r="BN85">
            <v>0</v>
          </cell>
        </row>
        <row r="86">
          <cell r="B86">
            <v>811</v>
          </cell>
          <cell r="C86" t="str">
            <v>East Riding of Yorkshire</v>
          </cell>
          <cell r="J86">
            <v>1</v>
          </cell>
          <cell r="X86">
            <v>61326.545999999988</v>
          </cell>
          <cell r="AA86">
            <v>4916</v>
          </cell>
          <cell r="AE86">
            <v>5538</v>
          </cell>
          <cell r="AH86">
            <v>2308</v>
          </cell>
          <cell r="AN86">
            <v>1990</v>
          </cell>
          <cell r="AQ86">
            <v>1397</v>
          </cell>
          <cell r="AT86">
            <v>217</v>
          </cell>
          <cell r="AW86">
            <v>254</v>
          </cell>
          <cell r="AZ86">
            <v>1620</v>
          </cell>
          <cell r="BC86">
            <v>601</v>
          </cell>
          <cell r="BF86">
            <v>680</v>
          </cell>
          <cell r="BN86">
            <v>0</v>
          </cell>
        </row>
        <row r="87">
          <cell r="B87">
            <v>812</v>
          </cell>
          <cell r="C87" t="str">
            <v>North East Lincolnshire</v>
          </cell>
          <cell r="J87">
            <v>1</v>
          </cell>
          <cell r="X87">
            <v>32684.552999999996</v>
          </cell>
          <cell r="AA87">
            <v>3789</v>
          </cell>
          <cell r="AE87">
            <v>3277</v>
          </cell>
          <cell r="AH87">
            <v>1493</v>
          </cell>
          <cell r="AN87">
            <v>2541</v>
          </cell>
          <cell r="AQ87">
            <v>4437</v>
          </cell>
          <cell r="AT87">
            <v>5373</v>
          </cell>
          <cell r="AW87">
            <v>237</v>
          </cell>
          <cell r="AZ87">
            <v>1130</v>
          </cell>
          <cell r="BC87">
            <v>500</v>
          </cell>
          <cell r="BF87">
            <v>564</v>
          </cell>
          <cell r="BN87">
            <v>0</v>
          </cell>
        </row>
        <row r="88">
          <cell r="B88">
            <v>813</v>
          </cell>
          <cell r="C88" t="str">
            <v>North Lincolnshire</v>
          </cell>
          <cell r="J88">
            <v>1</v>
          </cell>
          <cell r="X88">
            <v>33654.942000000003</v>
          </cell>
          <cell r="AA88">
            <v>3274</v>
          </cell>
          <cell r="AE88">
            <v>3363</v>
          </cell>
          <cell r="AH88">
            <v>3418</v>
          </cell>
          <cell r="AN88">
            <v>1663</v>
          </cell>
          <cell r="AQ88">
            <v>2412</v>
          </cell>
          <cell r="AT88">
            <v>1797</v>
          </cell>
          <cell r="AW88">
            <v>191</v>
          </cell>
          <cell r="AZ88">
            <v>1050</v>
          </cell>
          <cell r="BC88">
            <v>479</v>
          </cell>
          <cell r="BF88">
            <v>487</v>
          </cell>
          <cell r="BN88">
            <v>0</v>
          </cell>
        </row>
        <row r="89">
          <cell r="B89">
            <v>815</v>
          </cell>
          <cell r="C89" t="str">
            <v>North Yorkshire</v>
          </cell>
          <cell r="J89">
            <v>1</v>
          </cell>
          <cell r="X89">
            <v>112248.70800000001</v>
          </cell>
          <cell r="AA89">
            <v>5780</v>
          </cell>
          <cell r="AE89">
            <v>7513</v>
          </cell>
          <cell r="AH89">
            <v>2982</v>
          </cell>
          <cell r="AN89">
            <v>1247</v>
          </cell>
          <cell r="AQ89">
            <v>1001</v>
          </cell>
          <cell r="AT89">
            <v>1626</v>
          </cell>
          <cell r="AW89">
            <v>413</v>
          </cell>
          <cell r="AZ89">
            <v>3020</v>
          </cell>
          <cell r="BC89">
            <v>1301</v>
          </cell>
          <cell r="BF89">
            <v>1297</v>
          </cell>
          <cell r="BN89">
            <v>0</v>
          </cell>
        </row>
        <row r="90">
          <cell r="B90">
            <v>816</v>
          </cell>
          <cell r="C90" t="str">
            <v>York</v>
          </cell>
          <cell r="J90">
            <v>1</v>
          </cell>
          <cell r="X90">
            <v>37069.543999999994</v>
          </cell>
          <cell r="AA90">
            <v>1872</v>
          </cell>
          <cell r="AE90">
            <v>3467</v>
          </cell>
          <cell r="AH90">
            <v>625</v>
          </cell>
          <cell r="AN90">
            <v>1145</v>
          </cell>
          <cell r="AQ90">
            <v>883</v>
          </cell>
          <cell r="AT90">
            <v>0</v>
          </cell>
          <cell r="AW90">
            <v>139</v>
          </cell>
          <cell r="AZ90">
            <v>770</v>
          </cell>
          <cell r="BC90">
            <v>353</v>
          </cell>
          <cell r="BF90">
            <v>269</v>
          </cell>
          <cell r="BN90">
            <v>0</v>
          </cell>
        </row>
        <row r="91">
          <cell r="B91">
            <v>821</v>
          </cell>
          <cell r="C91" t="str">
            <v>Luton</v>
          </cell>
          <cell r="J91">
            <v>1.023570261471221</v>
          </cell>
          <cell r="X91">
            <v>56901.593287962991</v>
          </cell>
          <cell r="AA91">
            <v>6265.2735704653433</v>
          </cell>
          <cell r="AE91">
            <v>9389.2100084755093</v>
          </cell>
          <cell r="AH91">
            <v>4597.8776145287247</v>
          </cell>
          <cell r="AN91">
            <v>2803.5589461696741</v>
          </cell>
          <cell r="AQ91">
            <v>3705.3243465258201</v>
          </cell>
          <cell r="AT91">
            <v>380.76813726729421</v>
          </cell>
          <cell r="AW91">
            <v>374.62671569846691</v>
          </cell>
          <cell r="AZ91">
            <v>1832.1907680334855</v>
          </cell>
          <cell r="BC91">
            <v>785.07839054842646</v>
          </cell>
          <cell r="BF91">
            <v>689.88635623160292</v>
          </cell>
          <cell r="BN91">
            <v>0</v>
          </cell>
        </row>
        <row r="92">
          <cell r="B92">
            <v>822</v>
          </cell>
          <cell r="C92" t="str">
            <v>Bedford Borough</v>
          </cell>
          <cell r="J92">
            <v>1.023570261471221</v>
          </cell>
          <cell r="X92">
            <v>39434.357563824255</v>
          </cell>
          <cell r="AA92">
            <v>2911.0338236241523</v>
          </cell>
          <cell r="AE92">
            <v>4145.4595589584451</v>
          </cell>
          <cell r="AH92">
            <v>3001.1080066336199</v>
          </cell>
          <cell r="AN92">
            <v>2437.1207925629774</v>
          </cell>
          <cell r="AQ92">
            <v>933.49607846175354</v>
          </cell>
          <cell r="AT92">
            <v>393.05098040494886</v>
          </cell>
          <cell r="AW92">
            <v>197.54906046394564</v>
          </cell>
          <cell r="AZ92">
            <v>1187.3415033066162</v>
          </cell>
          <cell r="BC92">
            <v>425.80522877202793</v>
          </cell>
          <cell r="BF92">
            <v>498.47871733648464</v>
          </cell>
          <cell r="BN92">
            <v>0</v>
          </cell>
        </row>
        <row r="93">
          <cell r="B93">
            <v>823</v>
          </cell>
          <cell r="C93" t="str">
            <v>Central Bedfordshire</v>
          </cell>
          <cell r="J93">
            <v>1.023570261471221</v>
          </cell>
          <cell r="X93">
            <v>62414.978757178389</v>
          </cell>
          <cell r="AA93">
            <v>3154.6435458543033</v>
          </cell>
          <cell r="AE93">
            <v>3934.6040850953736</v>
          </cell>
          <cell r="AH93">
            <v>4140.3417076510887</v>
          </cell>
          <cell r="AN93">
            <v>2730.8854576052177</v>
          </cell>
          <cell r="AQ93">
            <v>0</v>
          </cell>
          <cell r="AT93">
            <v>0</v>
          </cell>
          <cell r="AW93">
            <v>235.42116013838083</v>
          </cell>
          <cell r="AZ93">
            <v>1883.3692811070466</v>
          </cell>
          <cell r="BC93">
            <v>621.3071487130311</v>
          </cell>
          <cell r="BF93">
            <v>799.40837420902358</v>
          </cell>
          <cell r="BN93">
            <v>0</v>
          </cell>
        </row>
        <row r="94">
          <cell r="B94">
            <v>825</v>
          </cell>
          <cell r="C94" t="str">
            <v>Buckinghamshire</v>
          </cell>
          <cell r="J94">
            <v>1.0480374594349251</v>
          </cell>
          <cell r="X94">
            <v>126875.4986821888</v>
          </cell>
          <cell r="AA94">
            <v>5169.9687873924859</v>
          </cell>
          <cell r="AE94">
            <v>6131.0191376943121</v>
          </cell>
          <cell r="AH94">
            <v>6511.4567354691899</v>
          </cell>
          <cell r="AN94">
            <v>1028.1247477056615</v>
          </cell>
          <cell r="AQ94">
            <v>0</v>
          </cell>
          <cell r="AT94">
            <v>0</v>
          </cell>
          <cell r="AW94">
            <v>474.76096912402107</v>
          </cell>
          <cell r="AZ94">
            <v>2976.4263847951875</v>
          </cell>
          <cell r="BC94">
            <v>1037.557084840576</v>
          </cell>
          <cell r="BF94">
            <v>1285.9419627266532</v>
          </cell>
          <cell r="BN94">
            <v>0</v>
          </cell>
        </row>
        <row r="95">
          <cell r="B95">
            <v>826</v>
          </cell>
          <cell r="C95" t="str">
            <v>Milton Keynes</v>
          </cell>
          <cell r="J95">
            <v>1.0431206446350318</v>
          </cell>
          <cell r="X95">
            <v>70554.338597266353</v>
          </cell>
          <cell r="AA95">
            <v>5404.4080598541004</v>
          </cell>
          <cell r="AE95">
            <v>8108.1767707481022</v>
          </cell>
          <cell r="AH95">
            <v>5751.7672345175652</v>
          </cell>
          <cell r="AN95">
            <v>2847.7193598536369</v>
          </cell>
          <cell r="AQ95">
            <v>5074.7819361494303</v>
          </cell>
          <cell r="AT95">
            <v>766.69367380674839</v>
          </cell>
          <cell r="AW95">
            <v>297.28938372098406</v>
          </cell>
          <cell r="AZ95">
            <v>1898.4795732357579</v>
          </cell>
          <cell r="BC95">
            <v>654.03664418616495</v>
          </cell>
          <cell r="BF95">
            <v>800.0735344350694</v>
          </cell>
          <cell r="BN95">
            <v>0</v>
          </cell>
        </row>
        <row r="96">
          <cell r="B96">
            <v>830</v>
          </cell>
          <cell r="C96" t="str">
            <v>Derbyshire</v>
          </cell>
          <cell r="J96">
            <v>1</v>
          </cell>
          <cell r="X96">
            <v>147760.62</v>
          </cell>
          <cell r="AA96">
            <v>13533</v>
          </cell>
          <cell r="AE96">
            <v>15368</v>
          </cell>
          <cell r="AH96">
            <v>7654</v>
          </cell>
          <cell r="AN96">
            <v>8208</v>
          </cell>
          <cell r="AQ96">
            <v>8138</v>
          </cell>
          <cell r="AT96">
            <v>758</v>
          </cell>
          <cell r="AW96">
            <v>670</v>
          </cell>
          <cell r="AZ96">
            <v>5020</v>
          </cell>
          <cell r="BC96">
            <v>1478</v>
          </cell>
          <cell r="BF96">
            <v>2124</v>
          </cell>
          <cell r="BN96">
            <v>0</v>
          </cell>
        </row>
        <row r="97">
          <cell r="B97">
            <v>831</v>
          </cell>
          <cell r="C97" t="str">
            <v>Derby</v>
          </cell>
          <cell r="J97">
            <v>1</v>
          </cell>
          <cell r="X97">
            <v>57218.566000000013</v>
          </cell>
          <cell r="AA97">
            <v>6528</v>
          </cell>
          <cell r="AE97">
            <v>5446</v>
          </cell>
          <cell r="AH97">
            <v>4662</v>
          </cell>
          <cell r="AN97">
            <v>6510</v>
          </cell>
          <cell r="AQ97">
            <v>8173</v>
          </cell>
          <cell r="AT97">
            <v>2849</v>
          </cell>
          <cell r="AW97">
            <v>341</v>
          </cell>
          <cell r="AZ97">
            <v>2060</v>
          </cell>
          <cell r="BC97">
            <v>940</v>
          </cell>
          <cell r="BF97">
            <v>965</v>
          </cell>
          <cell r="BN97">
            <v>0</v>
          </cell>
        </row>
        <row r="98">
          <cell r="B98">
            <v>835</v>
          </cell>
          <cell r="C98" t="str">
            <v>Dorset</v>
          </cell>
          <cell r="J98">
            <v>1</v>
          </cell>
          <cell r="X98">
            <v>77006.676000000007</v>
          </cell>
          <cell r="AA98">
            <v>6495</v>
          </cell>
          <cell r="AE98">
            <v>3666</v>
          </cell>
          <cell r="AH98">
            <v>2503</v>
          </cell>
          <cell r="AN98">
            <v>1847</v>
          </cell>
          <cell r="AQ98">
            <v>401</v>
          </cell>
          <cell r="AT98">
            <v>362</v>
          </cell>
          <cell r="AW98">
            <v>350</v>
          </cell>
          <cell r="AZ98">
            <v>2530</v>
          </cell>
          <cell r="BC98">
            <v>837</v>
          </cell>
          <cell r="BF98">
            <v>849</v>
          </cell>
          <cell r="BN98">
            <v>0</v>
          </cell>
        </row>
        <row r="99">
          <cell r="B99">
            <v>836</v>
          </cell>
          <cell r="C99" t="str">
            <v>Poole</v>
          </cell>
          <cell r="J99">
            <v>1</v>
          </cell>
          <cell r="X99">
            <v>29727.271000000001</v>
          </cell>
          <cell r="AA99">
            <v>2106</v>
          </cell>
          <cell r="AE99">
            <v>4373</v>
          </cell>
          <cell r="AH99">
            <v>1849</v>
          </cell>
          <cell r="AN99">
            <v>781</v>
          </cell>
          <cell r="AQ99">
            <v>934</v>
          </cell>
          <cell r="AT99">
            <v>0</v>
          </cell>
          <cell r="AW99">
            <v>159</v>
          </cell>
          <cell r="AZ99">
            <v>830</v>
          </cell>
          <cell r="BC99">
            <v>332</v>
          </cell>
          <cell r="BF99">
            <v>362</v>
          </cell>
          <cell r="BN99">
            <v>0</v>
          </cell>
        </row>
        <row r="100">
          <cell r="B100">
            <v>837</v>
          </cell>
          <cell r="C100" t="str">
            <v>Bournemouth</v>
          </cell>
          <cell r="J100">
            <v>1</v>
          </cell>
          <cell r="X100">
            <v>35607.375999999997</v>
          </cell>
          <cell r="AA100">
            <v>2709</v>
          </cell>
          <cell r="AE100">
            <v>4232</v>
          </cell>
          <cell r="AH100">
            <v>3378</v>
          </cell>
          <cell r="AN100">
            <v>1308</v>
          </cell>
          <cell r="AQ100">
            <v>1507</v>
          </cell>
          <cell r="AT100">
            <v>0</v>
          </cell>
          <cell r="AW100">
            <v>193</v>
          </cell>
          <cell r="AZ100">
            <v>950</v>
          </cell>
          <cell r="BC100">
            <v>319</v>
          </cell>
          <cell r="BF100">
            <v>457</v>
          </cell>
          <cell r="BN100">
            <v>0</v>
          </cell>
        </row>
        <row r="101">
          <cell r="B101">
            <v>840</v>
          </cell>
          <cell r="C101" t="str">
            <v>Durham</v>
          </cell>
          <cell r="J101">
            <v>1</v>
          </cell>
          <cell r="X101">
            <v>98151.780000000013</v>
          </cell>
          <cell r="AA101">
            <v>13324</v>
          </cell>
          <cell r="AE101">
            <v>12140</v>
          </cell>
          <cell r="AH101">
            <v>13577</v>
          </cell>
          <cell r="AN101">
            <v>6914</v>
          </cell>
          <cell r="AQ101">
            <v>7052</v>
          </cell>
          <cell r="AT101">
            <v>4746</v>
          </cell>
          <cell r="AW101">
            <v>659</v>
          </cell>
          <cell r="AZ101">
            <v>3980</v>
          </cell>
          <cell r="BC101">
            <v>1144</v>
          </cell>
          <cell r="BF101">
            <v>1529</v>
          </cell>
          <cell r="BN101">
            <v>0</v>
          </cell>
        </row>
        <row r="102">
          <cell r="B102">
            <v>841</v>
          </cell>
          <cell r="C102" t="str">
            <v>Darlington</v>
          </cell>
          <cell r="J102">
            <v>1</v>
          </cell>
          <cell r="X102">
            <v>21306.936000000002</v>
          </cell>
          <cell r="AA102">
            <v>2653</v>
          </cell>
          <cell r="AE102">
            <v>3249</v>
          </cell>
          <cell r="AH102">
            <v>2055</v>
          </cell>
          <cell r="AN102">
            <v>1861</v>
          </cell>
          <cell r="AQ102">
            <v>1652</v>
          </cell>
          <cell r="AT102">
            <v>785</v>
          </cell>
          <cell r="AW102">
            <v>133</v>
          </cell>
          <cell r="AZ102">
            <v>790</v>
          </cell>
          <cell r="BC102">
            <v>261</v>
          </cell>
          <cell r="BF102">
            <v>355</v>
          </cell>
          <cell r="BN102">
            <v>0</v>
          </cell>
        </row>
        <row r="103">
          <cell r="B103">
            <v>845</v>
          </cell>
          <cell r="C103" t="str">
            <v>East Sussex</v>
          </cell>
          <cell r="J103">
            <v>1.0025438138502634</v>
          </cell>
          <cell r="X103">
            <v>105518.1985804384</v>
          </cell>
          <cell r="AA103">
            <v>8272.9915518923735</v>
          </cell>
          <cell r="AE103">
            <v>12296.199876873479</v>
          </cell>
          <cell r="AH103">
            <v>5975.1611305475699</v>
          </cell>
          <cell r="AN103">
            <v>5315.4873010340962</v>
          </cell>
          <cell r="AQ103">
            <v>3699.3866731074718</v>
          </cell>
          <cell r="AT103">
            <v>1441.6580043166787</v>
          </cell>
          <cell r="AW103">
            <v>611.5517264486607</v>
          </cell>
          <cell r="AZ103">
            <v>3528.9542247529271</v>
          </cell>
          <cell r="BC103">
            <v>1180.9966127156104</v>
          </cell>
          <cell r="BF103">
            <v>1717.3575531255012</v>
          </cell>
          <cell r="BN103">
            <v>0</v>
          </cell>
        </row>
        <row r="104">
          <cell r="B104">
            <v>846</v>
          </cell>
          <cell r="C104" t="str">
            <v>Brighton and Hove</v>
          </cell>
          <cell r="J104">
            <v>1.0025438138502634</v>
          </cell>
          <cell r="X104">
            <v>49896.388063319995</v>
          </cell>
          <cell r="AA104">
            <v>4090.3787605090747</v>
          </cell>
          <cell r="AE104">
            <v>3799.6410544924984</v>
          </cell>
          <cell r="AH104">
            <v>3010.639072992341</v>
          </cell>
          <cell r="AN104">
            <v>2339.9372615265147</v>
          </cell>
          <cell r="AQ104">
            <v>4727.9966261178424</v>
          </cell>
          <cell r="AT104">
            <v>431.09383995561325</v>
          </cell>
          <cell r="AW104">
            <v>256.65121634566742</v>
          </cell>
          <cell r="AZ104">
            <v>1584.0192258834161</v>
          </cell>
          <cell r="BC104">
            <v>502.27445073898195</v>
          </cell>
          <cell r="BF104">
            <v>702.78321350903457</v>
          </cell>
          <cell r="BN104">
            <v>0</v>
          </cell>
        </row>
        <row r="105">
          <cell r="B105">
            <v>850</v>
          </cell>
          <cell r="C105" t="str">
            <v>Hampshire</v>
          </cell>
          <cell r="J105">
            <v>1.0213260495386489</v>
          </cell>
          <cell r="X105">
            <v>282908.00103198498</v>
          </cell>
          <cell r="AA105">
            <v>14869.485955233189</v>
          </cell>
          <cell r="AE105">
            <v>14931.786844255048</v>
          </cell>
          <cell r="AH105">
            <v>10095.807999689545</v>
          </cell>
          <cell r="AN105">
            <v>7069.6189149065276</v>
          </cell>
          <cell r="AQ105">
            <v>2176.4458115668608</v>
          </cell>
          <cell r="AT105">
            <v>0</v>
          </cell>
          <cell r="AW105">
            <v>1175.5462830189849</v>
          </cell>
          <cell r="AZ105">
            <v>7986.7697073922345</v>
          </cell>
          <cell r="BC105">
            <v>2608.4667305217095</v>
          </cell>
          <cell r="BF105">
            <v>3553.1933263449596</v>
          </cell>
          <cell r="BN105">
            <v>0</v>
          </cell>
        </row>
        <row r="106">
          <cell r="B106">
            <v>851</v>
          </cell>
          <cell r="C106" t="str">
            <v>Portsmouth</v>
          </cell>
          <cell r="J106">
            <v>1.0213260495386489</v>
          </cell>
          <cell r="X106">
            <v>43886.34766624216</v>
          </cell>
          <cell r="AA106">
            <v>4840.0641487636576</v>
          </cell>
          <cell r="AE106">
            <v>6607.9795405150589</v>
          </cell>
          <cell r="AH106">
            <v>3281.5205971676792</v>
          </cell>
          <cell r="AN106">
            <v>2686.0875102866466</v>
          </cell>
          <cell r="AQ106">
            <v>3991.34220159704</v>
          </cell>
          <cell r="AT106">
            <v>2001.7990570957518</v>
          </cell>
          <cell r="AW106">
            <v>253.28886028558492</v>
          </cell>
          <cell r="AZ106">
            <v>1419.6432088587219</v>
          </cell>
          <cell r="BC106">
            <v>538.23882810686803</v>
          </cell>
          <cell r="BF106">
            <v>857.91388161246505</v>
          </cell>
          <cell r="BN106">
            <v>0</v>
          </cell>
        </row>
        <row r="107">
          <cell r="B107">
            <v>852</v>
          </cell>
          <cell r="C107" t="str">
            <v>Southampton</v>
          </cell>
          <cell r="J107">
            <v>1.0213260495386489</v>
          </cell>
          <cell r="X107">
            <v>50351.730685046685</v>
          </cell>
          <cell r="AA107">
            <v>5691.8500740788904</v>
          </cell>
          <cell r="AE107">
            <v>6935.8252024169651</v>
          </cell>
          <cell r="AH107">
            <v>5600.9520556699508</v>
          </cell>
          <cell r="AN107">
            <v>3836.1006420671652</v>
          </cell>
          <cell r="AQ107">
            <v>6507.889587660271</v>
          </cell>
          <cell r="AT107">
            <v>1353.2570156387098</v>
          </cell>
          <cell r="AW107">
            <v>298.22720646528546</v>
          </cell>
          <cell r="AZ107">
            <v>1807.7471076834086</v>
          </cell>
          <cell r="BC107">
            <v>573.98523984072074</v>
          </cell>
          <cell r="BF107">
            <v>621.98756416903723</v>
          </cell>
          <cell r="BN107">
            <v>0</v>
          </cell>
        </row>
        <row r="108">
          <cell r="B108">
            <v>855</v>
          </cell>
          <cell r="C108" t="str">
            <v>Leicestershire</v>
          </cell>
          <cell r="J108">
            <v>1</v>
          </cell>
          <cell r="X108">
            <v>135239.85999999999</v>
          </cell>
          <cell r="AA108">
            <v>6717</v>
          </cell>
          <cell r="AE108">
            <v>8927</v>
          </cell>
          <cell r="AH108">
            <v>4056</v>
          </cell>
          <cell r="AN108">
            <v>1653</v>
          </cell>
          <cell r="AQ108">
            <v>1340</v>
          </cell>
          <cell r="AT108">
            <v>762</v>
          </cell>
          <cell r="AW108">
            <v>580</v>
          </cell>
          <cell r="AZ108">
            <v>3960</v>
          </cell>
          <cell r="BC108">
            <v>1390</v>
          </cell>
          <cell r="BF108">
            <v>1729</v>
          </cell>
          <cell r="BN108">
            <v>0</v>
          </cell>
        </row>
        <row r="109">
          <cell r="B109">
            <v>856</v>
          </cell>
          <cell r="C109" t="str">
            <v>Leicester</v>
          </cell>
          <cell r="J109">
            <v>1</v>
          </cell>
          <cell r="X109">
            <v>80753.534999999989</v>
          </cell>
          <cell r="AA109">
            <v>9632</v>
          </cell>
          <cell r="AE109">
            <v>9543</v>
          </cell>
          <cell r="AH109">
            <v>9437</v>
          </cell>
          <cell r="AN109">
            <v>9570</v>
          </cell>
          <cell r="AQ109">
            <v>10577</v>
          </cell>
          <cell r="AT109">
            <v>6511</v>
          </cell>
          <cell r="AW109">
            <v>596</v>
          </cell>
          <cell r="AZ109">
            <v>2340</v>
          </cell>
          <cell r="BC109">
            <v>1162</v>
          </cell>
          <cell r="BF109">
            <v>1444</v>
          </cell>
          <cell r="BN109">
            <v>0</v>
          </cell>
        </row>
        <row r="110">
          <cell r="B110">
            <v>857</v>
          </cell>
          <cell r="C110" t="str">
            <v>Rutland</v>
          </cell>
          <cell r="J110">
            <v>1</v>
          </cell>
          <cell r="X110">
            <v>7852.9449999999997</v>
          </cell>
          <cell r="AA110">
            <v>204</v>
          </cell>
          <cell r="AE110">
            <v>0</v>
          </cell>
          <cell r="AH110">
            <v>0</v>
          </cell>
          <cell r="AN110">
            <v>0</v>
          </cell>
          <cell r="AQ110">
            <v>0</v>
          </cell>
          <cell r="AT110">
            <v>0</v>
          </cell>
          <cell r="AW110">
            <v>22</v>
          </cell>
          <cell r="AZ110">
            <v>190</v>
          </cell>
          <cell r="BC110">
            <v>74</v>
          </cell>
          <cell r="BF110">
            <v>54</v>
          </cell>
          <cell r="BN110">
            <v>0</v>
          </cell>
        </row>
        <row r="111">
          <cell r="B111">
            <v>860</v>
          </cell>
          <cell r="C111" t="str">
            <v>Staffordshire</v>
          </cell>
          <cell r="J111">
            <v>1</v>
          </cell>
          <cell r="X111">
            <v>162209.402</v>
          </cell>
          <cell r="AA111">
            <v>11152</v>
          </cell>
          <cell r="AE111">
            <v>16272</v>
          </cell>
          <cell r="AH111">
            <v>12185</v>
          </cell>
          <cell r="AN111">
            <v>4536</v>
          </cell>
          <cell r="AQ111">
            <v>3345</v>
          </cell>
          <cell r="AT111">
            <v>710</v>
          </cell>
          <cell r="AW111">
            <v>823</v>
          </cell>
          <cell r="AZ111">
            <v>5070</v>
          </cell>
          <cell r="BC111">
            <v>1946</v>
          </cell>
          <cell r="BF111">
            <v>2186</v>
          </cell>
          <cell r="BN111">
            <v>0</v>
          </cell>
        </row>
        <row r="112">
          <cell r="B112">
            <v>861</v>
          </cell>
          <cell r="C112" t="str">
            <v>Stoke-on-Trent</v>
          </cell>
          <cell r="J112">
            <v>1</v>
          </cell>
          <cell r="X112">
            <v>53767.349999999991</v>
          </cell>
          <cell r="AA112">
            <v>7582</v>
          </cell>
          <cell r="AE112">
            <v>3907</v>
          </cell>
          <cell r="AH112">
            <v>4767</v>
          </cell>
          <cell r="AN112">
            <v>7632</v>
          </cell>
          <cell r="AQ112">
            <v>5600</v>
          </cell>
          <cell r="AT112">
            <v>5445</v>
          </cell>
          <cell r="AW112">
            <v>361</v>
          </cell>
          <cell r="AZ112">
            <v>2000</v>
          </cell>
          <cell r="BC112">
            <v>819</v>
          </cell>
          <cell r="BF112">
            <v>890</v>
          </cell>
          <cell r="BN112">
            <v>0</v>
          </cell>
        </row>
        <row r="113">
          <cell r="B113">
            <v>865</v>
          </cell>
          <cell r="C113" t="str">
            <v>Wiltshire</v>
          </cell>
          <cell r="J113">
            <v>1.0107827425534024</v>
          </cell>
          <cell r="X113">
            <v>102054.7752903972</v>
          </cell>
          <cell r="AA113">
            <v>5069.0754539053132</v>
          </cell>
          <cell r="AE113">
            <v>4743.6034108031172</v>
          </cell>
          <cell r="AH113">
            <v>2725.0702739239728</v>
          </cell>
          <cell r="AN113">
            <v>261.79273032133119</v>
          </cell>
          <cell r="AQ113">
            <v>544.81189823628392</v>
          </cell>
          <cell r="AT113">
            <v>0</v>
          </cell>
          <cell r="AW113">
            <v>385.10822491284631</v>
          </cell>
          <cell r="AZ113">
            <v>3527.6317715113742</v>
          </cell>
          <cell r="BC113">
            <v>1052.2248349980919</v>
          </cell>
          <cell r="BF113">
            <v>1428.2360152279575</v>
          </cell>
          <cell r="BN113">
            <v>0</v>
          </cell>
        </row>
        <row r="114">
          <cell r="B114">
            <v>866</v>
          </cell>
          <cell r="C114" t="str">
            <v>Swindon</v>
          </cell>
          <cell r="J114">
            <v>1.0107827425534024</v>
          </cell>
          <cell r="X114">
            <v>49460.385310376456</v>
          </cell>
          <cell r="AA114">
            <v>4056.2711458668036</v>
          </cell>
          <cell r="AE114">
            <v>2536.0539010664866</v>
          </cell>
          <cell r="AH114">
            <v>2231.8082955579125</v>
          </cell>
          <cell r="AN114">
            <v>3559.976819273083</v>
          </cell>
          <cell r="AQ114">
            <v>1345.3518303385786</v>
          </cell>
          <cell r="AT114">
            <v>892.52116167465431</v>
          </cell>
          <cell r="AW114">
            <v>199.12420028302026</v>
          </cell>
          <cell r="AZ114">
            <v>1677.899352638648</v>
          </cell>
          <cell r="BC114">
            <v>498.3158920788274</v>
          </cell>
          <cell r="BF114">
            <v>664.08426185758537</v>
          </cell>
          <cell r="BN114">
            <v>0</v>
          </cell>
        </row>
        <row r="115">
          <cell r="B115">
            <v>867</v>
          </cell>
          <cell r="C115" t="str">
            <v>Bracknell Forest</v>
          </cell>
          <cell r="J115">
            <v>1.0744343550114952</v>
          </cell>
          <cell r="X115">
            <v>30679.054754004628</v>
          </cell>
          <cell r="AA115">
            <v>1506.3569657261162</v>
          </cell>
          <cell r="AE115">
            <v>1865.2180402999556</v>
          </cell>
          <cell r="AH115">
            <v>652.18165349197761</v>
          </cell>
          <cell r="AN115">
            <v>0</v>
          </cell>
          <cell r="AQ115">
            <v>0</v>
          </cell>
          <cell r="AT115">
            <v>0</v>
          </cell>
          <cell r="AW115">
            <v>104.22013243611504</v>
          </cell>
          <cell r="AZ115">
            <v>795.08142270850647</v>
          </cell>
          <cell r="BC115">
            <v>228.85451761744847</v>
          </cell>
          <cell r="BF115">
            <v>265.38528568783931</v>
          </cell>
          <cell r="BN115">
            <v>0</v>
          </cell>
        </row>
        <row r="116">
          <cell r="B116">
            <v>868</v>
          </cell>
          <cell r="C116" t="str">
            <v>Windsor and Maidenhead</v>
          </cell>
          <cell r="J116">
            <v>1.0744343550114952</v>
          </cell>
          <cell r="X116">
            <v>36626.063951074233</v>
          </cell>
          <cell r="AA116">
            <v>1188.3243966427137</v>
          </cell>
          <cell r="AE116">
            <v>2320.7782068248298</v>
          </cell>
          <cell r="AH116">
            <v>1151.7936285723229</v>
          </cell>
          <cell r="AN116">
            <v>0</v>
          </cell>
          <cell r="AQ116">
            <v>0</v>
          </cell>
          <cell r="AT116">
            <v>0</v>
          </cell>
          <cell r="AW116">
            <v>108.51786985616101</v>
          </cell>
          <cell r="AZ116">
            <v>687.6379872073569</v>
          </cell>
          <cell r="BC116">
            <v>233.15225503749446</v>
          </cell>
          <cell r="BF116">
            <v>243.89659858760942</v>
          </cell>
          <cell r="BN116">
            <v>0</v>
          </cell>
        </row>
        <row r="117">
          <cell r="B117">
            <v>869</v>
          </cell>
          <cell r="C117" t="str">
            <v>West Berkshire</v>
          </cell>
          <cell r="J117">
            <v>1.0522356053683966</v>
          </cell>
          <cell r="X117">
            <v>36722.812180235967</v>
          </cell>
          <cell r="AA117">
            <v>1609.9204762136467</v>
          </cell>
          <cell r="AE117">
            <v>883.87790850945305</v>
          </cell>
          <cell r="AH117">
            <v>1077.4892598972381</v>
          </cell>
          <cell r="AN117">
            <v>328.29750887493975</v>
          </cell>
          <cell r="AQ117">
            <v>445.09566107083174</v>
          </cell>
          <cell r="AT117">
            <v>0</v>
          </cell>
          <cell r="AW117">
            <v>123.1115658281024</v>
          </cell>
          <cell r="AZ117">
            <v>1052.2356053683966</v>
          </cell>
          <cell r="BC117">
            <v>335.66315811251849</v>
          </cell>
          <cell r="BF117">
            <v>277.79019981725668</v>
          </cell>
          <cell r="BN117">
            <v>0</v>
          </cell>
        </row>
        <row r="118">
          <cell r="B118">
            <v>870</v>
          </cell>
          <cell r="C118" t="str">
            <v>Reading</v>
          </cell>
          <cell r="J118">
            <v>1.0522356053683966</v>
          </cell>
          <cell r="X118">
            <v>37905.56182891623</v>
          </cell>
          <cell r="AA118">
            <v>3434.4970159224463</v>
          </cell>
          <cell r="AE118">
            <v>4749.7915226329424</v>
          </cell>
          <cell r="AH118">
            <v>2190.7545303770016</v>
          </cell>
          <cell r="AN118">
            <v>2262.3065515420526</v>
          </cell>
          <cell r="AQ118">
            <v>2566.4026414935192</v>
          </cell>
          <cell r="AT118">
            <v>0</v>
          </cell>
          <cell r="AW118">
            <v>175.72334609652222</v>
          </cell>
          <cell r="AZ118">
            <v>1231.115658281024</v>
          </cell>
          <cell r="BC118">
            <v>464.03590196746291</v>
          </cell>
          <cell r="BF118">
            <v>426.15542017420063</v>
          </cell>
          <cell r="BN118">
            <v>0</v>
          </cell>
        </row>
        <row r="119">
          <cell r="B119">
            <v>871</v>
          </cell>
          <cell r="C119" t="str">
            <v>Slough</v>
          </cell>
          <cell r="J119">
            <v>1.0744343550114952</v>
          </cell>
          <cell r="X119">
            <v>43738.5260606714</v>
          </cell>
          <cell r="AA119">
            <v>3467.1996636220952</v>
          </cell>
          <cell r="AE119">
            <v>12250.700515841068</v>
          </cell>
          <cell r="AH119">
            <v>3342.5652784407616</v>
          </cell>
          <cell r="AN119">
            <v>0</v>
          </cell>
          <cell r="AQ119">
            <v>0</v>
          </cell>
          <cell r="AT119">
            <v>0</v>
          </cell>
          <cell r="AW119">
            <v>232.07782068248295</v>
          </cell>
          <cell r="AZ119">
            <v>1117.4117292119549</v>
          </cell>
          <cell r="BC119">
            <v>452.33686345983949</v>
          </cell>
          <cell r="BF119">
            <v>307.28822553328763</v>
          </cell>
          <cell r="BN119">
            <v>0</v>
          </cell>
        </row>
        <row r="120">
          <cell r="B120">
            <v>872</v>
          </cell>
          <cell r="C120" t="str">
            <v>Wokingham</v>
          </cell>
          <cell r="J120">
            <v>1.0522356053683966</v>
          </cell>
          <cell r="X120">
            <v>39932.321231254144</v>
          </cell>
          <cell r="AA120">
            <v>1268.9961400742861</v>
          </cell>
          <cell r="AE120">
            <v>700.78891317535215</v>
          </cell>
          <cell r="AH120">
            <v>763.92304949745585</v>
          </cell>
          <cell r="AN120">
            <v>0</v>
          </cell>
          <cell r="AQ120">
            <v>0</v>
          </cell>
          <cell r="AT120">
            <v>0</v>
          </cell>
          <cell r="AW120">
            <v>93.648968877787297</v>
          </cell>
          <cell r="AZ120">
            <v>873.35555245576916</v>
          </cell>
          <cell r="BC120">
            <v>296.73044071388784</v>
          </cell>
          <cell r="BF120">
            <v>243.06642484009961</v>
          </cell>
          <cell r="BN120">
            <v>0</v>
          </cell>
        </row>
        <row r="121">
          <cell r="B121">
            <v>873</v>
          </cell>
          <cell r="C121" t="str">
            <v>Cambridgeshire</v>
          </cell>
          <cell r="J121">
            <v>1.0193022956972073</v>
          </cell>
          <cell r="X121">
            <v>136049.55548288921</v>
          </cell>
          <cell r="AA121">
            <v>8228.8274331635548</v>
          </cell>
          <cell r="AE121">
            <v>11047.198280766333</v>
          </cell>
          <cell r="AH121">
            <v>7302.2816463747931</v>
          </cell>
          <cell r="AN121">
            <v>1040.7076439068487</v>
          </cell>
          <cell r="AQ121">
            <v>1586.0343721048546</v>
          </cell>
          <cell r="AT121">
            <v>331.27324610159241</v>
          </cell>
          <cell r="AW121">
            <v>537.17230983242825</v>
          </cell>
          <cell r="AZ121">
            <v>3832.5766318214996</v>
          </cell>
          <cell r="BC121">
            <v>1498.3743746748949</v>
          </cell>
          <cell r="BF121">
            <v>1868.381108012981</v>
          </cell>
          <cell r="BN121">
            <v>0</v>
          </cell>
        </row>
        <row r="122">
          <cell r="B122">
            <v>874</v>
          </cell>
          <cell r="C122" t="str">
            <v>Peterborough</v>
          </cell>
          <cell r="J122">
            <v>1.0193022956972073</v>
          </cell>
          <cell r="X122">
            <v>48323.308500220563</v>
          </cell>
          <cell r="AA122">
            <v>5289.1596123728086</v>
          </cell>
          <cell r="AE122">
            <v>5736.6333201838825</v>
          </cell>
          <cell r="AH122">
            <v>7147.3476974288178</v>
          </cell>
          <cell r="AN122">
            <v>4493.0845194332896</v>
          </cell>
          <cell r="AQ122">
            <v>4716.3117221909779</v>
          </cell>
          <cell r="AT122">
            <v>1871.4390149000726</v>
          </cell>
          <cell r="AW122">
            <v>341.46626905856448</v>
          </cell>
          <cell r="AZ122">
            <v>1906.0952929537777</v>
          </cell>
          <cell r="BC122">
            <v>736.95555978908089</v>
          </cell>
          <cell r="BF122">
            <v>762.43811718151107</v>
          </cell>
          <cell r="BN122">
            <v>0</v>
          </cell>
        </row>
        <row r="123">
          <cell r="B123">
            <v>876</v>
          </cell>
          <cell r="C123" t="str">
            <v>Halton</v>
          </cell>
          <cell r="J123">
            <v>1.0054548012657853</v>
          </cell>
          <cell r="X123">
            <v>27153.619026698187</v>
          </cell>
          <cell r="AA123">
            <v>4605.9884445985626</v>
          </cell>
          <cell r="AE123">
            <v>2800.1916215252122</v>
          </cell>
          <cell r="AH123">
            <v>2685.5697741809126</v>
          </cell>
          <cell r="AN123">
            <v>2317.5733169176351</v>
          </cell>
          <cell r="AQ123">
            <v>4733.6812043593172</v>
          </cell>
          <cell r="AT123">
            <v>2388.9606078075058</v>
          </cell>
          <cell r="AW123">
            <v>150.81822018986782</v>
          </cell>
          <cell r="AZ123">
            <v>1035.618445303759</v>
          </cell>
          <cell r="BC123">
            <v>309.68007878986191</v>
          </cell>
          <cell r="BF123">
            <v>421.28556173036407</v>
          </cell>
          <cell r="BN123">
            <v>0</v>
          </cell>
        </row>
        <row r="124">
          <cell r="B124">
            <v>877</v>
          </cell>
          <cell r="C124" t="str">
            <v>Warrington</v>
          </cell>
          <cell r="J124">
            <v>1.0054548012657853</v>
          </cell>
          <cell r="X124">
            <v>44033.89201598028</v>
          </cell>
          <cell r="AA124">
            <v>3197.3462680251973</v>
          </cell>
          <cell r="AE124">
            <v>5277.6322518441075</v>
          </cell>
          <cell r="AH124">
            <v>2989.21712416318</v>
          </cell>
          <cell r="AN124">
            <v>1257.8239563834975</v>
          </cell>
          <cell r="AQ124">
            <v>2983.1843953555849</v>
          </cell>
          <cell r="AT124">
            <v>454.46557017213496</v>
          </cell>
          <cell r="AW124">
            <v>152.82912979239939</v>
          </cell>
          <cell r="AZ124">
            <v>1256.8185015822316</v>
          </cell>
          <cell r="BC124">
            <v>407.20919451264308</v>
          </cell>
          <cell r="BF124">
            <v>555.01105029871349</v>
          </cell>
          <cell r="BN124">
            <v>0</v>
          </cell>
        </row>
        <row r="125">
          <cell r="B125">
            <v>878</v>
          </cell>
          <cell r="C125" t="str">
            <v>Devon</v>
          </cell>
          <cell r="J125">
            <v>1</v>
          </cell>
          <cell r="X125">
            <v>142477.22399999999</v>
          </cell>
          <cell r="AA125">
            <v>12464</v>
          </cell>
          <cell r="AE125">
            <v>12112</v>
          </cell>
          <cell r="AH125">
            <v>6792</v>
          </cell>
          <cell r="AN125">
            <v>767</v>
          </cell>
          <cell r="AQ125">
            <v>1170</v>
          </cell>
          <cell r="AT125">
            <v>0</v>
          </cell>
          <cell r="AW125">
            <v>696</v>
          </cell>
          <cell r="AZ125">
            <v>4740</v>
          </cell>
          <cell r="BC125">
            <v>1416</v>
          </cell>
          <cell r="BF125">
            <v>1766</v>
          </cell>
          <cell r="BN125">
            <v>0</v>
          </cell>
        </row>
        <row r="126">
          <cell r="B126">
            <v>879</v>
          </cell>
          <cell r="C126" t="str">
            <v>Plymouth</v>
          </cell>
          <cell r="J126">
            <v>1</v>
          </cell>
          <cell r="X126">
            <v>51008.560000000005</v>
          </cell>
          <cell r="AA126">
            <v>6156</v>
          </cell>
          <cell r="AE126">
            <v>4392</v>
          </cell>
          <cell r="AH126">
            <v>4004</v>
          </cell>
          <cell r="AN126">
            <v>2630</v>
          </cell>
          <cell r="AQ126">
            <v>3753</v>
          </cell>
          <cell r="AT126">
            <v>3382</v>
          </cell>
          <cell r="AW126">
            <v>338</v>
          </cell>
          <cell r="AZ126">
            <v>2590</v>
          </cell>
          <cell r="BC126">
            <v>609</v>
          </cell>
          <cell r="BF126">
            <v>747</v>
          </cell>
          <cell r="BN126">
            <v>0</v>
          </cell>
        </row>
        <row r="127">
          <cell r="B127">
            <v>880</v>
          </cell>
          <cell r="C127" t="str">
            <v>Torbay</v>
          </cell>
          <cell r="J127">
            <v>1</v>
          </cell>
          <cell r="X127">
            <v>24550.932000000001</v>
          </cell>
          <cell r="AA127">
            <v>3149</v>
          </cell>
          <cell r="AE127">
            <v>3935</v>
          </cell>
          <cell r="AH127">
            <v>3080</v>
          </cell>
          <cell r="AN127">
            <v>815</v>
          </cell>
          <cell r="AQ127">
            <v>3503</v>
          </cell>
          <cell r="AT127">
            <v>0</v>
          </cell>
          <cell r="AW127">
            <v>154</v>
          </cell>
          <cell r="AZ127">
            <v>1140</v>
          </cell>
          <cell r="BC127">
            <v>338</v>
          </cell>
          <cell r="BF127">
            <v>447</v>
          </cell>
          <cell r="BN127">
            <v>0</v>
          </cell>
        </row>
        <row r="128">
          <cell r="B128">
            <v>881</v>
          </cell>
          <cell r="C128" t="str">
            <v>Essex</v>
          </cell>
          <cell r="J128">
            <v>1.0189419796053065</v>
          </cell>
          <cell r="X128">
            <v>307387.03722951259</v>
          </cell>
          <cell r="AA128">
            <v>22396.344711724636</v>
          </cell>
          <cell r="AE128">
            <v>30019.049661151934</v>
          </cell>
          <cell r="AH128">
            <v>22444.234984766088</v>
          </cell>
          <cell r="AN128">
            <v>11485.513994111016</v>
          </cell>
          <cell r="AQ128">
            <v>12203.868089732756</v>
          </cell>
          <cell r="AT128">
            <v>4672.8679184699358</v>
          </cell>
          <cell r="AW128">
            <v>1454.0302048967724</v>
          </cell>
          <cell r="AZ128">
            <v>10250.556314829384</v>
          </cell>
          <cell r="BC128">
            <v>3287.1068262067188</v>
          </cell>
          <cell r="BF128">
            <v>4372.2800344863699</v>
          </cell>
          <cell r="BN128">
            <v>0</v>
          </cell>
        </row>
        <row r="129">
          <cell r="B129">
            <v>882</v>
          </cell>
          <cell r="C129" t="str">
            <v>Southend-on-Sea</v>
          </cell>
          <cell r="J129">
            <v>1.0053237953143217</v>
          </cell>
          <cell r="X129">
            <v>38105.190948640651</v>
          </cell>
          <cell r="AA129">
            <v>3479.4256555828674</v>
          </cell>
          <cell r="AE129">
            <v>3693.5596239848178</v>
          </cell>
          <cell r="AH129">
            <v>5440.8123802411092</v>
          </cell>
          <cell r="AN129">
            <v>3023.0086525101656</v>
          </cell>
          <cell r="AQ129">
            <v>2480.1338030404318</v>
          </cell>
          <cell r="AT129">
            <v>2064.9350755756168</v>
          </cell>
          <cell r="AW129">
            <v>225.19253015040806</v>
          </cell>
          <cell r="AZ129">
            <v>1236.5482682366157</v>
          </cell>
          <cell r="BC129">
            <v>474.51283138835981</v>
          </cell>
          <cell r="BF129">
            <v>710.76392328722545</v>
          </cell>
          <cell r="BN129">
            <v>0</v>
          </cell>
        </row>
        <row r="130">
          <cell r="B130">
            <v>883</v>
          </cell>
          <cell r="C130" t="str">
            <v>Thurrock</v>
          </cell>
          <cell r="J130">
            <v>1.0452520358512145</v>
          </cell>
          <cell r="X130">
            <v>42998.351124957175</v>
          </cell>
          <cell r="AA130">
            <v>3781.7218657096942</v>
          </cell>
          <cell r="AE130">
            <v>6007.0634500369297</v>
          </cell>
          <cell r="AH130">
            <v>7874.9288381030501</v>
          </cell>
          <cell r="AN130">
            <v>722.26915677318925</v>
          </cell>
          <cell r="AQ130">
            <v>2557.7317317279221</v>
          </cell>
          <cell r="AT130">
            <v>458.86564373868316</v>
          </cell>
          <cell r="AW130">
            <v>214.27666734949898</v>
          </cell>
          <cell r="AZ130">
            <v>1442.447809474676</v>
          </cell>
          <cell r="BC130">
            <v>484.99694463496354</v>
          </cell>
          <cell r="BF130">
            <v>504.85673331613663</v>
          </cell>
          <cell r="BN130">
            <v>0</v>
          </cell>
        </row>
        <row r="131">
          <cell r="B131">
            <v>884</v>
          </cell>
          <cell r="C131" t="str">
            <v>Herefordshire</v>
          </cell>
          <cell r="J131">
            <v>1</v>
          </cell>
          <cell r="X131">
            <v>35143.214999999997</v>
          </cell>
          <cell r="AA131">
            <v>1885</v>
          </cell>
          <cell r="AE131">
            <v>2506</v>
          </cell>
          <cell r="AH131">
            <v>2172</v>
          </cell>
          <cell r="AN131">
            <v>451</v>
          </cell>
          <cell r="AQ131">
            <v>0</v>
          </cell>
          <cell r="AT131">
            <v>0</v>
          </cell>
          <cell r="AW131">
            <v>165</v>
          </cell>
          <cell r="AZ131">
            <v>840</v>
          </cell>
          <cell r="BC131">
            <v>371</v>
          </cell>
          <cell r="BF131">
            <v>429</v>
          </cell>
          <cell r="BN131">
            <v>0</v>
          </cell>
        </row>
        <row r="132">
          <cell r="B132">
            <v>885</v>
          </cell>
          <cell r="C132" t="str">
            <v>Worcestershire</v>
          </cell>
          <cell r="J132">
            <v>1</v>
          </cell>
          <cell r="X132">
            <v>111448.12899999999</v>
          </cell>
          <cell r="AA132">
            <v>8531</v>
          </cell>
          <cell r="AE132">
            <v>8646</v>
          </cell>
          <cell r="AH132">
            <v>4726</v>
          </cell>
          <cell r="AN132">
            <v>4269</v>
          </cell>
          <cell r="AQ132">
            <v>4442</v>
          </cell>
          <cell r="AT132">
            <v>1677</v>
          </cell>
          <cell r="AW132">
            <v>537</v>
          </cell>
          <cell r="AZ132">
            <v>3920</v>
          </cell>
          <cell r="BC132">
            <v>1428</v>
          </cell>
          <cell r="BF132">
            <v>1534</v>
          </cell>
          <cell r="BN132">
            <v>0</v>
          </cell>
        </row>
        <row r="133">
          <cell r="B133">
            <v>886</v>
          </cell>
          <cell r="C133" t="str">
            <v>Kent</v>
          </cell>
          <cell r="J133">
            <v>1.0077014294588473</v>
          </cell>
          <cell r="X133">
            <v>332014.55069016421</v>
          </cell>
          <cell r="AA133">
            <v>25748.786925532466</v>
          </cell>
          <cell r="AE133">
            <v>35500.313658405736</v>
          </cell>
          <cell r="AH133">
            <v>21856.036303532939</v>
          </cell>
          <cell r="AN133">
            <v>15899.513154001694</v>
          </cell>
          <cell r="AQ133">
            <v>17189.370983709017</v>
          </cell>
          <cell r="AT133">
            <v>5047.5764601593664</v>
          </cell>
          <cell r="AW133">
            <v>1739.2926672459705</v>
          </cell>
          <cell r="AZ133">
            <v>12858.270239894891</v>
          </cell>
          <cell r="BC133">
            <v>3985.4591535097411</v>
          </cell>
          <cell r="BF133">
            <v>4929.6753929126808</v>
          </cell>
          <cell r="BN133">
            <v>0</v>
          </cell>
        </row>
        <row r="134">
          <cell r="B134">
            <v>887</v>
          </cell>
          <cell r="C134" t="str">
            <v>Medway</v>
          </cell>
          <cell r="J134">
            <v>1.0010615758871764</v>
          </cell>
          <cell r="X134">
            <v>62888.501119746354</v>
          </cell>
          <cell r="AA134">
            <v>5360.6847388758297</v>
          </cell>
          <cell r="AE134">
            <v>7636.0977008673817</v>
          </cell>
          <cell r="AH134">
            <v>9005.5499366810382</v>
          </cell>
          <cell r="AN134">
            <v>2802.9724124840936</v>
          </cell>
          <cell r="AQ134">
            <v>3716.941631269086</v>
          </cell>
          <cell r="AT134">
            <v>1481.5711323130211</v>
          </cell>
          <cell r="AW134">
            <v>342.36305895341434</v>
          </cell>
          <cell r="AZ134">
            <v>2833.0042597607089</v>
          </cell>
          <cell r="BC134">
            <v>919.97558824031512</v>
          </cell>
          <cell r="BF134">
            <v>906.96178775378178</v>
          </cell>
          <cell r="BN134">
            <v>0</v>
          </cell>
        </row>
        <row r="135">
          <cell r="B135">
            <v>888</v>
          </cell>
          <cell r="C135" t="str">
            <v>Lancashire</v>
          </cell>
          <cell r="J135">
            <v>1</v>
          </cell>
          <cell r="X135">
            <v>237885.78599999999</v>
          </cell>
          <cell r="AA135">
            <v>22512</v>
          </cell>
          <cell r="AE135">
            <v>21791</v>
          </cell>
          <cell r="AH135">
            <v>22028</v>
          </cell>
          <cell r="AN135">
            <v>10946</v>
          </cell>
          <cell r="AQ135">
            <v>14128</v>
          </cell>
          <cell r="AT135">
            <v>3657</v>
          </cell>
          <cell r="AW135">
            <v>1279</v>
          </cell>
          <cell r="AZ135">
            <v>7860</v>
          </cell>
          <cell r="BC135">
            <v>2550</v>
          </cell>
          <cell r="BF135">
            <v>3562</v>
          </cell>
          <cell r="BN135">
            <v>0</v>
          </cell>
        </row>
        <row r="136">
          <cell r="B136">
            <v>889</v>
          </cell>
          <cell r="C136" t="str">
            <v>Blackburn with Darwen</v>
          </cell>
          <cell r="J136">
            <v>1</v>
          </cell>
          <cell r="X136">
            <v>35304.118000000002</v>
          </cell>
          <cell r="AA136">
            <v>4060</v>
          </cell>
          <cell r="AE136">
            <v>6398</v>
          </cell>
          <cell r="AH136">
            <v>4132</v>
          </cell>
          <cell r="AN136">
            <v>1873</v>
          </cell>
          <cell r="AQ136">
            <v>3105</v>
          </cell>
          <cell r="AT136">
            <v>2232</v>
          </cell>
          <cell r="AW136">
            <v>250</v>
          </cell>
          <cell r="AZ136">
            <v>1150</v>
          </cell>
          <cell r="BC136">
            <v>482</v>
          </cell>
          <cell r="BF136">
            <v>481</v>
          </cell>
          <cell r="BN136">
            <v>0</v>
          </cell>
        </row>
        <row r="137">
          <cell r="B137">
            <v>890</v>
          </cell>
          <cell r="C137" t="str">
            <v>Blackpool</v>
          </cell>
          <cell r="J137">
            <v>1</v>
          </cell>
          <cell r="X137">
            <v>27356.552</v>
          </cell>
          <cell r="AA137">
            <v>4867</v>
          </cell>
          <cell r="AE137">
            <v>3751</v>
          </cell>
          <cell r="AH137">
            <v>1904</v>
          </cell>
          <cell r="AN137">
            <v>2727</v>
          </cell>
          <cell r="AQ137">
            <v>2989</v>
          </cell>
          <cell r="AT137">
            <v>5361</v>
          </cell>
          <cell r="AW137">
            <v>187</v>
          </cell>
          <cell r="AZ137">
            <v>1080</v>
          </cell>
          <cell r="BC137">
            <v>334</v>
          </cell>
          <cell r="BF137">
            <v>565</v>
          </cell>
          <cell r="BN137">
            <v>0</v>
          </cell>
        </row>
        <row r="138">
          <cell r="B138">
            <v>891</v>
          </cell>
          <cell r="C138" t="str">
            <v>Nottinghamshire</v>
          </cell>
          <cell r="J138">
            <v>1.0041582963367661</v>
          </cell>
          <cell r="X138">
            <v>161397.5255021893</v>
          </cell>
          <cell r="AA138">
            <v>13064.099435341328</v>
          </cell>
          <cell r="AE138">
            <v>15795.410001377331</v>
          </cell>
          <cell r="AH138">
            <v>12058.936980708224</v>
          </cell>
          <cell r="AN138">
            <v>9252.3145424469622</v>
          </cell>
          <cell r="AQ138">
            <v>6849.3637393130821</v>
          </cell>
          <cell r="AT138">
            <v>2093.6700478621574</v>
          </cell>
          <cell r="AW138">
            <v>819.39316981080117</v>
          </cell>
          <cell r="AZ138">
            <v>6165.531939507744</v>
          </cell>
          <cell r="BC138">
            <v>1713.0940535505231</v>
          </cell>
          <cell r="BF138">
            <v>1815.5181997768732</v>
          </cell>
          <cell r="BN138">
            <v>0</v>
          </cell>
        </row>
        <row r="139">
          <cell r="B139">
            <v>892</v>
          </cell>
          <cell r="C139" t="str">
            <v>Nottingham</v>
          </cell>
          <cell r="J139">
            <v>1.0041582963367661</v>
          </cell>
          <cell r="X139">
            <v>65875.914201101536</v>
          </cell>
          <cell r="AA139">
            <v>10694.28585598656</v>
          </cell>
          <cell r="AE139">
            <v>4773.7685407849858</v>
          </cell>
          <cell r="AH139">
            <v>4911.338227383123</v>
          </cell>
          <cell r="AN139">
            <v>10314.714019971261</v>
          </cell>
          <cell r="AQ139">
            <v>14554.270347105088</v>
          </cell>
          <cell r="AT139">
            <v>9088.6367401440693</v>
          </cell>
          <cell r="AW139">
            <v>529.1914221694758</v>
          </cell>
          <cell r="AZ139">
            <v>2640.936319365695</v>
          </cell>
          <cell r="BC139">
            <v>949.93374833458074</v>
          </cell>
          <cell r="BF139">
            <v>1427.9130973908814</v>
          </cell>
          <cell r="BN139">
            <v>0</v>
          </cell>
        </row>
        <row r="140">
          <cell r="B140">
            <v>893</v>
          </cell>
          <cell r="C140" t="str">
            <v>Shropshire</v>
          </cell>
          <cell r="J140">
            <v>1</v>
          </cell>
          <cell r="X140">
            <v>57058.498</v>
          </cell>
          <cell r="AA140">
            <v>3228</v>
          </cell>
          <cell r="AE140">
            <v>3724</v>
          </cell>
          <cell r="AH140">
            <v>2555</v>
          </cell>
          <cell r="AN140">
            <v>882</v>
          </cell>
          <cell r="AQ140">
            <v>247</v>
          </cell>
          <cell r="AT140">
            <v>463</v>
          </cell>
          <cell r="AW140">
            <v>266</v>
          </cell>
          <cell r="AZ140">
            <v>1610</v>
          </cell>
          <cell r="BC140">
            <v>560</v>
          </cell>
          <cell r="BF140">
            <v>598</v>
          </cell>
          <cell r="BN140">
            <v>0</v>
          </cell>
        </row>
        <row r="141">
          <cell r="B141">
            <v>894</v>
          </cell>
          <cell r="C141" t="str">
            <v>Telford and Wrekin</v>
          </cell>
          <cell r="J141">
            <v>1</v>
          </cell>
          <cell r="X141">
            <v>37538.288000000008</v>
          </cell>
          <cell r="AA141">
            <v>4277</v>
          </cell>
          <cell r="AE141">
            <v>4772</v>
          </cell>
          <cell r="AH141">
            <v>2932</v>
          </cell>
          <cell r="AN141">
            <v>2677</v>
          </cell>
          <cell r="AQ141">
            <v>1342</v>
          </cell>
          <cell r="AT141">
            <v>3821</v>
          </cell>
          <cell r="AW141">
            <v>248</v>
          </cell>
          <cell r="AZ141">
            <v>1540</v>
          </cell>
          <cell r="BC141">
            <v>457</v>
          </cell>
          <cell r="BF141">
            <v>658</v>
          </cell>
          <cell r="BN141">
            <v>0</v>
          </cell>
        </row>
        <row r="142">
          <cell r="B142">
            <v>895</v>
          </cell>
          <cell r="C142" t="str">
            <v>Cheshire East</v>
          </cell>
          <cell r="J142">
            <v>1.0054548012657853</v>
          </cell>
          <cell r="X142">
            <v>73111.009421152368</v>
          </cell>
          <cell r="AA142">
            <v>4320.43928103908</v>
          </cell>
          <cell r="AE142">
            <v>4280.2210889884482</v>
          </cell>
          <cell r="AH142">
            <v>5023.2521871238632</v>
          </cell>
          <cell r="AN142">
            <v>2635.2970341176233</v>
          </cell>
          <cell r="AQ142">
            <v>874.74567710123324</v>
          </cell>
          <cell r="AT142">
            <v>419.2746521278325</v>
          </cell>
          <cell r="AW142">
            <v>271.47279634176203</v>
          </cell>
          <cell r="AZ142">
            <v>2031.0186985568864</v>
          </cell>
          <cell r="BC142">
            <v>648.51834681643152</v>
          </cell>
          <cell r="BF142">
            <v>807.38020541642561</v>
          </cell>
          <cell r="BN142">
            <v>0</v>
          </cell>
        </row>
        <row r="143">
          <cell r="B143">
            <v>896</v>
          </cell>
          <cell r="C143" t="str">
            <v>Cheshire West and Chester</v>
          </cell>
          <cell r="J143">
            <v>1.0054548012657853</v>
          </cell>
          <cell r="X143">
            <v>64227.201919085586</v>
          </cell>
          <cell r="AA143">
            <v>5226.3540569795523</v>
          </cell>
          <cell r="AE143">
            <v>4168.6156060479461</v>
          </cell>
          <cell r="AH143">
            <v>2435.2115286657322</v>
          </cell>
          <cell r="AN143">
            <v>3765.428230740366</v>
          </cell>
          <cell r="AQ143">
            <v>3656.8391122036614</v>
          </cell>
          <cell r="AT143">
            <v>1386.5221709455179</v>
          </cell>
          <cell r="AW143">
            <v>303.6473499822672</v>
          </cell>
          <cell r="AZ143">
            <v>2392.9824270125691</v>
          </cell>
          <cell r="BC143">
            <v>658.57289482908936</v>
          </cell>
          <cell r="BF143">
            <v>810.39656982022302</v>
          </cell>
          <cell r="BN143">
            <v>0</v>
          </cell>
        </row>
        <row r="144">
          <cell r="B144">
            <v>908</v>
          </cell>
          <cell r="C144" t="str">
            <v>Cornwall</v>
          </cell>
          <cell r="J144">
            <v>1</v>
          </cell>
          <cell r="X144">
            <v>105843.838</v>
          </cell>
          <cell r="AA144">
            <v>8014</v>
          </cell>
          <cell r="AE144">
            <v>11572</v>
          </cell>
          <cell r="AH144">
            <v>6317</v>
          </cell>
          <cell r="AN144">
            <v>3993</v>
          </cell>
          <cell r="AQ144">
            <v>3589</v>
          </cell>
          <cell r="AT144">
            <v>0</v>
          </cell>
          <cell r="AW144">
            <v>574</v>
          </cell>
          <cell r="AZ144">
            <v>3460</v>
          </cell>
          <cell r="BC144">
            <v>1187</v>
          </cell>
          <cell r="BF144">
            <v>1244</v>
          </cell>
          <cell r="BN144">
            <v>0</v>
          </cell>
        </row>
        <row r="145">
          <cell r="B145">
            <v>909</v>
          </cell>
          <cell r="C145" t="str">
            <v>Cumbria</v>
          </cell>
          <cell r="J145">
            <v>1</v>
          </cell>
          <cell r="X145">
            <v>87090.921999999991</v>
          </cell>
          <cell r="AA145">
            <v>6401</v>
          </cell>
          <cell r="AE145">
            <v>7851</v>
          </cell>
          <cell r="AH145">
            <v>5059</v>
          </cell>
          <cell r="AN145">
            <v>1596</v>
          </cell>
          <cell r="AQ145">
            <v>4732</v>
          </cell>
          <cell r="AT145">
            <v>2098</v>
          </cell>
          <cell r="AW145">
            <v>445</v>
          </cell>
          <cell r="AZ145">
            <v>2520</v>
          </cell>
          <cell r="BC145">
            <v>963</v>
          </cell>
          <cell r="BF145">
            <v>1374</v>
          </cell>
          <cell r="BN145">
            <v>0</v>
          </cell>
        </row>
        <row r="146">
          <cell r="B146">
            <v>916</v>
          </cell>
          <cell r="C146" t="str">
            <v>Gloucestershire</v>
          </cell>
          <cell r="J146">
            <v>1.0094696081392127</v>
          </cell>
          <cell r="X146">
            <v>125029.51586517878</v>
          </cell>
          <cell r="AA146">
            <v>8739.987867269303</v>
          </cell>
          <cell r="AE146">
            <v>9651.5389234190134</v>
          </cell>
          <cell r="AH146">
            <v>8506.800387789146</v>
          </cell>
          <cell r="AN146">
            <v>4039.8973717731292</v>
          </cell>
          <cell r="AQ146">
            <v>4499.2060434764708</v>
          </cell>
          <cell r="AT146">
            <v>716.72342177884104</v>
          </cell>
          <cell r="AW146">
            <v>552.17987565214935</v>
          </cell>
          <cell r="AZ146">
            <v>3058.6929126618147</v>
          </cell>
          <cell r="BC146">
            <v>1135.6533091566143</v>
          </cell>
          <cell r="BF146">
            <v>1568.7157710483366</v>
          </cell>
          <cell r="BN146">
            <v>0</v>
          </cell>
        </row>
        <row r="147">
          <cell r="B147">
            <v>919</v>
          </cell>
          <cell r="C147" t="str">
            <v>Hertfordshire</v>
          </cell>
          <cell r="J147">
            <v>1.0525261171555516</v>
          </cell>
          <cell r="X147">
            <v>283990.93393964582</v>
          </cell>
          <cell r="AA147">
            <v>14861.668774236388</v>
          </cell>
          <cell r="AE147">
            <v>24675.42229059475</v>
          </cell>
          <cell r="AH147">
            <v>19628.55955883388</v>
          </cell>
          <cell r="AN147">
            <v>3795.409178462919</v>
          </cell>
          <cell r="AQ147">
            <v>2165.0462229889695</v>
          </cell>
          <cell r="AT147">
            <v>0</v>
          </cell>
          <cell r="AW147">
            <v>1171.4615683941288</v>
          </cell>
          <cell r="AZ147">
            <v>7336.1070365741944</v>
          </cell>
          <cell r="BC147">
            <v>2187.149271449236</v>
          </cell>
          <cell r="BF147">
            <v>2656.5759197006123</v>
          </cell>
          <cell r="BN147">
            <v>0</v>
          </cell>
        </row>
        <row r="148">
          <cell r="B148">
            <v>921</v>
          </cell>
          <cell r="C148" t="str">
            <v>Isle of Wight</v>
          </cell>
          <cell r="J148">
            <v>1.0213260495386489</v>
          </cell>
          <cell r="X148">
            <v>25042.150782802615</v>
          </cell>
          <cell r="AA148">
            <v>2300.0262635610375</v>
          </cell>
          <cell r="AE148">
            <v>6099.3591678448111</v>
          </cell>
          <cell r="AH148">
            <v>1778.1286522467879</v>
          </cell>
          <cell r="AN148">
            <v>561.72932724625696</v>
          </cell>
          <cell r="AQ148">
            <v>1738.2969363147804</v>
          </cell>
          <cell r="AT148">
            <v>0</v>
          </cell>
          <cell r="AW148">
            <v>139.9216687867949</v>
          </cell>
          <cell r="AZ148">
            <v>1041.752570529422</v>
          </cell>
          <cell r="BC148">
            <v>329.8883140009836</v>
          </cell>
          <cell r="BF148">
            <v>638.32878096165553</v>
          </cell>
          <cell r="BN148">
            <v>0</v>
          </cell>
        </row>
        <row r="149">
          <cell r="B149">
            <v>925</v>
          </cell>
          <cell r="C149" t="str">
            <v>Lincolnshire</v>
          </cell>
          <cell r="J149">
            <v>1</v>
          </cell>
          <cell r="X149">
            <v>141294.46699999998</v>
          </cell>
          <cell r="AA149">
            <v>13124</v>
          </cell>
          <cell r="AE149">
            <v>13377</v>
          </cell>
          <cell r="AH149">
            <v>10256</v>
          </cell>
          <cell r="AN149">
            <v>5838</v>
          </cell>
          <cell r="AQ149">
            <v>5725</v>
          </cell>
          <cell r="AT149">
            <v>2235</v>
          </cell>
          <cell r="AW149">
            <v>722</v>
          </cell>
          <cell r="AZ149">
            <v>5420</v>
          </cell>
          <cell r="BC149">
            <v>1588</v>
          </cell>
          <cell r="BF149">
            <v>2084</v>
          </cell>
          <cell r="BN149">
            <v>0</v>
          </cell>
        </row>
        <row r="150">
          <cell r="B150">
            <v>926</v>
          </cell>
          <cell r="C150" t="str">
            <v>Norfolk</v>
          </cell>
          <cell r="J150">
            <v>1</v>
          </cell>
          <cell r="X150">
            <v>166191.09600000002</v>
          </cell>
          <cell r="AA150">
            <v>14146</v>
          </cell>
          <cell r="AE150">
            <v>12852</v>
          </cell>
          <cell r="AH150">
            <v>9939</v>
          </cell>
          <cell r="AN150">
            <v>6367</v>
          </cell>
          <cell r="AQ150">
            <v>8838</v>
          </cell>
          <cell r="AT150">
            <v>3037</v>
          </cell>
          <cell r="AW150">
            <v>911</v>
          </cell>
          <cell r="AZ150">
            <v>6140</v>
          </cell>
          <cell r="BC150">
            <v>2140</v>
          </cell>
          <cell r="BF150">
            <v>1802</v>
          </cell>
          <cell r="BN150">
            <v>0</v>
          </cell>
        </row>
        <row r="151">
          <cell r="B151">
            <v>928</v>
          </cell>
          <cell r="C151" t="str">
            <v>Northamptonshire</v>
          </cell>
          <cell r="J151">
            <v>1.004938767636737</v>
          </cell>
          <cell r="X151">
            <v>162411.07257995426</v>
          </cell>
          <cell r="AA151">
            <v>12196.941822807077</v>
          </cell>
          <cell r="AE151">
            <v>11517.603215884643</v>
          </cell>
          <cell r="AH151">
            <v>10867.407833223673</v>
          </cell>
          <cell r="AN151">
            <v>8168.1423033513984</v>
          </cell>
          <cell r="AQ151">
            <v>6212.5314615303078</v>
          </cell>
          <cell r="AT151">
            <v>2172.6776156306255</v>
          </cell>
          <cell r="AW151">
            <v>752.69913695991602</v>
          </cell>
          <cell r="AZ151">
            <v>5245.7803670637668</v>
          </cell>
          <cell r="BC151">
            <v>1954.6059030534534</v>
          </cell>
          <cell r="BF151">
            <v>2283.2208800706662</v>
          </cell>
          <cell r="BN151">
            <v>0</v>
          </cell>
        </row>
        <row r="152">
          <cell r="B152">
            <v>929</v>
          </cell>
          <cell r="C152" t="str">
            <v>Northumberland</v>
          </cell>
          <cell r="J152">
            <v>1</v>
          </cell>
          <cell r="X152">
            <v>55800.682000000008</v>
          </cell>
          <cell r="AA152">
            <v>5321</v>
          </cell>
          <cell r="AE152">
            <v>5024</v>
          </cell>
          <cell r="AH152">
            <v>3870</v>
          </cell>
          <cell r="AN152">
            <v>5074</v>
          </cell>
          <cell r="AQ152">
            <v>5705</v>
          </cell>
          <cell r="AT152">
            <v>1232</v>
          </cell>
          <cell r="AW152">
            <v>296</v>
          </cell>
          <cell r="AZ152">
            <v>2240</v>
          </cell>
          <cell r="BC152">
            <v>620</v>
          </cell>
          <cell r="BF152">
            <v>1111</v>
          </cell>
          <cell r="BN152">
            <v>0</v>
          </cell>
        </row>
        <row r="153">
          <cell r="B153">
            <v>931</v>
          </cell>
          <cell r="C153" t="str">
            <v>Oxfordshire</v>
          </cell>
          <cell r="J153">
            <v>1.0333689168320959</v>
          </cell>
          <cell r="X153">
            <v>145842.99992468336</v>
          </cell>
          <cell r="AA153">
            <v>7870.1376705932416</v>
          </cell>
          <cell r="AE153">
            <v>11065.314361438082</v>
          </cell>
          <cell r="AH153">
            <v>6397.5869641075051</v>
          </cell>
          <cell r="AN153">
            <v>3172.4425746745342</v>
          </cell>
          <cell r="AQ153">
            <v>2030.5699215750683</v>
          </cell>
          <cell r="AT153">
            <v>0</v>
          </cell>
          <cell r="AW153">
            <v>521.85130300020842</v>
          </cell>
          <cell r="AZ153">
            <v>3658.1259655856193</v>
          </cell>
          <cell r="BC153">
            <v>1369.2138148025269</v>
          </cell>
          <cell r="BF153">
            <v>1693.6916546878051</v>
          </cell>
          <cell r="BN153">
            <v>0</v>
          </cell>
        </row>
        <row r="154">
          <cell r="B154">
            <v>933</v>
          </cell>
          <cell r="C154" t="str">
            <v>Somerset</v>
          </cell>
          <cell r="J154">
            <v>1</v>
          </cell>
          <cell r="X154">
            <v>108369.31599999999</v>
          </cell>
          <cell r="AA154">
            <v>7353</v>
          </cell>
          <cell r="AE154">
            <v>9541</v>
          </cell>
          <cell r="AH154">
            <v>8367</v>
          </cell>
          <cell r="AN154">
            <v>1860</v>
          </cell>
          <cell r="AQ154">
            <v>3316</v>
          </cell>
          <cell r="AT154">
            <v>461</v>
          </cell>
          <cell r="AW154">
            <v>502</v>
          </cell>
          <cell r="AZ154">
            <v>2990</v>
          </cell>
          <cell r="BC154">
            <v>1129</v>
          </cell>
          <cell r="BF154">
            <v>1339</v>
          </cell>
          <cell r="BN154">
            <v>0</v>
          </cell>
        </row>
        <row r="155">
          <cell r="B155">
            <v>935</v>
          </cell>
          <cell r="C155" t="str">
            <v>Suffolk</v>
          </cell>
          <cell r="J155">
            <v>1.0000359327175439</v>
          </cell>
          <cell r="X155">
            <v>146728.50716456037</v>
          </cell>
          <cell r="AA155">
            <v>12238.439744597303</v>
          </cell>
          <cell r="AE155">
            <v>11959.429719369107</v>
          </cell>
          <cell r="AH155">
            <v>7170.2576375847893</v>
          </cell>
          <cell r="AN155">
            <v>4897.175962517812</v>
          </cell>
          <cell r="AQ155">
            <v>4200.1509174136845</v>
          </cell>
          <cell r="AT155">
            <v>787.02827904870708</v>
          </cell>
          <cell r="AW155">
            <v>731.02626681652453</v>
          </cell>
          <cell r="AZ155">
            <v>4830.1735550257372</v>
          </cell>
          <cell r="BC155">
            <v>1839.0660802675632</v>
          </cell>
          <cell r="BF155">
            <v>2033.0730512147668</v>
          </cell>
          <cell r="BN155">
            <v>0</v>
          </cell>
        </row>
        <row r="156">
          <cell r="B156">
            <v>936</v>
          </cell>
          <cell r="C156" t="str">
            <v>Surrey</v>
          </cell>
          <cell r="J156">
            <v>1.0744343550114952</v>
          </cell>
          <cell r="X156">
            <v>279297.11758711457</v>
          </cell>
          <cell r="AA156">
            <v>11382.55755699178</v>
          </cell>
          <cell r="AE156">
            <v>12942.636240468471</v>
          </cell>
          <cell r="AH156">
            <v>9749.417337374307</v>
          </cell>
          <cell r="AN156">
            <v>1719.0949680183924</v>
          </cell>
          <cell r="AQ156">
            <v>737.06196753788572</v>
          </cell>
          <cell r="AT156">
            <v>0</v>
          </cell>
          <cell r="AW156">
            <v>1037.9035869411043</v>
          </cell>
          <cell r="AZ156">
            <v>7424.3413931294317</v>
          </cell>
          <cell r="BC156">
            <v>2111.2635075975882</v>
          </cell>
          <cell r="BF156">
            <v>2543.1861183122091</v>
          </cell>
          <cell r="BN156">
            <v>0</v>
          </cell>
        </row>
        <row r="157">
          <cell r="B157">
            <v>937</v>
          </cell>
          <cell r="C157" t="str">
            <v>Warwickshire</v>
          </cell>
          <cell r="J157">
            <v>1.0105351699887246</v>
          </cell>
          <cell r="X157">
            <v>111350.81278055289</v>
          </cell>
          <cell r="AA157">
            <v>6723.0904859349848</v>
          </cell>
          <cell r="AE157">
            <v>12483.140954870714</v>
          </cell>
          <cell r="AH157">
            <v>5861.1039859346029</v>
          </cell>
          <cell r="AN157">
            <v>0</v>
          </cell>
          <cell r="AQ157">
            <v>1619.8878774919256</v>
          </cell>
          <cell r="AT157">
            <v>1492.5604460733462</v>
          </cell>
          <cell r="AW157">
            <v>460.80403751485841</v>
          </cell>
          <cell r="AZ157">
            <v>3536.873094960536</v>
          </cell>
          <cell r="BC157">
            <v>1091.3779835878227</v>
          </cell>
          <cell r="BF157">
            <v>1191.4209654167064</v>
          </cell>
          <cell r="BN157">
            <v>0</v>
          </cell>
        </row>
        <row r="158">
          <cell r="B158">
            <v>938</v>
          </cell>
          <cell r="C158" t="str">
            <v>West Sussex</v>
          </cell>
          <cell r="J158">
            <v>1.0111639788232589</v>
          </cell>
          <cell r="X158">
            <v>172387.41930633353</v>
          </cell>
          <cell r="AA158">
            <v>8862.8522743858648</v>
          </cell>
          <cell r="AE158">
            <v>15057.242808657149</v>
          </cell>
          <cell r="AH158">
            <v>12800.324807923635</v>
          </cell>
          <cell r="AN158">
            <v>1043.5212261456031</v>
          </cell>
          <cell r="AQ158">
            <v>1900.9882801877268</v>
          </cell>
          <cell r="AT158">
            <v>0</v>
          </cell>
          <cell r="AW158">
            <v>752.30600024450462</v>
          </cell>
          <cell r="AZ158">
            <v>4600.7961036458282</v>
          </cell>
          <cell r="BC158">
            <v>1771.5592908983497</v>
          </cell>
          <cell r="BF158">
            <v>2299.3868878440908</v>
          </cell>
          <cell r="BN158">
            <v>0</v>
          </cell>
        </row>
      </sheetData>
      <sheetData sheetId="26">
        <row r="8">
          <cell r="B8">
            <v>9999</v>
          </cell>
          <cell r="C8" t="str">
            <v>ESFA</v>
          </cell>
          <cell r="J8">
            <v>1</v>
          </cell>
          <cell r="X8">
            <v>0</v>
          </cell>
          <cell r="AA8">
            <v>0</v>
          </cell>
          <cell r="AE8">
            <v>0</v>
          </cell>
          <cell r="AH8">
            <v>0</v>
          </cell>
          <cell r="AN8">
            <v>0</v>
          </cell>
          <cell r="AQ8">
            <v>0</v>
          </cell>
          <cell r="AT8">
            <v>0</v>
          </cell>
          <cell r="AW8">
            <v>0</v>
          </cell>
          <cell r="AZ8">
            <v>0</v>
          </cell>
          <cell r="BC8">
            <v>0</v>
          </cell>
          <cell r="BF8">
            <v>0</v>
          </cell>
          <cell r="BN8">
            <v>0</v>
          </cell>
        </row>
        <row r="9">
          <cell r="B9">
            <v>202</v>
          </cell>
          <cell r="C9" t="str">
            <v>Camden</v>
          </cell>
          <cell r="J9">
            <v>1.205632878027378</v>
          </cell>
          <cell r="X9">
            <v>57439.899692417195</v>
          </cell>
          <cell r="AA9">
            <v>6936.0059472915054</v>
          </cell>
          <cell r="AE9">
            <v>4869.5511943525798</v>
          </cell>
          <cell r="AH9">
            <v>5190.2495399078625</v>
          </cell>
          <cell r="AN9">
            <v>5984.7616065279044</v>
          </cell>
          <cell r="AQ9">
            <v>9933.2092820675662</v>
          </cell>
          <cell r="AT9">
            <v>3637.3943930085993</v>
          </cell>
          <cell r="AW9">
            <v>417.14897579747276</v>
          </cell>
          <cell r="AZ9">
            <v>1338.2524946103895</v>
          </cell>
          <cell r="BC9">
            <v>358.07296477413126</v>
          </cell>
          <cell r="BF9">
            <v>456.93486077237623</v>
          </cell>
          <cell r="BN9">
            <v>0</v>
          </cell>
        </row>
        <row r="10">
          <cell r="B10">
            <v>203</v>
          </cell>
          <cell r="C10" t="str">
            <v>Greenwich</v>
          </cell>
          <cell r="J10">
            <v>1.205632878027378</v>
          </cell>
          <cell r="X10">
            <v>80032.011861563748</v>
          </cell>
          <cell r="AA10">
            <v>8954.2353851093358</v>
          </cell>
          <cell r="AE10">
            <v>11379.96873570042</v>
          </cell>
          <cell r="AH10">
            <v>12514.469273924184</v>
          </cell>
          <cell r="AN10">
            <v>11340.182850725518</v>
          </cell>
          <cell r="AQ10">
            <v>6517.651338616005</v>
          </cell>
          <cell r="AT10">
            <v>0</v>
          </cell>
          <cell r="AW10">
            <v>572.67561706300455</v>
          </cell>
          <cell r="AZ10">
            <v>2519.7727150772198</v>
          </cell>
          <cell r="BC10">
            <v>648.6304883787293</v>
          </cell>
          <cell r="BF10">
            <v>799.33459813215154</v>
          </cell>
          <cell r="BN10">
            <v>0</v>
          </cell>
        </row>
        <row r="11">
          <cell r="B11">
            <v>204</v>
          </cell>
          <cell r="C11" t="str">
            <v>Hackney</v>
          </cell>
          <cell r="J11">
            <v>1.205632878027378</v>
          </cell>
          <cell r="X11">
            <v>73596.827017437696</v>
          </cell>
          <cell r="AA11">
            <v>12182.920232466655</v>
          </cell>
          <cell r="AE11">
            <v>7714.8447864971913</v>
          </cell>
          <cell r="AH11">
            <v>8289.9316693162509</v>
          </cell>
          <cell r="AN11">
            <v>13869.600628826956</v>
          </cell>
          <cell r="AQ11">
            <v>16699.220993557214</v>
          </cell>
          <cell r="AT11">
            <v>2309.9925943004559</v>
          </cell>
          <cell r="AW11">
            <v>618.48966642804487</v>
          </cell>
          <cell r="AZ11">
            <v>2290.7024682520182</v>
          </cell>
          <cell r="BC11">
            <v>637.77979247648295</v>
          </cell>
          <cell r="BF11">
            <v>694.44453774376973</v>
          </cell>
          <cell r="BN11">
            <v>0</v>
          </cell>
        </row>
        <row r="12">
          <cell r="B12">
            <v>205</v>
          </cell>
          <cell r="C12" t="str">
            <v>Hammersmith and Fulham</v>
          </cell>
          <cell r="J12">
            <v>1.205632878027378</v>
          </cell>
          <cell r="X12">
            <v>39118.140382876503</v>
          </cell>
          <cell r="AA12">
            <v>4611.5457584547203</v>
          </cell>
          <cell r="AE12">
            <v>2969.4737785814318</v>
          </cell>
          <cell r="AH12">
            <v>2719.9077728297648</v>
          </cell>
          <cell r="AN12">
            <v>4489.7768377739558</v>
          </cell>
          <cell r="AQ12">
            <v>5930.508127016672</v>
          </cell>
          <cell r="AT12">
            <v>2819.975301706037</v>
          </cell>
          <cell r="AW12">
            <v>267.65049892207793</v>
          </cell>
          <cell r="AZ12">
            <v>855.99934339943832</v>
          </cell>
          <cell r="BC12">
            <v>251.97727150772198</v>
          </cell>
          <cell r="BF12">
            <v>306.23075101895398</v>
          </cell>
          <cell r="BN12">
            <v>0</v>
          </cell>
        </row>
        <row r="13">
          <cell r="B13">
            <v>206</v>
          </cell>
          <cell r="C13" t="str">
            <v>Islington</v>
          </cell>
          <cell r="J13">
            <v>1.205632878027378</v>
          </cell>
          <cell r="X13">
            <v>49023.248773822997</v>
          </cell>
          <cell r="AA13">
            <v>7959.5882607367494</v>
          </cell>
          <cell r="AE13">
            <v>2422.1164519570025</v>
          </cell>
          <cell r="AH13">
            <v>4877.9906244987715</v>
          </cell>
          <cell r="AN13">
            <v>6917.9214541210949</v>
          </cell>
          <cell r="AQ13">
            <v>12169.658270808353</v>
          </cell>
          <cell r="AT13">
            <v>4964.7961917167422</v>
          </cell>
          <cell r="AW13">
            <v>412.32644428536327</v>
          </cell>
          <cell r="AZ13">
            <v>1615.5480565566866</v>
          </cell>
          <cell r="BC13">
            <v>443.67289911407511</v>
          </cell>
          <cell r="BF13">
            <v>391.83068535889782</v>
          </cell>
          <cell r="BN13">
            <v>0</v>
          </cell>
        </row>
        <row r="14">
          <cell r="B14">
            <v>207</v>
          </cell>
          <cell r="C14" t="str">
            <v>Kensington and Chelsea</v>
          </cell>
          <cell r="J14">
            <v>1.205632878027378</v>
          </cell>
          <cell r="X14">
            <v>31723.498426821719</v>
          </cell>
          <cell r="AA14">
            <v>2582.4656247346434</v>
          </cell>
          <cell r="AE14">
            <v>1691.5029278724112</v>
          </cell>
          <cell r="AH14">
            <v>1375.6271138292382</v>
          </cell>
          <cell r="AN14">
            <v>1427.4693275844154</v>
          </cell>
          <cell r="AQ14">
            <v>3729.0224917386799</v>
          </cell>
          <cell r="AT14">
            <v>1066.9850970542295</v>
          </cell>
          <cell r="AW14">
            <v>191.6956276063531</v>
          </cell>
          <cell r="AZ14">
            <v>518.42213755177249</v>
          </cell>
          <cell r="BC14">
            <v>120.56328780273779</v>
          </cell>
          <cell r="BF14">
            <v>115.74075629062828</v>
          </cell>
          <cell r="BN14">
            <v>0</v>
          </cell>
        </row>
        <row r="15">
          <cell r="B15">
            <v>208</v>
          </cell>
          <cell r="C15" t="str">
            <v>Lambeth</v>
          </cell>
          <cell r="J15">
            <v>1.205632878027378</v>
          </cell>
          <cell r="X15">
            <v>72773.87165995923</v>
          </cell>
          <cell r="AA15">
            <v>10496.239836106353</v>
          </cell>
          <cell r="AE15">
            <v>5350.5987126855034</v>
          </cell>
          <cell r="AH15">
            <v>10892.893052977361</v>
          </cell>
          <cell r="AN15">
            <v>12893.03799762478</v>
          </cell>
          <cell r="AQ15">
            <v>12596.452309630045</v>
          </cell>
          <cell r="AT15">
            <v>821.03598993664434</v>
          </cell>
          <cell r="AW15">
            <v>590.76011023341516</v>
          </cell>
          <cell r="AZ15">
            <v>2109.8575365479114</v>
          </cell>
          <cell r="BC15">
            <v>624.51783081818178</v>
          </cell>
          <cell r="BF15">
            <v>704.08960076798871</v>
          </cell>
          <cell r="BN15">
            <v>0</v>
          </cell>
        </row>
        <row r="16">
          <cell r="B16">
            <v>209</v>
          </cell>
          <cell r="C16" t="str">
            <v>Lewisham</v>
          </cell>
          <cell r="J16">
            <v>1.205632878027378</v>
          </cell>
          <cell r="X16">
            <v>82552.765961803685</v>
          </cell>
          <cell r="AA16">
            <v>9295.4294895910843</v>
          </cell>
          <cell r="AE16">
            <v>11712.723410035976</v>
          </cell>
          <cell r="AH16">
            <v>15072.82224109828</v>
          </cell>
          <cell r="AN16">
            <v>11950.233087007371</v>
          </cell>
          <cell r="AQ16">
            <v>12613.331169922429</v>
          </cell>
          <cell r="AT16">
            <v>1179.1089547107756</v>
          </cell>
          <cell r="AW16">
            <v>532.88973208810103</v>
          </cell>
          <cell r="AZ16">
            <v>2905.575236045981</v>
          </cell>
          <cell r="BC16">
            <v>752.31491588908386</v>
          </cell>
          <cell r="BF16">
            <v>966.91756817795715</v>
          </cell>
          <cell r="BN16">
            <v>0</v>
          </cell>
        </row>
        <row r="17">
          <cell r="B17">
            <v>210</v>
          </cell>
          <cell r="C17" t="str">
            <v>Southwark</v>
          </cell>
          <cell r="J17">
            <v>1.205632878027378</v>
          </cell>
          <cell r="X17">
            <v>73919.38927142242</v>
          </cell>
          <cell r="AA17">
            <v>10564.960910153914</v>
          </cell>
          <cell r="AE17">
            <v>3561.4395216928747</v>
          </cell>
          <cell r="AH17">
            <v>8289.9316693162509</v>
          </cell>
          <cell r="AN17">
            <v>18191.794496555107</v>
          </cell>
          <cell r="AQ17">
            <v>10992.960581853633</v>
          </cell>
          <cell r="AT17">
            <v>701.678335011934</v>
          </cell>
          <cell r="AW17">
            <v>525.65593481993676</v>
          </cell>
          <cell r="AZ17">
            <v>2338.927783373113</v>
          </cell>
          <cell r="BC17">
            <v>664.3037157930853</v>
          </cell>
          <cell r="BF17">
            <v>710.11776515812562</v>
          </cell>
          <cell r="BN17">
            <v>0</v>
          </cell>
        </row>
        <row r="18">
          <cell r="B18">
            <v>211</v>
          </cell>
          <cell r="C18" t="str">
            <v>Tower Hamlets</v>
          </cell>
          <cell r="J18">
            <v>1.205632878027378</v>
          </cell>
          <cell r="X18">
            <v>84613.240775667611</v>
          </cell>
          <cell r="AA18">
            <v>17727.625838514567</v>
          </cell>
          <cell r="AE18">
            <v>1411.7961001700596</v>
          </cell>
          <cell r="AH18">
            <v>2084.5392461093365</v>
          </cell>
          <cell r="AN18">
            <v>15322.388246849947</v>
          </cell>
          <cell r="AQ18">
            <v>29773.103922886097</v>
          </cell>
          <cell r="AT18">
            <v>7896.8953510793253</v>
          </cell>
          <cell r="AW18">
            <v>786.07263647385048</v>
          </cell>
          <cell r="AZ18">
            <v>2531.8290438574936</v>
          </cell>
          <cell r="BC18">
            <v>659.48118428097575</v>
          </cell>
          <cell r="BF18">
            <v>596.78827462355207</v>
          </cell>
          <cell r="BN18">
            <v>0</v>
          </cell>
        </row>
        <row r="19">
          <cell r="B19">
            <v>212</v>
          </cell>
          <cell r="C19" t="str">
            <v>Wandsworth</v>
          </cell>
          <cell r="J19">
            <v>1.205632878027378</v>
          </cell>
          <cell r="X19">
            <v>71497.356008133982</v>
          </cell>
          <cell r="AA19">
            <v>6180.074132768339</v>
          </cell>
          <cell r="AE19">
            <v>9019.3395605228143</v>
          </cell>
          <cell r="AH19">
            <v>7828.1742770317651</v>
          </cell>
          <cell r="AN19">
            <v>3260.0313021860302</v>
          </cell>
          <cell r="AQ19">
            <v>9227.9140484215513</v>
          </cell>
          <cell r="AT19">
            <v>671.53751306124957</v>
          </cell>
          <cell r="AW19">
            <v>423.17714018760967</v>
          </cell>
          <cell r="AZ19">
            <v>1953.1252624043523</v>
          </cell>
          <cell r="BC19">
            <v>432.82220321182871</v>
          </cell>
          <cell r="BF19">
            <v>517.21650467374513</v>
          </cell>
          <cell r="BN19">
            <v>0</v>
          </cell>
        </row>
        <row r="20">
          <cell r="B20">
            <v>213</v>
          </cell>
          <cell r="C20" t="str">
            <v>Westminster</v>
          </cell>
          <cell r="J20">
            <v>1.205632878027378</v>
          </cell>
          <cell r="X20">
            <v>53646.27577417517</v>
          </cell>
          <cell r="AA20">
            <v>5381.9451675142154</v>
          </cell>
          <cell r="AE20">
            <v>2723.524671463847</v>
          </cell>
          <cell r="AH20">
            <v>3308.256617307125</v>
          </cell>
          <cell r="AN20">
            <v>4035.2532427576339</v>
          </cell>
          <cell r="AQ20">
            <v>10650.560844493857</v>
          </cell>
          <cell r="AT20">
            <v>4648.9203776735694</v>
          </cell>
          <cell r="AW20">
            <v>379.77435657862407</v>
          </cell>
          <cell r="AZ20">
            <v>1036.844275103545</v>
          </cell>
          <cell r="BC20">
            <v>295.38005511670758</v>
          </cell>
          <cell r="BF20">
            <v>268.85613180010529</v>
          </cell>
          <cell r="BN20">
            <v>0</v>
          </cell>
        </row>
        <row r="21">
          <cell r="B21">
            <v>301</v>
          </cell>
          <cell r="C21" t="str">
            <v>Barking and Dagenham</v>
          </cell>
          <cell r="J21">
            <v>1.1243577599840504</v>
          </cell>
          <cell r="X21">
            <v>73068.238601078701</v>
          </cell>
          <cell r="AA21">
            <v>8361.8486610013824</v>
          </cell>
          <cell r="AE21">
            <v>3971.2316082636662</v>
          </cell>
          <cell r="AH21">
            <v>17256.642900235205</v>
          </cell>
          <cell r="AN21">
            <v>13938.663150522272</v>
          </cell>
          <cell r="AQ21">
            <v>7903.1106949278901</v>
          </cell>
          <cell r="AT21">
            <v>0</v>
          </cell>
          <cell r="AW21">
            <v>469.98154367333308</v>
          </cell>
          <cell r="AZ21">
            <v>2057.5747007708123</v>
          </cell>
          <cell r="BC21">
            <v>767.93635006910642</v>
          </cell>
          <cell r="BF21">
            <v>734.20561726958488</v>
          </cell>
          <cell r="BN21">
            <v>0</v>
          </cell>
        </row>
        <row r="22">
          <cell r="B22">
            <v>302</v>
          </cell>
          <cell r="C22" t="str">
            <v>Barnet</v>
          </cell>
          <cell r="J22">
            <v>1.1116135618035334</v>
          </cell>
          <cell r="X22">
            <v>103580.49740067097</v>
          </cell>
          <cell r="AA22">
            <v>7522.288972724511</v>
          </cell>
          <cell r="AE22">
            <v>8282.6326489981275</v>
          </cell>
          <cell r="AH22">
            <v>7752.3929800178421</v>
          </cell>
          <cell r="AN22">
            <v>5117.868838543468</v>
          </cell>
          <cell r="AQ22">
            <v>3542.7124214678611</v>
          </cell>
          <cell r="AT22">
            <v>0</v>
          </cell>
          <cell r="AW22">
            <v>568.03453008160557</v>
          </cell>
          <cell r="AZ22">
            <v>2156.5303098988547</v>
          </cell>
          <cell r="BC22">
            <v>663.63329639670951</v>
          </cell>
          <cell r="BF22">
            <v>818.14758148740066</v>
          </cell>
          <cell r="BN22">
            <v>0</v>
          </cell>
        </row>
        <row r="23">
          <cell r="B23">
            <v>303</v>
          </cell>
          <cell r="C23" t="str">
            <v>Bexley</v>
          </cell>
          <cell r="J23">
            <v>1.0870826162281</v>
          </cell>
          <cell r="X23">
            <v>64745.126316461232</v>
          </cell>
          <cell r="AA23">
            <v>4653.8006800724961</v>
          </cell>
          <cell r="AE23">
            <v>6695.341833348868</v>
          </cell>
          <cell r="AH23">
            <v>7275.8439504146736</v>
          </cell>
          <cell r="AN23">
            <v>4546.1795010659143</v>
          </cell>
          <cell r="AQ23">
            <v>966.41644582678089</v>
          </cell>
          <cell r="AT23">
            <v>0</v>
          </cell>
          <cell r="AW23">
            <v>334.82144579825479</v>
          </cell>
          <cell r="AZ23">
            <v>2000.232013859704</v>
          </cell>
          <cell r="BC23">
            <v>483.75176422150452</v>
          </cell>
          <cell r="BF23">
            <v>697.90703961844019</v>
          </cell>
          <cell r="BN23">
            <v>0</v>
          </cell>
        </row>
        <row r="24">
          <cell r="B24">
            <v>304</v>
          </cell>
          <cell r="C24" t="str">
            <v>Brent</v>
          </cell>
          <cell r="J24">
            <v>1.1488887055594839</v>
          </cell>
          <cell r="X24">
            <v>85924.866991098883</v>
          </cell>
          <cell r="AA24">
            <v>7725.1276561819695</v>
          </cell>
          <cell r="AE24">
            <v>12726.240191482402</v>
          </cell>
          <cell r="AH24">
            <v>7391.9499315697194</v>
          </cell>
          <cell r="AN24">
            <v>12054.140298730104</v>
          </cell>
          <cell r="AQ24">
            <v>9042.903001458697</v>
          </cell>
          <cell r="AT24">
            <v>1372.9220031435832</v>
          </cell>
          <cell r="AW24">
            <v>641.07989770219194</v>
          </cell>
          <cell r="AZ24">
            <v>2148.421879396235</v>
          </cell>
          <cell r="BC24">
            <v>880.04874845856466</v>
          </cell>
          <cell r="BF24">
            <v>924.85540797538454</v>
          </cell>
          <cell r="BN24">
            <v>0</v>
          </cell>
        </row>
        <row r="25">
          <cell r="B25">
            <v>305</v>
          </cell>
          <cell r="C25" t="str">
            <v>Bromley</v>
          </cell>
          <cell r="J25">
            <v>1.0870826162281</v>
          </cell>
          <cell r="X25">
            <v>82204.022086604309</v>
          </cell>
          <cell r="AA25">
            <v>4534.2215922874047</v>
          </cell>
          <cell r="AE25">
            <v>2477.4612823838397</v>
          </cell>
          <cell r="AH25">
            <v>5174.5132532457555</v>
          </cell>
          <cell r="AN25">
            <v>3162.3233306075426</v>
          </cell>
          <cell r="AQ25">
            <v>6445.3128316164048</v>
          </cell>
          <cell r="AT25">
            <v>708.77786578072119</v>
          </cell>
          <cell r="AW25">
            <v>311.99271085746471</v>
          </cell>
          <cell r="AZ25">
            <v>2369.8401033772579</v>
          </cell>
          <cell r="BC25">
            <v>570.7183735197525</v>
          </cell>
          <cell r="BF25">
            <v>614.20167816887647</v>
          </cell>
          <cell r="BN25">
            <v>0</v>
          </cell>
        </row>
        <row r="26">
          <cell r="B26">
            <v>306</v>
          </cell>
          <cell r="C26" t="str">
            <v>Croydon</v>
          </cell>
          <cell r="J26">
            <v>1.0870826162281</v>
          </cell>
          <cell r="X26">
            <v>104541.52287352543</v>
          </cell>
          <cell r="AA26">
            <v>11638.306489338038</v>
          </cell>
          <cell r="AE26">
            <v>14014.669088412666</v>
          </cell>
          <cell r="AH26">
            <v>18159.71510409041</v>
          </cell>
          <cell r="AN26">
            <v>11131.725990175744</v>
          </cell>
          <cell r="AQ26">
            <v>3683.0359037808025</v>
          </cell>
          <cell r="AT26">
            <v>442.44262480483667</v>
          </cell>
          <cell r="AW26">
            <v>640.29166095835092</v>
          </cell>
          <cell r="AZ26">
            <v>3011.2188469518369</v>
          </cell>
          <cell r="BC26">
            <v>996.85475908116769</v>
          </cell>
          <cell r="BF26">
            <v>1153.3946558180141</v>
          </cell>
          <cell r="BN26">
            <v>0</v>
          </cell>
        </row>
        <row r="27">
          <cell r="B27">
            <v>307</v>
          </cell>
          <cell r="C27" t="str">
            <v>Ealing</v>
          </cell>
          <cell r="J27">
            <v>1.1488887055594839</v>
          </cell>
          <cell r="X27">
            <v>91417.765932368857</v>
          </cell>
          <cell r="AA27">
            <v>8728.1074961353988</v>
          </cell>
          <cell r="AE27">
            <v>15069.973150823749</v>
          </cell>
          <cell r="AH27">
            <v>12004.738084391047</v>
          </cell>
          <cell r="AN27">
            <v>6810.6122465566204</v>
          </cell>
          <cell r="AQ27">
            <v>5703.0835343972776</v>
          </cell>
          <cell r="AT27">
            <v>962.76873525884753</v>
          </cell>
          <cell r="AW27">
            <v>558.35991090190919</v>
          </cell>
          <cell r="AZ27">
            <v>2056.5107829514759</v>
          </cell>
          <cell r="BC27">
            <v>846.73097599733956</v>
          </cell>
          <cell r="BF27">
            <v>840.98653246954223</v>
          </cell>
          <cell r="BN27">
            <v>0</v>
          </cell>
        </row>
        <row r="28">
          <cell r="B28">
            <v>308</v>
          </cell>
          <cell r="C28" t="str">
            <v>Enfield</v>
          </cell>
          <cell r="J28">
            <v>1.0870826162281</v>
          </cell>
          <cell r="X28">
            <v>92949.558716117157</v>
          </cell>
          <cell r="AA28">
            <v>10108.781248305102</v>
          </cell>
          <cell r="AE28">
            <v>6810.5725906690468</v>
          </cell>
          <cell r="AH28">
            <v>8091.1559125857484</v>
          </cell>
          <cell r="AN28">
            <v>16517.133270969753</v>
          </cell>
          <cell r="AQ28">
            <v>23227.694260945813</v>
          </cell>
          <cell r="AT28">
            <v>1215.3583649430159</v>
          </cell>
          <cell r="AW28">
            <v>625.07250433115746</v>
          </cell>
          <cell r="AZ28">
            <v>2108.9402754825142</v>
          </cell>
          <cell r="BC28">
            <v>1008.8126678596768</v>
          </cell>
          <cell r="BF28">
            <v>1063.1667986710818</v>
          </cell>
          <cell r="BN28">
            <v>0</v>
          </cell>
        </row>
        <row r="29">
          <cell r="B29">
            <v>309</v>
          </cell>
          <cell r="C29" t="str">
            <v>Haringey</v>
          </cell>
          <cell r="J29">
            <v>1.1243577599840504</v>
          </cell>
          <cell r="X29">
            <v>63883.914368144644</v>
          </cell>
          <cell r="AA29">
            <v>7962.7016562070448</v>
          </cell>
          <cell r="AE29">
            <v>3772.2202847464891</v>
          </cell>
          <cell r="AH29">
            <v>5027.0035448886892</v>
          </cell>
          <cell r="AN29">
            <v>12924.49245101666</v>
          </cell>
          <cell r="AQ29">
            <v>11560.646488156006</v>
          </cell>
          <cell r="AT29">
            <v>2083.4349292504453</v>
          </cell>
          <cell r="AW29">
            <v>557.681448952089</v>
          </cell>
          <cell r="AZ29">
            <v>1787.7288383746402</v>
          </cell>
          <cell r="BC29">
            <v>734.20561726958488</v>
          </cell>
          <cell r="BF29">
            <v>836.52217342813356</v>
          </cell>
          <cell r="BN29">
            <v>0</v>
          </cell>
        </row>
        <row r="30">
          <cell r="B30">
            <v>310</v>
          </cell>
          <cell r="C30" t="str">
            <v>Harrow</v>
          </cell>
          <cell r="J30">
            <v>1.1116135618035334</v>
          </cell>
          <cell r="X30">
            <v>65627.822745208701</v>
          </cell>
          <cell r="AA30">
            <v>3847.2945374020292</v>
          </cell>
          <cell r="AE30">
            <v>6132.7720204700936</v>
          </cell>
          <cell r="AH30">
            <v>7649.0129187701132</v>
          </cell>
          <cell r="AN30">
            <v>1347.2756369058825</v>
          </cell>
          <cell r="AQ30">
            <v>1168.3058534555137</v>
          </cell>
          <cell r="AT30">
            <v>0</v>
          </cell>
          <cell r="AW30">
            <v>366.83247539516606</v>
          </cell>
          <cell r="AZ30">
            <v>1433.9814947265581</v>
          </cell>
          <cell r="BC30">
            <v>534.68612322749959</v>
          </cell>
          <cell r="BF30">
            <v>487.99835363175117</v>
          </cell>
          <cell r="BN30">
            <v>0</v>
          </cell>
        </row>
        <row r="31">
          <cell r="B31">
            <v>311</v>
          </cell>
          <cell r="C31" t="str">
            <v>Havering</v>
          </cell>
          <cell r="J31">
            <v>1.0870826162281</v>
          </cell>
          <cell r="X31">
            <v>63858.797421137198</v>
          </cell>
          <cell r="AA31">
            <v>4926.6584167457495</v>
          </cell>
          <cell r="AE31">
            <v>8349.8815752480368</v>
          </cell>
          <cell r="AH31">
            <v>6226.8092257545568</v>
          </cell>
          <cell r="AN31">
            <v>4263.5380208466086</v>
          </cell>
          <cell r="AQ31">
            <v>2991.6513598597312</v>
          </cell>
          <cell r="AT31">
            <v>0</v>
          </cell>
          <cell r="AW31">
            <v>297.8606368464994</v>
          </cell>
          <cell r="AZ31">
            <v>1663.2364028289931</v>
          </cell>
          <cell r="BC31">
            <v>459.8359466644863</v>
          </cell>
          <cell r="BF31">
            <v>642.46582619080709</v>
          </cell>
          <cell r="BN31">
            <v>0</v>
          </cell>
        </row>
        <row r="32">
          <cell r="B32">
            <v>312</v>
          </cell>
          <cell r="C32" t="str">
            <v>Hillingdon</v>
          </cell>
          <cell r="J32">
            <v>1.1116135618035334</v>
          </cell>
          <cell r="X32">
            <v>83420.252723144411</v>
          </cell>
          <cell r="AA32">
            <v>7073.1970937558835</v>
          </cell>
          <cell r="AE32">
            <v>14046.348966949448</v>
          </cell>
          <cell r="AH32">
            <v>12565.679702627142</v>
          </cell>
          <cell r="AN32">
            <v>4411.9942267982242</v>
          </cell>
          <cell r="AQ32">
            <v>921.52764273512923</v>
          </cell>
          <cell r="AT32">
            <v>0</v>
          </cell>
          <cell r="AW32">
            <v>446.86865184502045</v>
          </cell>
          <cell r="AZ32">
            <v>2556.7111921481269</v>
          </cell>
          <cell r="BC32">
            <v>674.7494320147448</v>
          </cell>
          <cell r="BF32">
            <v>833.71017135265004</v>
          </cell>
          <cell r="BN32">
            <v>0</v>
          </cell>
        </row>
        <row r="33">
          <cell r="B33">
            <v>313</v>
          </cell>
          <cell r="C33" t="str">
            <v>Hounslow</v>
          </cell>
          <cell r="J33">
            <v>1.1116135618035334</v>
          </cell>
          <cell r="X33">
            <v>71119.555014925732</v>
          </cell>
          <cell r="AA33">
            <v>6609.6542384838094</v>
          </cell>
          <cell r="AE33">
            <v>13691.74424073412</v>
          </cell>
          <cell r="AH33">
            <v>7841.3220649621253</v>
          </cell>
          <cell r="AN33">
            <v>2584.5015311932152</v>
          </cell>
          <cell r="AQ33">
            <v>3556.0517842095032</v>
          </cell>
          <cell r="AT33">
            <v>0</v>
          </cell>
          <cell r="AW33">
            <v>416.85508567632502</v>
          </cell>
          <cell r="AZ33">
            <v>1834.1623769758301</v>
          </cell>
          <cell r="BC33">
            <v>626.95004885719288</v>
          </cell>
          <cell r="BF33">
            <v>562.47646227258792</v>
          </cell>
          <cell r="BN33">
            <v>0</v>
          </cell>
        </row>
        <row r="34">
          <cell r="B34">
            <v>314</v>
          </cell>
          <cell r="C34" t="str">
            <v>Kingston upon Thames</v>
          </cell>
          <cell r="J34">
            <v>1.1116135618035334</v>
          </cell>
          <cell r="X34">
            <v>45451.230678642263</v>
          </cell>
          <cell r="AA34">
            <v>2012.0205468643956</v>
          </cell>
          <cell r="AE34">
            <v>3186.9960816907305</v>
          </cell>
          <cell r="AH34">
            <v>1382.8472708835957</v>
          </cell>
          <cell r="AN34">
            <v>467.98930951928759</v>
          </cell>
          <cell r="AQ34">
            <v>0</v>
          </cell>
          <cell r="AT34">
            <v>0</v>
          </cell>
          <cell r="AW34">
            <v>164.51880714692294</v>
          </cell>
          <cell r="AZ34">
            <v>1067.1490193313921</v>
          </cell>
          <cell r="BC34">
            <v>275.68016332727632</v>
          </cell>
          <cell r="BF34">
            <v>309.02857018138229</v>
          </cell>
          <cell r="BN34">
            <v>0</v>
          </cell>
        </row>
        <row r="35">
          <cell r="B35">
            <v>315</v>
          </cell>
          <cell r="C35" t="str">
            <v>Merton</v>
          </cell>
          <cell r="J35">
            <v>1.1488887055594839</v>
          </cell>
          <cell r="X35">
            <v>53847.301505306015</v>
          </cell>
          <cell r="AA35">
            <v>4396.7970761761444</v>
          </cell>
          <cell r="AE35">
            <v>5302.1213761570179</v>
          </cell>
          <cell r="AH35">
            <v>5606.5768831302812</v>
          </cell>
          <cell r="AN35">
            <v>2676.9106839535975</v>
          </cell>
          <cell r="AQ35">
            <v>912.21763221423021</v>
          </cell>
          <cell r="AT35">
            <v>505.51103044617292</v>
          </cell>
          <cell r="AW35">
            <v>255.05329263420541</v>
          </cell>
          <cell r="AZ35">
            <v>1229.3109149486477</v>
          </cell>
          <cell r="BC35">
            <v>345.81550037340463</v>
          </cell>
          <cell r="BF35">
            <v>483.68214504054271</v>
          </cell>
          <cell r="BN35">
            <v>0</v>
          </cell>
        </row>
        <row r="36">
          <cell r="B36">
            <v>316</v>
          </cell>
          <cell r="C36" t="str">
            <v>Newham</v>
          </cell>
          <cell r="J36">
            <v>1.1243577599840504</v>
          </cell>
          <cell r="X36">
            <v>92696.136276111632</v>
          </cell>
          <cell r="AA36">
            <v>12451.137834063375</v>
          </cell>
          <cell r="AE36">
            <v>23148.27756255163</v>
          </cell>
          <cell r="AH36">
            <v>22714.275467197785</v>
          </cell>
          <cell r="AN36">
            <v>9424.3667441863108</v>
          </cell>
          <cell r="AQ36">
            <v>7771.5608370097561</v>
          </cell>
          <cell r="AT36">
            <v>0</v>
          </cell>
          <cell r="AW36">
            <v>796.04529406870768</v>
          </cell>
          <cell r="AZ36">
            <v>2372.3948735663462</v>
          </cell>
          <cell r="BC36">
            <v>983.81303998604415</v>
          </cell>
          <cell r="BF36">
            <v>883.74519934746365</v>
          </cell>
          <cell r="BN36">
            <v>0</v>
          </cell>
        </row>
        <row r="37">
          <cell r="B37">
            <v>317</v>
          </cell>
          <cell r="C37" t="str">
            <v>Redbridge</v>
          </cell>
          <cell r="J37">
            <v>1.0870826162281</v>
          </cell>
          <cell r="X37">
            <v>86311.605061161623</v>
          </cell>
          <cell r="AA37">
            <v>7707.4157490572288</v>
          </cell>
          <cell r="AE37">
            <v>11988.347091763486</v>
          </cell>
          <cell r="AH37">
            <v>12805.833219167018</v>
          </cell>
          <cell r="AN37">
            <v>4371.1591998531903</v>
          </cell>
          <cell r="AQ37">
            <v>434.83304649124</v>
          </cell>
          <cell r="AT37">
            <v>0</v>
          </cell>
          <cell r="AW37">
            <v>409.83014631799369</v>
          </cell>
          <cell r="AZ37">
            <v>1565.3989673684639</v>
          </cell>
          <cell r="BC37">
            <v>677.25246991010624</v>
          </cell>
          <cell r="BF37">
            <v>712.03911362940551</v>
          </cell>
          <cell r="BN37">
            <v>0</v>
          </cell>
        </row>
        <row r="38">
          <cell r="B38">
            <v>318</v>
          </cell>
          <cell r="C38" t="str">
            <v>Richmond upon Thames</v>
          </cell>
          <cell r="J38">
            <v>1.1116135618035334</v>
          </cell>
          <cell r="X38">
            <v>51548.875710559376</v>
          </cell>
          <cell r="AA38">
            <v>1817.4881735487772</v>
          </cell>
          <cell r="AE38">
            <v>1727.4474750426909</v>
          </cell>
          <cell r="AH38">
            <v>1820.8230142341877</v>
          </cell>
          <cell r="AN38">
            <v>337.93052278827417</v>
          </cell>
          <cell r="AQ38">
            <v>0</v>
          </cell>
          <cell r="AT38">
            <v>0</v>
          </cell>
          <cell r="AW38">
            <v>153.40267152888762</v>
          </cell>
          <cell r="AZ38">
            <v>911.52312067889739</v>
          </cell>
          <cell r="BC38">
            <v>196.75560043922542</v>
          </cell>
          <cell r="BF38">
            <v>280.12661757449041</v>
          </cell>
          <cell r="BN38">
            <v>0</v>
          </cell>
        </row>
        <row r="39">
          <cell r="B39">
            <v>319</v>
          </cell>
          <cell r="C39" t="str">
            <v>Sutton</v>
          </cell>
          <cell r="J39">
            <v>1.1116135618035334</v>
          </cell>
          <cell r="X39">
            <v>54226.383725241561</v>
          </cell>
          <cell r="AA39">
            <v>4102.9656566168424</v>
          </cell>
          <cell r="AE39">
            <v>2592.2828261258401</v>
          </cell>
          <cell r="AH39">
            <v>5914.8957623566012</v>
          </cell>
          <cell r="AN39">
            <v>1246.1188027817609</v>
          </cell>
          <cell r="AQ39">
            <v>1905.3056449312562</v>
          </cell>
          <cell r="AT39">
            <v>0</v>
          </cell>
          <cell r="AW39">
            <v>202.31366824824309</v>
          </cell>
          <cell r="AZ39">
            <v>1522.9105796708409</v>
          </cell>
          <cell r="BC39">
            <v>286.79629894531161</v>
          </cell>
          <cell r="BF39">
            <v>431.30606197977096</v>
          </cell>
          <cell r="BN39">
            <v>0</v>
          </cell>
        </row>
        <row r="40">
          <cell r="B40">
            <v>320</v>
          </cell>
          <cell r="C40" t="str">
            <v>Waltham Forest</v>
          </cell>
          <cell r="J40">
            <v>1.0870826162281</v>
          </cell>
          <cell r="X40">
            <v>70245.219726184674</v>
          </cell>
          <cell r="AA40">
            <v>7002.9862137414202</v>
          </cell>
          <cell r="AE40">
            <v>15701.821308798677</v>
          </cell>
          <cell r="AH40">
            <v>11228.476343020046</v>
          </cell>
          <cell r="AN40">
            <v>4727.7222979760072</v>
          </cell>
          <cell r="AQ40">
            <v>4492.9124528707371</v>
          </cell>
          <cell r="AT40">
            <v>1218.6196127917001</v>
          </cell>
          <cell r="AW40">
            <v>563.10879520615583</v>
          </cell>
          <cell r="AZ40">
            <v>1695.848881315836</v>
          </cell>
          <cell r="BC40">
            <v>795.74447507896923</v>
          </cell>
          <cell r="BF40">
            <v>559.84754735747151</v>
          </cell>
          <cell r="BN40">
            <v>0</v>
          </cell>
        </row>
        <row r="41">
          <cell r="B41">
            <v>330</v>
          </cell>
          <cell r="C41" t="str">
            <v>Birmingham</v>
          </cell>
          <cell r="J41">
            <v>1.0050794999200126</v>
          </cell>
          <cell r="X41">
            <v>282715.98423878755</v>
          </cell>
          <cell r="AA41">
            <v>50659.022034468391</v>
          </cell>
          <cell r="AE41">
            <v>24145.024826578461</v>
          </cell>
          <cell r="AH41">
            <v>28463.851437734756</v>
          </cell>
          <cell r="AN41">
            <v>37802.045071491593</v>
          </cell>
          <cell r="AQ41">
            <v>53389.823035751069</v>
          </cell>
          <cell r="AT41">
            <v>13872.107257896014</v>
          </cell>
          <cell r="AW41">
            <v>2465.4600133037907</v>
          </cell>
          <cell r="AZ41">
            <v>11126.230064114539</v>
          </cell>
          <cell r="BC41">
            <v>3748.9465347016467</v>
          </cell>
          <cell r="BF41">
            <v>3516.773170220124</v>
          </cell>
          <cell r="BN41">
            <v>0</v>
          </cell>
        </row>
        <row r="42">
          <cell r="B42">
            <v>331</v>
          </cell>
          <cell r="C42" t="str">
            <v>Coventry</v>
          </cell>
          <cell r="J42">
            <v>1.0050794999200126</v>
          </cell>
          <cell r="X42">
            <v>80098.008638582047</v>
          </cell>
          <cell r="AA42">
            <v>8683.8868793089077</v>
          </cell>
          <cell r="AE42">
            <v>7900.9299488712186</v>
          </cell>
          <cell r="AH42">
            <v>5247.5200690823858</v>
          </cell>
          <cell r="AN42">
            <v>7529.0505339008141</v>
          </cell>
          <cell r="AQ42">
            <v>5973.1874680246347</v>
          </cell>
          <cell r="AT42">
            <v>5567.1353500569494</v>
          </cell>
          <cell r="AW42">
            <v>499.52451146024623</v>
          </cell>
          <cell r="AZ42">
            <v>2914.7305497680363</v>
          </cell>
          <cell r="BC42">
            <v>1046.287759416733</v>
          </cell>
          <cell r="BF42">
            <v>970.90679692273216</v>
          </cell>
          <cell r="BN42">
            <v>0</v>
          </cell>
        </row>
        <row r="43">
          <cell r="B43">
            <v>332</v>
          </cell>
          <cell r="C43" t="str">
            <v>Dudley</v>
          </cell>
          <cell r="J43">
            <v>1.0050794999200126</v>
          </cell>
          <cell r="X43">
            <v>66804.353780195481</v>
          </cell>
          <cell r="AA43">
            <v>7039.5768174397681</v>
          </cell>
          <cell r="AE43">
            <v>7581.314667896655</v>
          </cell>
          <cell r="AH43">
            <v>11590.576793077586</v>
          </cell>
          <cell r="AN43">
            <v>5653.5721870500702</v>
          </cell>
          <cell r="AQ43">
            <v>5261.5911820812653</v>
          </cell>
          <cell r="AT43">
            <v>1346.8065298928168</v>
          </cell>
          <cell r="AW43">
            <v>393.99116396864491</v>
          </cell>
          <cell r="AZ43">
            <v>2422.2415948072303</v>
          </cell>
          <cell r="BC43">
            <v>882.45980092977106</v>
          </cell>
          <cell r="BF43">
            <v>852.30741593217067</v>
          </cell>
          <cell r="BN43">
            <v>0</v>
          </cell>
        </row>
        <row r="44">
          <cell r="B44">
            <v>333</v>
          </cell>
          <cell r="C44" t="str">
            <v>Sandwell</v>
          </cell>
          <cell r="J44">
            <v>1.0050794999200126</v>
          </cell>
          <cell r="X44">
            <v>79518.409443363169</v>
          </cell>
          <cell r="AA44">
            <v>12427.808016510955</v>
          </cell>
          <cell r="AE44">
            <v>8320.0481003378645</v>
          </cell>
          <cell r="AH44">
            <v>11649.876483572865</v>
          </cell>
          <cell r="AN44">
            <v>10125.170882194207</v>
          </cell>
          <cell r="AQ44">
            <v>13002.713490465203</v>
          </cell>
          <cell r="AT44">
            <v>2183.0326738262675</v>
          </cell>
          <cell r="AW44">
            <v>545.75816845656686</v>
          </cell>
          <cell r="AZ44">
            <v>2301.6320548168287</v>
          </cell>
          <cell r="BC44">
            <v>973.92203542249217</v>
          </cell>
          <cell r="BF44">
            <v>1178.9582534061747</v>
          </cell>
          <cell r="BN44">
            <v>0</v>
          </cell>
        </row>
        <row r="45">
          <cell r="B45">
            <v>334</v>
          </cell>
          <cell r="C45" t="str">
            <v>Solihull</v>
          </cell>
          <cell r="J45">
            <v>1.0050794999200126</v>
          </cell>
          <cell r="X45">
            <v>46724.641347270001</v>
          </cell>
          <cell r="AA45">
            <v>4159.0189706690117</v>
          </cell>
          <cell r="AE45">
            <v>1530.7360783781792</v>
          </cell>
          <cell r="AH45">
            <v>1825.2243718547427</v>
          </cell>
          <cell r="AN45">
            <v>1604.10688187234</v>
          </cell>
          <cell r="AQ45">
            <v>4582.1574401353373</v>
          </cell>
          <cell r="AT45">
            <v>1248.3087389006555</v>
          </cell>
          <cell r="AW45">
            <v>220.11241048248274</v>
          </cell>
          <cell r="AZ45">
            <v>1980.0066148424248</v>
          </cell>
          <cell r="BC45">
            <v>375.8997329700847</v>
          </cell>
          <cell r="BF45">
            <v>542.74292995680673</v>
          </cell>
          <cell r="BN45">
            <v>0</v>
          </cell>
        </row>
        <row r="46">
          <cell r="B46">
            <v>335</v>
          </cell>
          <cell r="C46" t="str">
            <v>Walsall</v>
          </cell>
          <cell r="J46">
            <v>1.0050794999200126</v>
          </cell>
          <cell r="X46">
            <v>64713.820582905864</v>
          </cell>
          <cell r="AA46">
            <v>10337.242656677328</v>
          </cell>
          <cell r="AE46">
            <v>5464.6172410651079</v>
          </cell>
          <cell r="AH46">
            <v>5286.718169579266</v>
          </cell>
          <cell r="AN46">
            <v>7959.2245598665795</v>
          </cell>
          <cell r="AQ46">
            <v>11025.722114122538</v>
          </cell>
          <cell r="AT46">
            <v>3656.4792207090059</v>
          </cell>
          <cell r="AW46">
            <v>441.22990046488553</v>
          </cell>
          <cell r="AZ46">
            <v>2241.3272848216279</v>
          </cell>
          <cell r="BC46">
            <v>828.18550793409031</v>
          </cell>
          <cell r="BF46">
            <v>1222.1766719027353</v>
          </cell>
          <cell r="BN46">
            <v>0</v>
          </cell>
        </row>
        <row r="47">
          <cell r="B47">
            <v>336</v>
          </cell>
          <cell r="C47" t="str">
            <v>Wolverhampton</v>
          </cell>
          <cell r="J47">
            <v>1.0050794999200126</v>
          </cell>
          <cell r="X47">
            <v>58393.038430787899</v>
          </cell>
          <cell r="AA47">
            <v>8955.258344287311</v>
          </cell>
          <cell r="AE47">
            <v>5553.064237058069</v>
          </cell>
          <cell r="AH47">
            <v>3173.0359812474794</v>
          </cell>
          <cell r="AN47">
            <v>9287.9396587608353</v>
          </cell>
          <cell r="AQ47">
            <v>11141.306256613339</v>
          </cell>
          <cell r="AT47">
            <v>4489.6901261426965</v>
          </cell>
          <cell r="AW47">
            <v>393.99116396864491</v>
          </cell>
          <cell r="AZ47">
            <v>1899.6002548488236</v>
          </cell>
          <cell r="BC47">
            <v>769.89089693872961</v>
          </cell>
          <cell r="BF47">
            <v>1128.7042784101741</v>
          </cell>
          <cell r="BN47">
            <v>0</v>
          </cell>
        </row>
        <row r="48">
          <cell r="B48">
            <v>340</v>
          </cell>
          <cell r="C48" t="str">
            <v>Knowsley</v>
          </cell>
          <cell r="J48">
            <v>1.0016847182558959</v>
          </cell>
          <cell r="X48">
            <v>31076.572213009982</v>
          </cell>
          <cell r="AA48">
            <v>6085.234663404568</v>
          </cell>
          <cell r="AE48">
            <v>1866.1386301107341</v>
          </cell>
          <cell r="AH48">
            <v>2987.0238298390814</v>
          </cell>
          <cell r="AN48">
            <v>2328.9169699449581</v>
          </cell>
          <cell r="AQ48">
            <v>5973.0459749599067</v>
          </cell>
          <cell r="AT48">
            <v>6732.3229913978766</v>
          </cell>
          <cell r="AW48">
            <v>255.42960315525346</v>
          </cell>
          <cell r="AZ48">
            <v>1242.0890506373109</v>
          </cell>
          <cell r="BC48">
            <v>339.57111948874871</v>
          </cell>
          <cell r="BF48">
            <v>987.66113220031332</v>
          </cell>
          <cell r="BN48">
            <v>0</v>
          </cell>
        </row>
        <row r="49">
          <cell r="B49">
            <v>341</v>
          </cell>
          <cell r="C49" t="str">
            <v>Liverpool</v>
          </cell>
          <cell r="J49">
            <v>1.0016847182558959</v>
          </cell>
          <cell r="X49">
            <v>89945.980773742122</v>
          </cell>
          <cell r="AA49">
            <v>16767.200498885442</v>
          </cell>
          <cell r="AE49">
            <v>4887.2197403705159</v>
          </cell>
          <cell r="AH49">
            <v>6982.7441709618506</v>
          </cell>
          <cell r="AN49">
            <v>6904.6127629378907</v>
          </cell>
          <cell r="AQ49">
            <v>23184.994488750966</v>
          </cell>
          <cell r="AT49">
            <v>13192.187739430148</v>
          </cell>
          <cell r="AW49">
            <v>775.30397193006343</v>
          </cell>
          <cell r="AZ49">
            <v>4156.9915807619682</v>
          </cell>
          <cell r="BC49">
            <v>1181.9879675419572</v>
          </cell>
          <cell r="BF49">
            <v>1850.1116746186397</v>
          </cell>
          <cell r="BN49">
            <v>0</v>
          </cell>
        </row>
        <row r="50">
          <cell r="B50">
            <v>342</v>
          </cell>
          <cell r="C50" t="str">
            <v>St Helens</v>
          </cell>
          <cell r="J50">
            <v>1.0016847182558959</v>
          </cell>
          <cell r="X50">
            <v>35526.724856894463</v>
          </cell>
          <cell r="AA50">
            <v>4485.5441683499021</v>
          </cell>
          <cell r="AE50">
            <v>3618.0852023402958</v>
          </cell>
          <cell r="AH50">
            <v>2569.3213023263729</v>
          </cell>
          <cell r="AN50">
            <v>1934.2531909521349</v>
          </cell>
          <cell r="AQ50">
            <v>5663.5253970188351</v>
          </cell>
          <cell r="AT50">
            <v>2775.6683542870874</v>
          </cell>
          <cell r="AW50">
            <v>226.38074632583246</v>
          </cell>
          <cell r="AZ50">
            <v>1602.6955492094335</v>
          </cell>
          <cell r="BC50">
            <v>320.53910984188667</v>
          </cell>
          <cell r="BF50">
            <v>586.98724489795495</v>
          </cell>
          <cell r="BN50">
            <v>0</v>
          </cell>
        </row>
        <row r="51">
          <cell r="B51">
            <v>343</v>
          </cell>
          <cell r="C51" t="str">
            <v>Sefton</v>
          </cell>
          <cell r="J51">
            <v>1.0016847182558959</v>
          </cell>
          <cell r="X51">
            <v>51777.069063061208</v>
          </cell>
          <cell r="AA51">
            <v>6075.2178162220089</v>
          </cell>
          <cell r="AE51">
            <v>5201.7487419028676</v>
          </cell>
          <cell r="AH51">
            <v>2080.4991598174956</v>
          </cell>
          <cell r="AN51">
            <v>1728.9078237096762</v>
          </cell>
          <cell r="AQ51">
            <v>5322.952592811831</v>
          </cell>
          <cell r="AT51">
            <v>2420.0702793062446</v>
          </cell>
          <cell r="AW51">
            <v>320.53910984188667</v>
          </cell>
          <cell r="AZ51">
            <v>2223.7400745280888</v>
          </cell>
          <cell r="BC51">
            <v>562.94681165981353</v>
          </cell>
          <cell r="BF51">
            <v>839.41179389844081</v>
          </cell>
          <cell r="BN51">
            <v>0</v>
          </cell>
        </row>
        <row r="52">
          <cell r="B52">
            <v>344</v>
          </cell>
          <cell r="C52" t="str">
            <v>Wirral</v>
          </cell>
          <cell r="J52">
            <v>1.0016847182558959</v>
          </cell>
          <cell r="X52">
            <v>65557.68046327529</v>
          </cell>
          <cell r="AA52">
            <v>8374.0842446192892</v>
          </cell>
          <cell r="AE52">
            <v>4489.5509072229252</v>
          </cell>
          <cell r="AH52">
            <v>3298.5477772166651</v>
          </cell>
          <cell r="AN52">
            <v>3801.393505781125</v>
          </cell>
          <cell r="AQ52">
            <v>6271.5480210001642</v>
          </cell>
          <cell r="AT52">
            <v>7467.5595745977034</v>
          </cell>
          <cell r="AW52">
            <v>460.77497039771208</v>
          </cell>
          <cell r="AZ52">
            <v>3616.0818329037843</v>
          </cell>
          <cell r="BC52">
            <v>624.04957947342314</v>
          </cell>
          <cell r="BF52">
            <v>994.67292522810465</v>
          </cell>
          <cell r="BN52">
            <v>0</v>
          </cell>
        </row>
        <row r="53">
          <cell r="B53">
            <v>350</v>
          </cell>
          <cell r="C53" t="str">
            <v>Bolton</v>
          </cell>
          <cell r="J53">
            <v>1.0082072667712707</v>
          </cell>
          <cell r="X53">
            <v>65709.467017034738</v>
          </cell>
          <cell r="AA53">
            <v>8054.5678542356818</v>
          </cell>
          <cell r="AE53">
            <v>8560.6879021548593</v>
          </cell>
          <cell r="AH53">
            <v>11611.523091404724</v>
          </cell>
          <cell r="AN53">
            <v>4327.2255889822936</v>
          </cell>
          <cell r="AQ53">
            <v>4796.0419680309351</v>
          </cell>
          <cell r="AT53">
            <v>3014.5397276460994</v>
          </cell>
          <cell r="AW53">
            <v>388.15979770693923</v>
          </cell>
          <cell r="AZ53">
            <v>2167.6456235582318</v>
          </cell>
          <cell r="BC53">
            <v>725.90923207531489</v>
          </cell>
          <cell r="BF53">
            <v>959.81331796624966</v>
          </cell>
          <cell r="BN53">
            <v>0</v>
          </cell>
        </row>
        <row r="54">
          <cell r="B54">
            <v>351</v>
          </cell>
          <cell r="C54" t="str">
            <v>Bury</v>
          </cell>
          <cell r="J54">
            <v>1.0082072667712707</v>
          </cell>
          <cell r="X54">
            <v>42687.988688449055</v>
          </cell>
          <cell r="AA54">
            <v>4177.0027062333747</v>
          </cell>
          <cell r="AE54">
            <v>4453.2514973287025</v>
          </cell>
          <cell r="AH54">
            <v>3697.0960472502497</v>
          </cell>
          <cell r="AN54">
            <v>1532.4750454923314</v>
          </cell>
          <cell r="AQ54">
            <v>1642.3696375704001</v>
          </cell>
          <cell r="AT54">
            <v>948.72303803176578</v>
          </cell>
          <cell r="AW54">
            <v>212.73173328873813</v>
          </cell>
          <cell r="AZ54">
            <v>1421.5722461474918</v>
          </cell>
          <cell r="BC54">
            <v>464.78354998155578</v>
          </cell>
          <cell r="BF54">
            <v>323.63453263357792</v>
          </cell>
          <cell r="BN54">
            <v>0</v>
          </cell>
        </row>
        <row r="55">
          <cell r="B55">
            <v>352</v>
          </cell>
          <cell r="C55" t="str">
            <v>Manchester</v>
          </cell>
          <cell r="J55">
            <v>1.0082072667712707</v>
          </cell>
          <cell r="X55">
            <v>119003.09343145261</v>
          </cell>
          <cell r="AA55">
            <v>20717.651124882843</v>
          </cell>
          <cell r="AE55">
            <v>8318.7181581297555</v>
          </cell>
          <cell r="AH55">
            <v>12613.681114575367</v>
          </cell>
          <cell r="AN55">
            <v>15078.747881831125</v>
          </cell>
          <cell r="AQ55">
            <v>27876.930926225636</v>
          </cell>
          <cell r="AT55">
            <v>15286.438578786006</v>
          </cell>
          <cell r="AW55">
            <v>979.97746330167513</v>
          </cell>
          <cell r="AZ55">
            <v>4355.4553924518896</v>
          </cell>
          <cell r="BC55">
            <v>1500.2124129556507</v>
          </cell>
          <cell r="BF55">
            <v>2178.7359034927158</v>
          </cell>
          <cell r="BN55">
            <v>0</v>
          </cell>
        </row>
        <row r="56">
          <cell r="B56">
            <v>353</v>
          </cell>
          <cell r="C56" t="str">
            <v>Oldham</v>
          </cell>
          <cell r="J56">
            <v>1.0082072667712707</v>
          </cell>
          <cell r="X56">
            <v>56306.0993171671</v>
          </cell>
          <cell r="AA56">
            <v>7323.6175858265105</v>
          </cell>
          <cell r="AE56">
            <v>6120.8263165683848</v>
          </cell>
          <cell r="AH56">
            <v>6516.0435651427224</v>
          </cell>
          <cell r="AN56">
            <v>5433.2289606303775</v>
          </cell>
          <cell r="AQ56">
            <v>7192.5506411462457</v>
          </cell>
          <cell r="AT56">
            <v>2300.7289827720397</v>
          </cell>
          <cell r="AW56">
            <v>423.4470520439337</v>
          </cell>
          <cell r="AZ56">
            <v>2137.3994055550938</v>
          </cell>
          <cell r="BC56">
            <v>674.49066146998007</v>
          </cell>
          <cell r="BF56">
            <v>1040.4698993079514</v>
          </cell>
          <cell r="BN56">
            <v>0</v>
          </cell>
        </row>
        <row r="57">
          <cell r="B57">
            <v>354</v>
          </cell>
          <cell r="C57" t="str">
            <v>Rochdale</v>
          </cell>
          <cell r="J57">
            <v>1.0082072667712707</v>
          </cell>
          <cell r="X57">
            <v>49016.732548607346</v>
          </cell>
          <cell r="AA57">
            <v>7011.0733331274168</v>
          </cell>
          <cell r="AE57">
            <v>4701.2704849544352</v>
          </cell>
          <cell r="AH57">
            <v>8505.2365024824394</v>
          </cell>
          <cell r="AN57">
            <v>3855.3845881333391</v>
          </cell>
          <cell r="AQ57">
            <v>8121.1095338425857</v>
          </cell>
          <cell r="AT57">
            <v>1413.5065880133216</v>
          </cell>
          <cell r="AW57">
            <v>343.79867796900334</v>
          </cell>
          <cell r="AZ57">
            <v>2117.2352602196684</v>
          </cell>
          <cell r="BC57">
            <v>608.95718912984751</v>
          </cell>
          <cell r="BF57">
            <v>754.13903554491048</v>
          </cell>
          <cell r="BN57">
            <v>0</v>
          </cell>
        </row>
        <row r="58">
          <cell r="B58">
            <v>355</v>
          </cell>
          <cell r="C58" t="str">
            <v>Salford</v>
          </cell>
          <cell r="J58">
            <v>1.0082072667712707</v>
          </cell>
          <cell r="X58">
            <v>55158.402542208962</v>
          </cell>
          <cell r="AA58">
            <v>6909.244399183518</v>
          </cell>
          <cell r="AE58">
            <v>4195.1504370352577</v>
          </cell>
          <cell r="AH58">
            <v>4869.6410985052371</v>
          </cell>
          <cell r="AN58">
            <v>4353.4389779183466</v>
          </cell>
          <cell r="AQ58">
            <v>7903.336764219991</v>
          </cell>
          <cell r="AT58">
            <v>5602.6077814479513</v>
          </cell>
          <cell r="AW58">
            <v>343.79867796900334</v>
          </cell>
          <cell r="AZ58">
            <v>2117.2352602196684</v>
          </cell>
          <cell r="BC58">
            <v>525.27598598783209</v>
          </cell>
          <cell r="BF58">
            <v>674.49066146998007</v>
          </cell>
          <cell r="BN58">
            <v>0</v>
          </cell>
        </row>
        <row r="59">
          <cell r="B59">
            <v>356</v>
          </cell>
          <cell r="C59" t="str">
            <v>Stockport</v>
          </cell>
          <cell r="J59">
            <v>1.0082072667712707</v>
          </cell>
          <cell r="X59">
            <v>62435.608314716919</v>
          </cell>
          <cell r="AA59">
            <v>5281.9978706146876</v>
          </cell>
          <cell r="AE59">
            <v>5028.9378466550979</v>
          </cell>
          <cell r="AH59">
            <v>6064.3667096291929</v>
          </cell>
          <cell r="AN59">
            <v>397.23366310788066</v>
          </cell>
          <cell r="AQ59">
            <v>2411.6317821168795</v>
          </cell>
          <cell r="AT59">
            <v>2157.5635508905193</v>
          </cell>
          <cell r="AW59">
            <v>293.38831463043977</v>
          </cell>
          <cell r="AZ59">
            <v>2097.0711148842429</v>
          </cell>
          <cell r="BC59">
            <v>548.46475312357131</v>
          </cell>
          <cell r="BF59">
            <v>753.13082827813923</v>
          </cell>
          <cell r="BN59">
            <v>0</v>
          </cell>
        </row>
        <row r="60">
          <cell r="B60">
            <v>357</v>
          </cell>
          <cell r="C60" t="str">
            <v>Tameside</v>
          </cell>
          <cell r="J60">
            <v>1.0082072667712707</v>
          </cell>
          <cell r="X60">
            <v>48323.607192225631</v>
          </cell>
          <cell r="AA60">
            <v>6174.2613017072617</v>
          </cell>
          <cell r="AE60">
            <v>6463.6167872706164</v>
          </cell>
          <cell r="AH60">
            <v>6286.1723083188726</v>
          </cell>
          <cell r="AN60">
            <v>2613.2732354711338</v>
          </cell>
          <cell r="AQ60">
            <v>3770.6951777245527</v>
          </cell>
          <cell r="AT60">
            <v>1601.0331396327779</v>
          </cell>
          <cell r="AW60">
            <v>285.32265649626959</v>
          </cell>
          <cell r="AZ60">
            <v>1451.8184641506298</v>
          </cell>
          <cell r="BC60">
            <v>509.14466971949173</v>
          </cell>
          <cell r="BF60">
            <v>758.1718646119956</v>
          </cell>
          <cell r="BN60">
            <v>0</v>
          </cell>
        </row>
        <row r="61">
          <cell r="B61">
            <v>358</v>
          </cell>
          <cell r="C61" t="str">
            <v>Trafford</v>
          </cell>
          <cell r="J61">
            <v>1.0082072667712707</v>
          </cell>
          <cell r="X61">
            <v>56008.650951873358</v>
          </cell>
          <cell r="AA61">
            <v>3494.4463866292244</v>
          </cell>
          <cell r="AE61">
            <v>2619.3224790717613</v>
          </cell>
          <cell r="AH61">
            <v>3130.4835633247953</v>
          </cell>
          <cell r="AN61">
            <v>1794.6089348528619</v>
          </cell>
          <cell r="AQ61">
            <v>2658.6425624758408</v>
          </cell>
          <cell r="AT61">
            <v>556.53041125774143</v>
          </cell>
          <cell r="AW61">
            <v>224.83022048999337</v>
          </cell>
          <cell r="AZ61">
            <v>1270.3411561318012</v>
          </cell>
          <cell r="BC61">
            <v>372.02848143859887</v>
          </cell>
          <cell r="BF61">
            <v>458.73430638092816</v>
          </cell>
          <cell r="BN61">
            <v>0</v>
          </cell>
        </row>
        <row r="62">
          <cell r="B62">
            <v>359</v>
          </cell>
          <cell r="C62" t="str">
            <v>Wigan</v>
          </cell>
          <cell r="J62">
            <v>1.0082072667712707</v>
          </cell>
          <cell r="X62">
            <v>65765.877221817849</v>
          </cell>
          <cell r="AA62">
            <v>6464.6249945373875</v>
          </cell>
          <cell r="AE62">
            <v>7552.4806353835893</v>
          </cell>
          <cell r="AH62">
            <v>6119.8181093016128</v>
          </cell>
          <cell r="AN62">
            <v>3405.7241471533525</v>
          </cell>
          <cell r="AQ62">
            <v>5503.8034693043664</v>
          </cell>
          <cell r="AT62">
            <v>1932.733330400526</v>
          </cell>
          <cell r="AW62">
            <v>357.91357970380108</v>
          </cell>
          <cell r="AZ62">
            <v>2218.0559868967957</v>
          </cell>
          <cell r="BC62">
            <v>594.84228739504977</v>
          </cell>
          <cell r="BF62">
            <v>775.31138814710721</v>
          </cell>
          <cell r="BN62">
            <v>0</v>
          </cell>
        </row>
        <row r="63">
          <cell r="B63">
            <v>370</v>
          </cell>
          <cell r="C63" t="str">
            <v>Barnsley</v>
          </cell>
          <cell r="J63">
            <v>1</v>
          </cell>
          <cell r="X63">
            <v>49449.07499999999</v>
          </cell>
          <cell r="AA63">
            <v>6176</v>
          </cell>
          <cell r="AE63">
            <v>5454</v>
          </cell>
          <cell r="AH63">
            <v>5397</v>
          </cell>
          <cell r="AN63">
            <v>2768</v>
          </cell>
          <cell r="AQ63">
            <v>7722</v>
          </cell>
          <cell r="AT63">
            <v>1151</v>
          </cell>
          <cell r="AW63">
            <v>308</v>
          </cell>
          <cell r="AZ63">
            <v>2050</v>
          </cell>
          <cell r="BC63">
            <v>668</v>
          </cell>
          <cell r="BF63">
            <v>831</v>
          </cell>
          <cell r="BN63">
            <v>0</v>
          </cell>
        </row>
        <row r="64">
          <cell r="B64">
            <v>371</v>
          </cell>
          <cell r="C64" t="str">
            <v>Doncaster</v>
          </cell>
          <cell r="J64">
            <v>1</v>
          </cell>
          <cell r="X64">
            <v>62370.659000000014</v>
          </cell>
          <cell r="AA64">
            <v>7389</v>
          </cell>
          <cell r="AE64">
            <v>8681</v>
          </cell>
          <cell r="AH64">
            <v>2635</v>
          </cell>
          <cell r="AN64">
            <v>4822</v>
          </cell>
          <cell r="AQ64">
            <v>8324</v>
          </cell>
          <cell r="AT64">
            <v>1921</v>
          </cell>
          <cell r="AW64">
            <v>372</v>
          </cell>
          <cell r="AZ64">
            <v>2200</v>
          </cell>
          <cell r="BC64">
            <v>885</v>
          </cell>
          <cell r="BF64">
            <v>1061</v>
          </cell>
          <cell r="BN64">
            <v>0</v>
          </cell>
        </row>
        <row r="65">
          <cell r="B65">
            <v>372</v>
          </cell>
          <cell r="C65" t="str">
            <v>Rotherham</v>
          </cell>
          <cell r="J65">
            <v>1</v>
          </cell>
          <cell r="X65">
            <v>54757.759999999995</v>
          </cell>
          <cell r="AA65">
            <v>6557</v>
          </cell>
          <cell r="AE65">
            <v>6862</v>
          </cell>
          <cell r="AH65">
            <v>6346</v>
          </cell>
          <cell r="AN65">
            <v>4636</v>
          </cell>
          <cell r="AQ65">
            <v>3570</v>
          </cell>
          <cell r="AT65">
            <v>3997</v>
          </cell>
          <cell r="AW65">
            <v>413</v>
          </cell>
          <cell r="AZ65">
            <v>2530</v>
          </cell>
          <cell r="BC65">
            <v>929</v>
          </cell>
          <cell r="BF65">
            <v>946</v>
          </cell>
          <cell r="BN65">
            <v>0</v>
          </cell>
        </row>
        <row r="66">
          <cell r="B66">
            <v>373</v>
          </cell>
          <cell r="C66" t="str">
            <v>Sheffield</v>
          </cell>
          <cell r="J66">
            <v>1</v>
          </cell>
          <cell r="X66">
            <v>115254.042</v>
          </cell>
          <cell r="AA66">
            <v>16411</v>
          </cell>
          <cell r="AE66">
            <v>7850</v>
          </cell>
          <cell r="AH66">
            <v>8377</v>
          </cell>
          <cell r="AN66">
            <v>12558</v>
          </cell>
          <cell r="AQ66">
            <v>18294</v>
          </cell>
          <cell r="AT66">
            <v>4461</v>
          </cell>
          <cell r="AW66">
            <v>828</v>
          </cell>
          <cell r="AZ66">
            <v>5330</v>
          </cell>
          <cell r="BC66">
            <v>1891</v>
          </cell>
          <cell r="BF66">
            <v>2106</v>
          </cell>
          <cell r="BN66">
            <v>0</v>
          </cell>
        </row>
        <row r="67">
          <cell r="B67">
            <v>380</v>
          </cell>
          <cell r="C67" t="str">
            <v>Bradford</v>
          </cell>
          <cell r="J67">
            <v>1.0002429734488885</v>
          </cell>
          <cell r="X67">
            <v>133241.36524990998</v>
          </cell>
          <cell r="AA67">
            <v>18332.453217371229</v>
          </cell>
          <cell r="AE67">
            <v>17127.160434365316</v>
          </cell>
          <cell r="AH67">
            <v>22046.355377786949</v>
          </cell>
          <cell r="AN67">
            <v>8065.9593378918362</v>
          </cell>
          <cell r="AQ67">
            <v>15486.761957909141</v>
          </cell>
          <cell r="AT67">
            <v>4315.0481874585048</v>
          </cell>
          <cell r="AW67">
            <v>1133.2752889175906</v>
          </cell>
          <cell r="AZ67">
            <v>4411.0715129095979</v>
          </cell>
          <cell r="BC67">
            <v>2224.5403729503278</v>
          </cell>
          <cell r="BF67">
            <v>2406.5845941180255</v>
          </cell>
          <cell r="BN67">
            <v>0</v>
          </cell>
        </row>
        <row r="68">
          <cell r="B68">
            <v>381</v>
          </cell>
          <cell r="C68" t="str">
            <v>Calderdale</v>
          </cell>
          <cell r="J68">
            <v>1.0002429734488885</v>
          </cell>
          <cell r="X68">
            <v>44618.267420870172</v>
          </cell>
          <cell r="AA68">
            <v>4696.1407603425314</v>
          </cell>
          <cell r="AE68">
            <v>5416.3157012257307</v>
          </cell>
          <cell r="AH68">
            <v>3262.7925793902741</v>
          </cell>
          <cell r="AN68">
            <v>2328.5656421890121</v>
          </cell>
          <cell r="AQ68">
            <v>3209.7797017974831</v>
          </cell>
          <cell r="AT68">
            <v>1750.4252035355548</v>
          </cell>
          <cell r="AW68">
            <v>247.06001444187544</v>
          </cell>
          <cell r="AZ68">
            <v>1280.3110060145773</v>
          </cell>
          <cell r="BC68">
            <v>495.12027185719978</v>
          </cell>
          <cell r="BF68">
            <v>482.11711320236424</v>
          </cell>
          <cell r="BN68">
            <v>0</v>
          </cell>
        </row>
        <row r="69">
          <cell r="B69">
            <v>382</v>
          </cell>
          <cell r="C69" t="str">
            <v>Kirklees</v>
          </cell>
          <cell r="J69">
            <v>1.0002429734488885</v>
          </cell>
          <cell r="X69">
            <v>96947.859033638859</v>
          </cell>
          <cell r="AA69">
            <v>12871.126582340297</v>
          </cell>
          <cell r="AE69">
            <v>14478.517040672661</v>
          </cell>
          <cell r="AH69">
            <v>8810.1401101378087</v>
          </cell>
          <cell r="AN69">
            <v>4661.1322562718206</v>
          </cell>
          <cell r="AQ69">
            <v>4825.1721039174381</v>
          </cell>
          <cell r="AT69">
            <v>903.21940502434632</v>
          </cell>
          <cell r="AW69">
            <v>604.14675596312861</v>
          </cell>
          <cell r="AZ69">
            <v>2410.5855660118214</v>
          </cell>
          <cell r="BC69">
            <v>1225.2976424748883</v>
          </cell>
          <cell r="BF69">
            <v>1057.2568229354752</v>
          </cell>
          <cell r="BN69">
            <v>0</v>
          </cell>
        </row>
        <row r="70">
          <cell r="B70">
            <v>383</v>
          </cell>
          <cell r="C70" t="str">
            <v>Leeds</v>
          </cell>
          <cell r="J70">
            <v>1.0002429734488885</v>
          </cell>
          <cell r="X70">
            <v>164577.55926352728</v>
          </cell>
          <cell r="AA70">
            <v>18849.578834644304</v>
          </cell>
          <cell r="AE70">
            <v>10023.434836931312</v>
          </cell>
          <cell r="AH70">
            <v>15695.812739359957</v>
          </cell>
          <cell r="AN70">
            <v>10163.468853214155</v>
          </cell>
          <cell r="AQ70">
            <v>21746.282485752283</v>
          </cell>
          <cell r="AT70">
            <v>8626.0954030232133</v>
          </cell>
          <cell r="AW70">
            <v>827.20093904223074</v>
          </cell>
          <cell r="AZ70">
            <v>4060.9864722024872</v>
          </cell>
          <cell r="BC70">
            <v>2029.4929931277948</v>
          </cell>
          <cell r="BF70">
            <v>2643.6421788254124</v>
          </cell>
          <cell r="BN70">
            <v>0</v>
          </cell>
        </row>
        <row r="71">
          <cell r="B71">
            <v>384</v>
          </cell>
          <cell r="C71" t="str">
            <v>Wakefield</v>
          </cell>
          <cell r="J71">
            <v>1.0002429734488885</v>
          </cell>
          <cell r="X71">
            <v>68522.728159256338</v>
          </cell>
          <cell r="AA71">
            <v>6637.6123718068238</v>
          </cell>
          <cell r="AE71">
            <v>7667.8626344591794</v>
          </cell>
          <cell r="AH71">
            <v>8105.969056829792</v>
          </cell>
          <cell r="AN71">
            <v>5391.3096268895088</v>
          </cell>
          <cell r="AQ71">
            <v>5731.392237862131</v>
          </cell>
          <cell r="AT71">
            <v>2080.5053847736881</v>
          </cell>
          <cell r="AW71">
            <v>364.08844233539543</v>
          </cell>
          <cell r="AZ71">
            <v>2630.6390201705767</v>
          </cell>
          <cell r="BC71">
            <v>971.23592721887064</v>
          </cell>
          <cell r="BF71">
            <v>1055.2563369885772</v>
          </cell>
          <cell r="BN71">
            <v>0</v>
          </cell>
        </row>
        <row r="72">
          <cell r="B72">
            <v>390</v>
          </cell>
          <cell r="C72" t="str">
            <v>Gateshead</v>
          </cell>
          <cell r="J72">
            <v>1</v>
          </cell>
          <cell r="X72">
            <v>38647.116000000002</v>
          </cell>
          <cell r="AA72">
            <v>4379</v>
          </cell>
          <cell r="AE72">
            <v>4365</v>
          </cell>
          <cell r="AH72">
            <v>4780</v>
          </cell>
          <cell r="AN72">
            <v>1540</v>
          </cell>
          <cell r="AQ72">
            <v>2452</v>
          </cell>
          <cell r="AT72">
            <v>1531</v>
          </cell>
          <cell r="AW72">
            <v>250</v>
          </cell>
          <cell r="AZ72">
            <v>1380</v>
          </cell>
          <cell r="BC72">
            <v>388</v>
          </cell>
          <cell r="BF72">
            <v>622</v>
          </cell>
          <cell r="BN72">
            <v>0</v>
          </cell>
        </row>
        <row r="73">
          <cell r="B73">
            <v>391</v>
          </cell>
          <cell r="C73" t="str">
            <v>Newcastle upon Tyne</v>
          </cell>
          <cell r="J73">
            <v>1</v>
          </cell>
          <cell r="X73">
            <v>57600.50499999999</v>
          </cell>
          <cell r="AA73">
            <v>8811</v>
          </cell>
          <cell r="AE73">
            <v>4530</v>
          </cell>
          <cell r="AH73">
            <v>3275</v>
          </cell>
          <cell r="AN73">
            <v>3575</v>
          </cell>
          <cell r="AQ73">
            <v>11418</v>
          </cell>
          <cell r="AT73">
            <v>5003</v>
          </cell>
          <cell r="AW73">
            <v>454</v>
          </cell>
          <cell r="AZ73">
            <v>2000</v>
          </cell>
          <cell r="BC73">
            <v>643</v>
          </cell>
          <cell r="BF73">
            <v>814</v>
          </cell>
          <cell r="BN73">
            <v>0</v>
          </cell>
        </row>
        <row r="74">
          <cell r="B74">
            <v>392</v>
          </cell>
          <cell r="C74" t="str">
            <v>North Tyneside</v>
          </cell>
          <cell r="J74">
            <v>1</v>
          </cell>
          <cell r="X74">
            <v>39324.81</v>
          </cell>
          <cell r="AA74">
            <v>3935</v>
          </cell>
          <cell r="AE74">
            <v>3538</v>
          </cell>
          <cell r="AH74">
            <v>3340</v>
          </cell>
          <cell r="AN74">
            <v>4398</v>
          </cell>
          <cell r="AQ74">
            <v>2087</v>
          </cell>
          <cell r="AT74">
            <v>1262</v>
          </cell>
          <cell r="AW74">
            <v>222</v>
          </cell>
          <cell r="AZ74">
            <v>1550</v>
          </cell>
          <cell r="BC74">
            <v>387</v>
          </cell>
          <cell r="BF74">
            <v>478</v>
          </cell>
          <cell r="BN74">
            <v>0</v>
          </cell>
        </row>
        <row r="75">
          <cell r="B75">
            <v>393</v>
          </cell>
          <cell r="C75" t="str">
            <v>South Tyneside</v>
          </cell>
          <cell r="J75">
            <v>1</v>
          </cell>
          <cell r="X75">
            <v>28368.346000000001</v>
          </cell>
          <cell r="AA75">
            <v>4316</v>
          </cell>
          <cell r="AE75">
            <v>2959</v>
          </cell>
          <cell r="AH75">
            <v>2153</v>
          </cell>
          <cell r="AN75">
            <v>4308</v>
          </cell>
          <cell r="AQ75">
            <v>4109</v>
          </cell>
          <cell r="AT75">
            <v>1457</v>
          </cell>
          <cell r="AW75">
            <v>178</v>
          </cell>
          <cell r="AZ75">
            <v>1230</v>
          </cell>
          <cell r="BC75">
            <v>318</v>
          </cell>
          <cell r="BF75">
            <v>390</v>
          </cell>
          <cell r="BN75">
            <v>0</v>
          </cell>
        </row>
        <row r="76">
          <cell r="B76">
            <v>394</v>
          </cell>
          <cell r="C76" t="str">
            <v>Sunderland</v>
          </cell>
          <cell r="J76">
            <v>1</v>
          </cell>
          <cell r="X76">
            <v>52342.077999999994</v>
          </cell>
          <cell r="AA76">
            <v>8480</v>
          </cell>
          <cell r="AE76">
            <v>5839</v>
          </cell>
          <cell r="AH76">
            <v>4179</v>
          </cell>
          <cell r="AN76">
            <v>6473</v>
          </cell>
          <cell r="AQ76">
            <v>6674</v>
          </cell>
          <cell r="AT76">
            <v>2557</v>
          </cell>
          <cell r="AW76">
            <v>328</v>
          </cell>
          <cell r="AZ76">
            <v>2350</v>
          </cell>
          <cell r="BC76">
            <v>603</v>
          </cell>
          <cell r="BF76">
            <v>884</v>
          </cell>
          <cell r="BN76">
            <v>0</v>
          </cell>
        </row>
        <row r="77">
          <cell r="B77">
            <v>800</v>
          </cell>
          <cell r="C77" t="str">
            <v>Bath and North East Somerset</v>
          </cell>
          <cell r="J77">
            <v>1.021975426906069</v>
          </cell>
          <cell r="X77">
            <v>36278.446505588196</v>
          </cell>
          <cell r="AA77">
            <v>2172.7197576023027</v>
          </cell>
          <cell r="AE77">
            <v>1537.0510420667279</v>
          </cell>
          <cell r="AH77">
            <v>2551.8726409844544</v>
          </cell>
          <cell r="AN77">
            <v>992.33813952579305</v>
          </cell>
          <cell r="AQ77">
            <v>529.38327113734374</v>
          </cell>
          <cell r="AT77">
            <v>0</v>
          </cell>
          <cell r="AW77">
            <v>146.14248604756787</v>
          </cell>
          <cell r="AZ77">
            <v>1103.7334610585544</v>
          </cell>
          <cell r="BC77">
            <v>323.96621032922388</v>
          </cell>
          <cell r="BF77">
            <v>478.28449979204032</v>
          </cell>
          <cell r="BN77">
            <v>0</v>
          </cell>
        </row>
        <row r="78">
          <cell r="B78">
            <v>801</v>
          </cell>
          <cell r="C78" t="str">
            <v>Bristol, City of</v>
          </cell>
          <cell r="J78">
            <v>1.021975426906069</v>
          </cell>
          <cell r="X78">
            <v>96817.022957597001</v>
          </cell>
          <cell r="AA78">
            <v>11001.565470643833</v>
          </cell>
          <cell r="AE78">
            <v>10873.818542280575</v>
          </cell>
          <cell r="AH78">
            <v>8720.5163177894865</v>
          </cell>
          <cell r="AN78">
            <v>7536.0467980053527</v>
          </cell>
          <cell r="AQ78">
            <v>13330.647468562764</v>
          </cell>
          <cell r="AT78">
            <v>4954.5368696406222</v>
          </cell>
          <cell r="AW78">
            <v>628.51488754723243</v>
          </cell>
          <cell r="AZ78">
            <v>3035.2670179110251</v>
          </cell>
          <cell r="BC78">
            <v>1082.2719770935271</v>
          </cell>
          <cell r="BF78">
            <v>1400.1063348613145</v>
          </cell>
          <cell r="BN78">
            <v>0</v>
          </cell>
        </row>
        <row r="79">
          <cell r="B79">
            <v>802</v>
          </cell>
          <cell r="C79" t="str">
            <v>North Somerset</v>
          </cell>
          <cell r="J79">
            <v>1.021975426906069</v>
          </cell>
          <cell r="X79">
            <v>44305.031288754202</v>
          </cell>
          <cell r="AA79">
            <v>2639.7625276983763</v>
          </cell>
          <cell r="AE79">
            <v>1678.0836509797653</v>
          </cell>
          <cell r="AH79">
            <v>2091.9836988767233</v>
          </cell>
          <cell r="AN79">
            <v>158.40619117044071</v>
          </cell>
          <cell r="AQ79">
            <v>2283.0931037081582</v>
          </cell>
          <cell r="AT79">
            <v>1065.92037026303</v>
          </cell>
          <cell r="AW79">
            <v>205.41706080811988</v>
          </cell>
          <cell r="AZ79">
            <v>1144.6124781347974</v>
          </cell>
          <cell r="BC79">
            <v>402.65831820099118</v>
          </cell>
          <cell r="BF79">
            <v>568.21833735977441</v>
          </cell>
          <cell r="BN79">
            <v>0</v>
          </cell>
        </row>
        <row r="80">
          <cell r="B80">
            <v>803</v>
          </cell>
          <cell r="C80" t="str">
            <v>South Gloucestershire</v>
          </cell>
          <cell r="J80">
            <v>1.021975426906069</v>
          </cell>
          <cell r="X80">
            <v>59511.614806994883</v>
          </cell>
          <cell r="AA80">
            <v>3033.223067057213</v>
          </cell>
          <cell r="AE80">
            <v>6105.2812003368563</v>
          </cell>
          <cell r="AH80">
            <v>3150.7502411514106</v>
          </cell>
          <cell r="AN80">
            <v>193.15335568524705</v>
          </cell>
          <cell r="AQ80">
            <v>0</v>
          </cell>
          <cell r="AT80">
            <v>0</v>
          </cell>
          <cell r="AW80">
            <v>275.93336526463861</v>
          </cell>
          <cell r="AZ80">
            <v>1757.7977342784386</v>
          </cell>
          <cell r="BC80">
            <v>527.33932028353161</v>
          </cell>
          <cell r="BF80">
            <v>750.12996334905461</v>
          </cell>
          <cell r="BN80">
            <v>0</v>
          </cell>
        </row>
        <row r="81">
          <cell r="B81">
            <v>805</v>
          </cell>
          <cell r="C81" t="str">
            <v>Hartlepool</v>
          </cell>
          <cell r="J81">
            <v>1</v>
          </cell>
          <cell r="X81">
            <v>19048.073000000004</v>
          </cell>
          <cell r="AA81">
            <v>3338</v>
          </cell>
          <cell r="AE81">
            <v>325</v>
          </cell>
          <cell r="AH81">
            <v>1189</v>
          </cell>
          <cell r="AN81">
            <v>1261</v>
          </cell>
          <cell r="AQ81">
            <v>4133</v>
          </cell>
          <cell r="AT81">
            <v>3100</v>
          </cell>
          <cell r="AW81">
            <v>110</v>
          </cell>
          <cell r="AZ81">
            <v>800</v>
          </cell>
          <cell r="BC81">
            <v>193</v>
          </cell>
          <cell r="BF81">
            <v>340</v>
          </cell>
          <cell r="BN81">
            <v>0</v>
          </cell>
        </row>
        <row r="82">
          <cell r="B82">
            <v>806</v>
          </cell>
          <cell r="C82" t="str">
            <v>Middlesbrough</v>
          </cell>
          <cell r="J82">
            <v>1</v>
          </cell>
          <cell r="X82">
            <v>31357.138999999996</v>
          </cell>
          <cell r="AA82">
            <v>6216</v>
          </cell>
          <cell r="AE82">
            <v>2175</v>
          </cell>
          <cell r="AH82">
            <v>1497</v>
          </cell>
          <cell r="AN82">
            <v>685</v>
          </cell>
          <cell r="AQ82">
            <v>5391</v>
          </cell>
          <cell r="AT82">
            <v>9692</v>
          </cell>
          <cell r="AW82">
            <v>260</v>
          </cell>
          <cell r="AZ82">
            <v>1320</v>
          </cell>
          <cell r="BC82">
            <v>494</v>
          </cell>
          <cell r="BF82">
            <v>637</v>
          </cell>
          <cell r="BN82">
            <v>0</v>
          </cell>
        </row>
        <row r="83">
          <cell r="B83">
            <v>807</v>
          </cell>
          <cell r="C83" t="str">
            <v>Redcar and Cleveland</v>
          </cell>
          <cell r="J83">
            <v>1</v>
          </cell>
          <cell r="X83">
            <v>25998.851999999999</v>
          </cell>
          <cell r="AA83">
            <v>3802</v>
          </cell>
          <cell r="AE83">
            <v>3042</v>
          </cell>
          <cell r="AH83">
            <v>1776</v>
          </cell>
          <cell r="AN83">
            <v>2207</v>
          </cell>
          <cell r="AQ83">
            <v>2885</v>
          </cell>
          <cell r="AT83">
            <v>3488</v>
          </cell>
          <cell r="AW83">
            <v>196</v>
          </cell>
          <cell r="AZ83">
            <v>1130</v>
          </cell>
          <cell r="BC83">
            <v>306</v>
          </cell>
          <cell r="BF83">
            <v>569</v>
          </cell>
          <cell r="BN83">
            <v>0</v>
          </cell>
        </row>
        <row r="84">
          <cell r="B84">
            <v>808</v>
          </cell>
          <cell r="C84" t="str">
            <v>Stockton-on-Tees</v>
          </cell>
          <cell r="J84">
            <v>1</v>
          </cell>
          <cell r="X84">
            <v>42262.624000000011</v>
          </cell>
          <cell r="AA84">
            <v>5221</v>
          </cell>
          <cell r="AE84">
            <v>1834</v>
          </cell>
          <cell r="AH84">
            <v>3265</v>
          </cell>
          <cell r="AN84">
            <v>3346</v>
          </cell>
          <cell r="AQ84">
            <v>4761</v>
          </cell>
          <cell r="AT84">
            <v>2934</v>
          </cell>
          <cell r="AW84">
            <v>289</v>
          </cell>
          <cell r="AZ84">
            <v>1690</v>
          </cell>
          <cell r="BC84">
            <v>521</v>
          </cell>
          <cell r="BF84">
            <v>684</v>
          </cell>
          <cell r="BN84">
            <v>0</v>
          </cell>
        </row>
        <row r="85">
          <cell r="B85">
            <v>810</v>
          </cell>
          <cell r="C85" t="str">
            <v>Kingston Upon Hull, City of</v>
          </cell>
          <cell r="J85">
            <v>1</v>
          </cell>
          <cell r="X85">
            <v>53879.731</v>
          </cell>
          <cell r="AA85">
            <v>9390</v>
          </cell>
          <cell r="AE85">
            <v>3489</v>
          </cell>
          <cell r="AH85">
            <v>3403</v>
          </cell>
          <cell r="AN85">
            <v>3626</v>
          </cell>
          <cell r="AQ85">
            <v>9435</v>
          </cell>
          <cell r="AT85">
            <v>13014</v>
          </cell>
          <cell r="AW85">
            <v>355</v>
          </cell>
          <cell r="AZ85">
            <v>1980</v>
          </cell>
          <cell r="BC85">
            <v>736</v>
          </cell>
          <cell r="BF85">
            <v>819</v>
          </cell>
          <cell r="BN85">
            <v>0</v>
          </cell>
        </row>
        <row r="86">
          <cell r="B86">
            <v>811</v>
          </cell>
          <cell r="C86" t="str">
            <v>East Riding of Yorkshire</v>
          </cell>
          <cell r="J86">
            <v>1</v>
          </cell>
          <cell r="X86">
            <v>61727.579000000012</v>
          </cell>
          <cell r="AA86">
            <v>4916</v>
          </cell>
          <cell r="AE86">
            <v>5538</v>
          </cell>
          <cell r="AH86">
            <v>2308</v>
          </cell>
          <cell r="AN86">
            <v>1990</v>
          </cell>
          <cell r="AQ86">
            <v>1397</v>
          </cell>
          <cell r="AT86">
            <v>217</v>
          </cell>
          <cell r="AW86">
            <v>254</v>
          </cell>
          <cell r="AZ86">
            <v>1620</v>
          </cell>
          <cell r="BC86">
            <v>601</v>
          </cell>
          <cell r="BF86">
            <v>680</v>
          </cell>
          <cell r="BN86">
            <v>0</v>
          </cell>
        </row>
        <row r="87">
          <cell r="B87">
            <v>812</v>
          </cell>
          <cell r="C87" t="str">
            <v>North East Lincolnshire</v>
          </cell>
          <cell r="J87">
            <v>1</v>
          </cell>
          <cell r="X87">
            <v>32836.328000000001</v>
          </cell>
          <cell r="AA87">
            <v>3789</v>
          </cell>
          <cell r="AE87">
            <v>3277</v>
          </cell>
          <cell r="AH87">
            <v>1493</v>
          </cell>
          <cell r="AN87">
            <v>2541</v>
          </cell>
          <cell r="AQ87">
            <v>4437</v>
          </cell>
          <cell r="AT87">
            <v>5373</v>
          </cell>
          <cell r="AW87">
            <v>237</v>
          </cell>
          <cell r="AZ87">
            <v>1130</v>
          </cell>
          <cell r="BC87">
            <v>500</v>
          </cell>
          <cell r="BF87">
            <v>564</v>
          </cell>
          <cell r="BN87">
            <v>0</v>
          </cell>
        </row>
        <row r="88">
          <cell r="B88">
            <v>813</v>
          </cell>
          <cell r="C88" t="str">
            <v>North Lincolnshire</v>
          </cell>
          <cell r="J88">
            <v>1</v>
          </cell>
          <cell r="X88">
            <v>33778.645999999993</v>
          </cell>
          <cell r="AA88">
            <v>3274</v>
          </cell>
          <cell r="AE88">
            <v>3363</v>
          </cell>
          <cell r="AH88">
            <v>3418</v>
          </cell>
          <cell r="AN88">
            <v>1663</v>
          </cell>
          <cell r="AQ88">
            <v>2412</v>
          </cell>
          <cell r="AT88">
            <v>1797</v>
          </cell>
          <cell r="AW88">
            <v>191</v>
          </cell>
          <cell r="AZ88">
            <v>1050</v>
          </cell>
          <cell r="BC88">
            <v>479</v>
          </cell>
          <cell r="BF88">
            <v>487</v>
          </cell>
          <cell r="BN88">
            <v>0</v>
          </cell>
        </row>
        <row r="89">
          <cell r="B89">
            <v>815</v>
          </cell>
          <cell r="C89" t="str">
            <v>North Yorkshire</v>
          </cell>
          <cell r="J89">
            <v>1</v>
          </cell>
          <cell r="X89">
            <v>112574.66500000001</v>
          </cell>
          <cell r="AA89">
            <v>5780</v>
          </cell>
          <cell r="AE89">
            <v>7513</v>
          </cell>
          <cell r="AH89">
            <v>2982</v>
          </cell>
          <cell r="AN89">
            <v>1247</v>
          </cell>
          <cell r="AQ89">
            <v>1001</v>
          </cell>
          <cell r="AT89">
            <v>1626</v>
          </cell>
          <cell r="AW89">
            <v>413</v>
          </cell>
          <cell r="AZ89">
            <v>3020</v>
          </cell>
          <cell r="BC89">
            <v>1301</v>
          </cell>
          <cell r="BF89">
            <v>1297</v>
          </cell>
          <cell r="BN89">
            <v>0</v>
          </cell>
        </row>
        <row r="90">
          <cell r="B90">
            <v>816</v>
          </cell>
          <cell r="C90" t="str">
            <v>York</v>
          </cell>
          <cell r="J90">
            <v>1</v>
          </cell>
          <cell r="X90">
            <v>37520.093999999997</v>
          </cell>
          <cell r="AA90">
            <v>1872</v>
          </cell>
          <cell r="AE90">
            <v>3467</v>
          </cell>
          <cell r="AH90">
            <v>625</v>
          </cell>
          <cell r="AN90">
            <v>1145</v>
          </cell>
          <cell r="AQ90">
            <v>883</v>
          </cell>
          <cell r="AT90">
            <v>0</v>
          </cell>
          <cell r="AW90">
            <v>139</v>
          </cell>
          <cell r="AZ90">
            <v>770</v>
          </cell>
          <cell r="BC90">
            <v>353</v>
          </cell>
          <cell r="BF90">
            <v>269</v>
          </cell>
          <cell r="BN90">
            <v>0</v>
          </cell>
        </row>
        <row r="91">
          <cell r="B91">
            <v>821</v>
          </cell>
          <cell r="C91" t="str">
            <v>Luton</v>
          </cell>
          <cell r="J91">
            <v>1.023570261471221</v>
          </cell>
          <cell r="X91">
            <v>57598.094978794492</v>
          </cell>
          <cell r="AA91">
            <v>6265.2735704653433</v>
          </cell>
          <cell r="AE91">
            <v>9389.2100084755093</v>
          </cell>
          <cell r="AH91">
            <v>4597.8776145287247</v>
          </cell>
          <cell r="AN91">
            <v>2803.5589461696741</v>
          </cell>
          <cell r="AQ91">
            <v>3705.3243465258201</v>
          </cell>
          <cell r="AT91">
            <v>380.76813726729421</v>
          </cell>
          <cell r="AW91">
            <v>374.62671569846691</v>
          </cell>
          <cell r="AZ91">
            <v>1832.1907680334855</v>
          </cell>
          <cell r="BC91">
            <v>785.07839054842646</v>
          </cell>
          <cell r="BF91">
            <v>689.88635623160292</v>
          </cell>
          <cell r="BN91">
            <v>0</v>
          </cell>
        </row>
        <row r="92">
          <cell r="B92">
            <v>822</v>
          </cell>
          <cell r="C92" t="str">
            <v>Bedford Borough</v>
          </cell>
          <cell r="J92">
            <v>1.023570261471221</v>
          </cell>
          <cell r="X92">
            <v>40015.936879978806</v>
          </cell>
          <cell r="AA92">
            <v>2911.0338236241523</v>
          </cell>
          <cell r="AE92">
            <v>4145.4595589584451</v>
          </cell>
          <cell r="AH92">
            <v>3001.1080066336199</v>
          </cell>
          <cell r="AN92">
            <v>2437.1207925629774</v>
          </cell>
          <cell r="AQ92">
            <v>933.49607846175354</v>
          </cell>
          <cell r="AT92">
            <v>393.05098040494886</v>
          </cell>
          <cell r="AW92">
            <v>197.54906046394564</v>
          </cell>
          <cell r="AZ92">
            <v>1187.3415033066162</v>
          </cell>
          <cell r="BC92">
            <v>425.80522877202793</v>
          </cell>
          <cell r="BF92">
            <v>498.47871733648464</v>
          </cell>
          <cell r="BN92">
            <v>0</v>
          </cell>
        </row>
        <row r="93">
          <cell r="B93">
            <v>823</v>
          </cell>
          <cell r="C93" t="str">
            <v>Central Bedfordshire</v>
          </cell>
          <cell r="J93">
            <v>1.023570261471221</v>
          </cell>
          <cell r="X93">
            <v>63467.950050840096</v>
          </cell>
          <cell r="AA93">
            <v>3154.6435458543033</v>
          </cell>
          <cell r="AE93">
            <v>3934.6040850953736</v>
          </cell>
          <cell r="AH93">
            <v>4140.3417076510887</v>
          </cell>
          <cell r="AN93">
            <v>2730.8854576052177</v>
          </cell>
          <cell r="AQ93">
            <v>0</v>
          </cell>
          <cell r="AT93">
            <v>0</v>
          </cell>
          <cell r="AW93">
            <v>235.42116013838083</v>
          </cell>
          <cell r="AZ93">
            <v>1883.3692811070466</v>
          </cell>
          <cell r="BC93">
            <v>621.3071487130311</v>
          </cell>
          <cell r="BF93">
            <v>799.40837420902358</v>
          </cell>
          <cell r="BN93">
            <v>0</v>
          </cell>
        </row>
        <row r="94">
          <cell r="B94">
            <v>825</v>
          </cell>
          <cell r="C94" t="str">
            <v>Buckinghamshire</v>
          </cell>
          <cell r="J94">
            <v>1.0480374594349251</v>
          </cell>
          <cell r="X94">
            <v>128390.87805357238</v>
          </cell>
          <cell r="AA94">
            <v>5169.9687873924859</v>
          </cell>
          <cell r="AE94">
            <v>6131.0191376943121</v>
          </cell>
          <cell r="AH94">
            <v>6511.4567354691899</v>
          </cell>
          <cell r="AN94">
            <v>1028.1247477056615</v>
          </cell>
          <cell r="AQ94">
            <v>0</v>
          </cell>
          <cell r="AT94">
            <v>0</v>
          </cell>
          <cell r="AW94">
            <v>474.76096912402107</v>
          </cell>
          <cell r="AZ94">
            <v>2976.4263847951875</v>
          </cell>
          <cell r="BC94">
            <v>1037.557084840576</v>
          </cell>
          <cell r="BF94">
            <v>1285.9419627266532</v>
          </cell>
          <cell r="BN94">
            <v>0</v>
          </cell>
        </row>
        <row r="95">
          <cell r="B95">
            <v>826</v>
          </cell>
          <cell r="C95" t="str">
            <v>Milton Keynes</v>
          </cell>
          <cell r="J95">
            <v>1.0431206446350318</v>
          </cell>
          <cell r="X95">
            <v>71475.032344323146</v>
          </cell>
          <cell r="AA95">
            <v>5404.4080598541004</v>
          </cell>
          <cell r="AE95">
            <v>8108.1767707481022</v>
          </cell>
          <cell r="AH95">
            <v>5751.7672345175652</v>
          </cell>
          <cell r="AN95">
            <v>2847.7193598536369</v>
          </cell>
          <cell r="AQ95">
            <v>5074.7819361494303</v>
          </cell>
          <cell r="AT95">
            <v>766.69367380674839</v>
          </cell>
          <cell r="AW95">
            <v>297.28938372098406</v>
          </cell>
          <cell r="AZ95">
            <v>1898.4795732357579</v>
          </cell>
          <cell r="BC95">
            <v>654.03664418616495</v>
          </cell>
          <cell r="BF95">
            <v>800.0735344350694</v>
          </cell>
          <cell r="BN95">
            <v>0</v>
          </cell>
        </row>
        <row r="96">
          <cell r="B96">
            <v>830</v>
          </cell>
          <cell r="C96" t="str">
            <v>Derbyshire</v>
          </cell>
          <cell r="J96">
            <v>1</v>
          </cell>
          <cell r="X96">
            <v>148850.60500000001</v>
          </cell>
          <cell r="AA96">
            <v>13533</v>
          </cell>
          <cell r="AE96">
            <v>15368</v>
          </cell>
          <cell r="AH96">
            <v>7654</v>
          </cell>
          <cell r="AN96">
            <v>8208</v>
          </cell>
          <cell r="AQ96">
            <v>8138</v>
          </cell>
          <cell r="AT96">
            <v>758</v>
          </cell>
          <cell r="AW96">
            <v>670</v>
          </cell>
          <cell r="AZ96">
            <v>5020</v>
          </cell>
          <cell r="BC96">
            <v>1478</v>
          </cell>
          <cell r="BF96">
            <v>2124</v>
          </cell>
          <cell r="BN96">
            <v>0</v>
          </cell>
        </row>
        <row r="97">
          <cell r="B97">
            <v>831</v>
          </cell>
          <cell r="C97" t="str">
            <v>Derby</v>
          </cell>
          <cell r="J97">
            <v>1</v>
          </cell>
          <cell r="X97">
            <v>57740.207999999999</v>
          </cell>
          <cell r="AA97">
            <v>6528</v>
          </cell>
          <cell r="AE97">
            <v>5446</v>
          </cell>
          <cell r="AH97">
            <v>4662</v>
          </cell>
          <cell r="AN97">
            <v>6510</v>
          </cell>
          <cell r="AQ97">
            <v>8173</v>
          </cell>
          <cell r="AT97">
            <v>2849</v>
          </cell>
          <cell r="AW97">
            <v>341</v>
          </cell>
          <cell r="AZ97">
            <v>2060</v>
          </cell>
          <cell r="BC97">
            <v>940</v>
          </cell>
          <cell r="BF97">
            <v>965</v>
          </cell>
          <cell r="BN97">
            <v>0</v>
          </cell>
        </row>
        <row r="98">
          <cell r="B98">
            <v>835</v>
          </cell>
          <cell r="C98" t="str">
            <v>Dorset</v>
          </cell>
          <cell r="J98">
            <v>1</v>
          </cell>
          <cell r="X98">
            <v>77610.580999999991</v>
          </cell>
          <cell r="AA98">
            <v>6495</v>
          </cell>
          <cell r="AE98">
            <v>3666</v>
          </cell>
          <cell r="AH98">
            <v>2503</v>
          </cell>
          <cell r="AN98">
            <v>1847</v>
          </cell>
          <cell r="AQ98">
            <v>401</v>
          </cell>
          <cell r="AT98">
            <v>362</v>
          </cell>
          <cell r="AW98">
            <v>350</v>
          </cell>
          <cell r="AZ98">
            <v>2530</v>
          </cell>
          <cell r="BC98">
            <v>837</v>
          </cell>
          <cell r="BF98">
            <v>849</v>
          </cell>
          <cell r="BN98">
            <v>0</v>
          </cell>
        </row>
        <row r="99">
          <cell r="B99">
            <v>836</v>
          </cell>
          <cell r="C99" t="str">
            <v>Poole</v>
          </cell>
          <cell r="J99">
            <v>1</v>
          </cell>
          <cell r="X99">
            <v>30051.275999999994</v>
          </cell>
          <cell r="AA99">
            <v>2106</v>
          </cell>
          <cell r="AE99">
            <v>4373</v>
          </cell>
          <cell r="AH99">
            <v>1849</v>
          </cell>
          <cell r="AN99">
            <v>781</v>
          </cell>
          <cell r="AQ99">
            <v>934</v>
          </cell>
          <cell r="AT99">
            <v>0</v>
          </cell>
          <cell r="AW99">
            <v>159</v>
          </cell>
          <cell r="AZ99">
            <v>830</v>
          </cell>
          <cell r="BC99">
            <v>332</v>
          </cell>
          <cell r="BF99">
            <v>362</v>
          </cell>
          <cell r="BN99">
            <v>0</v>
          </cell>
        </row>
        <row r="100">
          <cell r="B100">
            <v>837</v>
          </cell>
          <cell r="C100" t="str">
            <v>Bournemouth</v>
          </cell>
          <cell r="J100">
            <v>1</v>
          </cell>
          <cell r="X100">
            <v>36179.757999999994</v>
          </cell>
          <cell r="AA100">
            <v>2709</v>
          </cell>
          <cell r="AE100">
            <v>4232</v>
          </cell>
          <cell r="AH100">
            <v>3378</v>
          </cell>
          <cell r="AN100">
            <v>1308</v>
          </cell>
          <cell r="AQ100">
            <v>1507</v>
          </cell>
          <cell r="AT100">
            <v>0</v>
          </cell>
          <cell r="AW100">
            <v>193</v>
          </cell>
          <cell r="AZ100">
            <v>950</v>
          </cell>
          <cell r="BC100">
            <v>319</v>
          </cell>
          <cell r="BF100">
            <v>457</v>
          </cell>
          <cell r="BN100">
            <v>0</v>
          </cell>
        </row>
        <row r="101">
          <cell r="B101">
            <v>840</v>
          </cell>
          <cell r="C101" t="str">
            <v>Durham</v>
          </cell>
          <cell r="J101">
            <v>1</v>
          </cell>
          <cell r="X101">
            <v>99012.734999999986</v>
          </cell>
          <cell r="AA101">
            <v>13324</v>
          </cell>
          <cell r="AE101">
            <v>12140</v>
          </cell>
          <cell r="AH101">
            <v>13577</v>
          </cell>
          <cell r="AN101">
            <v>6914</v>
          </cell>
          <cell r="AQ101">
            <v>7052</v>
          </cell>
          <cell r="AT101">
            <v>4746</v>
          </cell>
          <cell r="AW101">
            <v>659</v>
          </cell>
          <cell r="AZ101">
            <v>3980</v>
          </cell>
          <cell r="BC101">
            <v>1144</v>
          </cell>
          <cell r="BF101">
            <v>1529</v>
          </cell>
          <cell r="BN101">
            <v>0</v>
          </cell>
        </row>
        <row r="102">
          <cell r="B102">
            <v>841</v>
          </cell>
          <cell r="C102" t="str">
            <v>Darlington</v>
          </cell>
          <cell r="J102">
            <v>1</v>
          </cell>
          <cell r="X102">
            <v>21316.130999999998</v>
          </cell>
          <cell r="AA102">
            <v>2653</v>
          </cell>
          <cell r="AE102">
            <v>3249</v>
          </cell>
          <cell r="AH102">
            <v>2055</v>
          </cell>
          <cell r="AN102">
            <v>1861</v>
          </cell>
          <cell r="AQ102">
            <v>1652</v>
          </cell>
          <cell r="AT102">
            <v>785</v>
          </cell>
          <cell r="AW102">
            <v>133</v>
          </cell>
          <cell r="AZ102">
            <v>790</v>
          </cell>
          <cell r="BC102">
            <v>261</v>
          </cell>
          <cell r="BF102">
            <v>355</v>
          </cell>
          <cell r="BN102">
            <v>0</v>
          </cell>
        </row>
        <row r="103">
          <cell r="B103">
            <v>845</v>
          </cell>
          <cell r="C103" t="str">
            <v>East Sussex</v>
          </cell>
          <cell r="J103">
            <v>1.0025438138502634</v>
          </cell>
          <cell r="X103">
            <v>106636.29960444832</v>
          </cell>
          <cell r="AA103">
            <v>8272.9915518923735</v>
          </cell>
          <cell r="AE103">
            <v>12296.199876873479</v>
          </cell>
          <cell r="AH103">
            <v>5975.1611305475699</v>
          </cell>
          <cell r="AN103">
            <v>5315.4873010340962</v>
          </cell>
          <cell r="AQ103">
            <v>3699.3866731074718</v>
          </cell>
          <cell r="AT103">
            <v>1441.6580043166787</v>
          </cell>
          <cell r="AW103">
            <v>611.5517264486607</v>
          </cell>
          <cell r="AZ103">
            <v>3528.9542247529271</v>
          </cell>
          <cell r="BC103">
            <v>1180.9966127156104</v>
          </cell>
          <cell r="BF103">
            <v>1717.3575531255012</v>
          </cell>
          <cell r="BN103">
            <v>0</v>
          </cell>
        </row>
        <row r="104">
          <cell r="B104">
            <v>846</v>
          </cell>
          <cell r="C104" t="str">
            <v>Brighton and Hove</v>
          </cell>
          <cell r="J104">
            <v>1.0025438138502634</v>
          </cell>
          <cell r="X104">
            <v>50312.851781400095</v>
          </cell>
          <cell r="AA104">
            <v>4090.3787605090747</v>
          </cell>
          <cell r="AE104">
            <v>3799.6410544924984</v>
          </cell>
          <cell r="AH104">
            <v>3010.639072992341</v>
          </cell>
          <cell r="AN104">
            <v>2339.9372615265147</v>
          </cell>
          <cell r="AQ104">
            <v>4727.9966261178424</v>
          </cell>
          <cell r="AT104">
            <v>431.09383995561325</v>
          </cell>
          <cell r="AW104">
            <v>256.65121634566742</v>
          </cell>
          <cell r="AZ104">
            <v>1584.0192258834161</v>
          </cell>
          <cell r="BC104">
            <v>502.27445073898195</v>
          </cell>
          <cell r="BF104">
            <v>702.78321350903457</v>
          </cell>
          <cell r="BN104">
            <v>0</v>
          </cell>
        </row>
        <row r="105">
          <cell r="B105">
            <v>850</v>
          </cell>
          <cell r="C105" t="str">
            <v>Hampshire</v>
          </cell>
          <cell r="J105">
            <v>1.0213260495386489</v>
          </cell>
          <cell r="X105">
            <v>285410.07316394808</v>
          </cell>
          <cell r="AA105">
            <v>14869.485955233189</v>
          </cell>
          <cell r="AE105">
            <v>14931.786844255048</v>
          </cell>
          <cell r="AH105">
            <v>10095.807999689545</v>
          </cell>
          <cell r="AN105">
            <v>7069.6189149065276</v>
          </cell>
          <cell r="AQ105">
            <v>2176.4458115668608</v>
          </cell>
          <cell r="AT105">
            <v>0</v>
          </cell>
          <cell r="AW105">
            <v>1175.5462830189849</v>
          </cell>
          <cell r="AZ105">
            <v>7986.7697073922345</v>
          </cell>
          <cell r="BC105">
            <v>2608.4667305217095</v>
          </cell>
          <cell r="BF105">
            <v>3553.1933263449596</v>
          </cell>
          <cell r="BN105">
            <v>0</v>
          </cell>
        </row>
        <row r="106">
          <cell r="B106">
            <v>851</v>
          </cell>
          <cell r="C106" t="str">
            <v>Portsmouth</v>
          </cell>
          <cell r="J106">
            <v>1.0213260495386489</v>
          </cell>
          <cell r="X106">
            <v>44354.273302468537</v>
          </cell>
          <cell r="AA106">
            <v>4840.0641487636576</v>
          </cell>
          <cell r="AE106">
            <v>6607.9795405150589</v>
          </cell>
          <cell r="AH106">
            <v>3281.5205971676792</v>
          </cell>
          <cell r="AN106">
            <v>2686.0875102866466</v>
          </cell>
          <cell r="AQ106">
            <v>3991.34220159704</v>
          </cell>
          <cell r="AT106">
            <v>2001.7990570957518</v>
          </cell>
          <cell r="AW106">
            <v>253.28886028558492</v>
          </cell>
          <cell r="AZ106">
            <v>1419.6432088587219</v>
          </cell>
          <cell r="BC106">
            <v>538.23882810686803</v>
          </cell>
          <cell r="BF106">
            <v>857.91388161246505</v>
          </cell>
          <cell r="BN106">
            <v>0</v>
          </cell>
        </row>
        <row r="107">
          <cell r="B107">
            <v>852</v>
          </cell>
          <cell r="C107" t="str">
            <v>Southampton</v>
          </cell>
          <cell r="J107">
            <v>1.0213260495386489</v>
          </cell>
          <cell r="X107">
            <v>51085.776100718991</v>
          </cell>
          <cell r="AA107">
            <v>5691.8500740788904</v>
          </cell>
          <cell r="AE107">
            <v>6935.8252024169651</v>
          </cell>
          <cell r="AH107">
            <v>5600.9520556699508</v>
          </cell>
          <cell r="AN107">
            <v>3836.1006420671652</v>
          </cell>
          <cell r="AQ107">
            <v>6507.889587660271</v>
          </cell>
          <cell r="AT107">
            <v>1353.2570156387098</v>
          </cell>
          <cell r="AW107">
            <v>298.22720646528546</v>
          </cell>
          <cell r="AZ107">
            <v>1807.7471076834086</v>
          </cell>
          <cell r="BC107">
            <v>573.98523984072074</v>
          </cell>
          <cell r="BF107">
            <v>621.98756416903723</v>
          </cell>
          <cell r="BN107">
            <v>0</v>
          </cell>
        </row>
        <row r="108">
          <cell r="B108">
            <v>855</v>
          </cell>
          <cell r="C108" t="str">
            <v>Leicestershire</v>
          </cell>
          <cell r="J108">
            <v>1</v>
          </cell>
          <cell r="X108">
            <v>136740.46900000001</v>
          </cell>
          <cell r="AA108">
            <v>6717</v>
          </cell>
          <cell r="AE108">
            <v>8927</v>
          </cell>
          <cell r="AH108">
            <v>4056</v>
          </cell>
          <cell r="AN108">
            <v>1653</v>
          </cell>
          <cell r="AQ108">
            <v>1340</v>
          </cell>
          <cell r="AT108">
            <v>762</v>
          </cell>
          <cell r="AW108">
            <v>580</v>
          </cell>
          <cell r="AZ108">
            <v>3960</v>
          </cell>
          <cell r="BC108">
            <v>1390</v>
          </cell>
          <cell r="BF108">
            <v>1729</v>
          </cell>
          <cell r="BN108">
            <v>0</v>
          </cell>
        </row>
        <row r="109">
          <cell r="B109">
            <v>856</v>
          </cell>
          <cell r="C109" t="str">
            <v>Leicester</v>
          </cell>
          <cell r="J109">
            <v>1</v>
          </cell>
          <cell r="X109">
            <v>81704.012000000002</v>
          </cell>
          <cell r="AA109">
            <v>9632</v>
          </cell>
          <cell r="AE109">
            <v>9543</v>
          </cell>
          <cell r="AH109">
            <v>9437</v>
          </cell>
          <cell r="AN109">
            <v>9570</v>
          </cell>
          <cell r="AQ109">
            <v>10577</v>
          </cell>
          <cell r="AT109">
            <v>6511</v>
          </cell>
          <cell r="AW109">
            <v>596</v>
          </cell>
          <cell r="AZ109">
            <v>2340</v>
          </cell>
          <cell r="BC109">
            <v>1162</v>
          </cell>
          <cell r="BF109">
            <v>1444</v>
          </cell>
          <cell r="BN109">
            <v>0</v>
          </cell>
        </row>
        <row r="110">
          <cell r="B110">
            <v>857</v>
          </cell>
          <cell r="C110" t="str">
            <v>Rutland</v>
          </cell>
          <cell r="J110">
            <v>1</v>
          </cell>
          <cell r="X110">
            <v>7956.5020000000004</v>
          </cell>
          <cell r="AA110">
            <v>204</v>
          </cell>
          <cell r="AE110">
            <v>0</v>
          </cell>
          <cell r="AH110">
            <v>0</v>
          </cell>
          <cell r="AN110">
            <v>0</v>
          </cell>
          <cell r="AQ110">
            <v>0</v>
          </cell>
          <cell r="AT110">
            <v>0</v>
          </cell>
          <cell r="AW110">
            <v>22</v>
          </cell>
          <cell r="AZ110">
            <v>190</v>
          </cell>
          <cell r="BC110">
            <v>74</v>
          </cell>
          <cell r="BF110">
            <v>54</v>
          </cell>
          <cell r="BN110">
            <v>0</v>
          </cell>
        </row>
        <row r="111">
          <cell r="B111">
            <v>860</v>
          </cell>
          <cell r="C111" t="str">
            <v>Staffordshire</v>
          </cell>
          <cell r="J111">
            <v>1</v>
          </cell>
          <cell r="X111">
            <v>163054.27899999998</v>
          </cell>
          <cell r="AA111">
            <v>11152</v>
          </cell>
          <cell r="AE111">
            <v>16272</v>
          </cell>
          <cell r="AH111">
            <v>12185</v>
          </cell>
          <cell r="AN111">
            <v>4536</v>
          </cell>
          <cell r="AQ111">
            <v>3345</v>
          </cell>
          <cell r="AT111">
            <v>710</v>
          </cell>
          <cell r="AW111">
            <v>823</v>
          </cell>
          <cell r="AZ111">
            <v>5070</v>
          </cell>
          <cell r="BC111">
            <v>1946</v>
          </cell>
          <cell r="BF111">
            <v>2186</v>
          </cell>
          <cell r="BN111">
            <v>0</v>
          </cell>
        </row>
        <row r="112">
          <cell r="B112">
            <v>861</v>
          </cell>
          <cell r="C112" t="str">
            <v>Stoke-on-Trent</v>
          </cell>
          <cell r="J112">
            <v>1</v>
          </cell>
          <cell r="X112">
            <v>54145.775999999998</v>
          </cell>
          <cell r="AA112">
            <v>7582</v>
          </cell>
          <cell r="AE112">
            <v>3907</v>
          </cell>
          <cell r="AH112">
            <v>4767</v>
          </cell>
          <cell r="AN112">
            <v>7632</v>
          </cell>
          <cell r="AQ112">
            <v>5600</v>
          </cell>
          <cell r="AT112">
            <v>5445</v>
          </cell>
          <cell r="AW112">
            <v>361</v>
          </cell>
          <cell r="AZ112">
            <v>2000</v>
          </cell>
          <cell r="BC112">
            <v>819</v>
          </cell>
          <cell r="BF112">
            <v>890</v>
          </cell>
          <cell r="BN112">
            <v>0</v>
          </cell>
        </row>
        <row r="113">
          <cell r="B113">
            <v>865</v>
          </cell>
          <cell r="C113" t="str">
            <v>Wiltshire</v>
          </cell>
          <cell r="J113">
            <v>1.0107827425534024</v>
          </cell>
          <cell r="X113">
            <v>102581.76405653406</v>
          </cell>
          <cell r="AA113">
            <v>5069.0754539053132</v>
          </cell>
          <cell r="AE113">
            <v>4743.6034108031172</v>
          </cell>
          <cell r="AH113">
            <v>2725.0702739239728</v>
          </cell>
          <cell r="AN113">
            <v>261.79273032133119</v>
          </cell>
          <cell r="AQ113">
            <v>544.81189823628392</v>
          </cell>
          <cell r="AT113">
            <v>0</v>
          </cell>
          <cell r="AW113">
            <v>385.10822491284631</v>
          </cell>
          <cell r="AZ113">
            <v>3527.6317715113742</v>
          </cell>
          <cell r="BC113">
            <v>1052.2248349980919</v>
          </cell>
          <cell r="BF113">
            <v>1428.2360152279575</v>
          </cell>
          <cell r="BN113">
            <v>0</v>
          </cell>
        </row>
        <row r="114">
          <cell r="B114">
            <v>866</v>
          </cell>
          <cell r="C114" t="str">
            <v>Swindon</v>
          </cell>
          <cell r="J114">
            <v>1.0107827425534024</v>
          </cell>
          <cell r="X114">
            <v>50013.434077181817</v>
          </cell>
          <cell r="AA114">
            <v>4056.2711458668036</v>
          </cell>
          <cell r="AE114">
            <v>2536.0539010664866</v>
          </cell>
          <cell r="AH114">
            <v>2231.8082955579125</v>
          </cell>
          <cell r="AN114">
            <v>3559.976819273083</v>
          </cell>
          <cell r="AQ114">
            <v>1345.3518303385786</v>
          </cell>
          <cell r="AT114">
            <v>892.52116167465431</v>
          </cell>
          <cell r="AW114">
            <v>199.12420028302026</v>
          </cell>
          <cell r="AZ114">
            <v>1677.899352638648</v>
          </cell>
          <cell r="BC114">
            <v>498.3158920788274</v>
          </cell>
          <cell r="BF114">
            <v>664.08426185758537</v>
          </cell>
          <cell r="BN114">
            <v>0</v>
          </cell>
        </row>
        <row r="115">
          <cell r="B115">
            <v>867</v>
          </cell>
          <cell r="C115" t="str">
            <v>Bracknell Forest</v>
          </cell>
          <cell r="J115">
            <v>1.0744343550114952</v>
          </cell>
          <cell r="X115">
            <v>31103.117877412344</v>
          </cell>
          <cell r="AA115">
            <v>1506.3569657261162</v>
          </cell>
          <cell r="AE115">
            <v>1865.2180402999556</v>
          </cell>
          <cell r="AH115">
            <v>652.18165349197761</v>
          </cell>
          <cell r="AN115">
            <v>0</v>
          </cell>
          <cell r="AQ115">
            <v>0</v>
          </cell>
          <cell r="AT115">
            <v>0</v>
          </cell>
          <cell r="AW115">
            <v>104.22013243611504</v>
          </cell>
          <cell r="AZ115">
            <v>795.08142270850647</v>
          </cell>
          <cell r="BC115">
            <v>228.85451761744847</v>
          </cell>
          <cell r="BF115">
            <v>265.38528568783931</v>
          </cell>
          <cell r="BN115">
            <v>0</v>
          </cell>
        </row>
        <row r="116">
          <cell r="B116">
            <v>868</v>
          </cell>
          <cell r="C116" t="str">
            <v>Windsor and Maidenhead</v>
          </cell>
          <cell r="J116">
            <v>1.0744343550114952</v>
          </cell>
          <cell r="X116">
            <v>37024.986385009026</v>
          </cell>
          <cell r="AA116">
            <v>1188.3243966427137</v>
          </cell>
          <cell r="AE116">
            <v>2320.7782068248298</v>
          </cell>
          <cell r="AH116">
            <v>1151.7936285723229</v>
          </cell>
          <cell r="AN116">
            <v>0</v>
          </cell>
          <cell r="AQ116">
            <v>0</v>
          </cell>
          <cell r="AT116">
            <v>0</v>
          </cell>
          <cell r="AW116">
            <v>108.51786985616101</v>
          </cell>
          <cell r="AZ116">
            <v>687.6379872073569</v>
          </cell>
          <cell r="BC116">
            <v>233.15225503749446</v>
          </cell>
          <cell r="BF116">
            <v>243.89659858760942</v>
          </cell>
          <cell r="BN116">
            <v>0</v>
          </cell>
        </row>
        <row r="117">
          <cell r="B117">
            <v>869</v>
          </cell>
          <cell r="C117" t="str">
            <v>West Berkshire</v>
          </cell>
          <cell r="J117">
            <v>1.0522356053683966</v>
          </cell>
          <cell r="X117">
            <v>36918.502749179963</v>
          </cell>
          <cell r="AA117">
            <v>1609.9204762136467</v>
          </cell>
          <cell r="AE117">
            <v>883.87790850945305</v>
          </cell>
          <cell r="AH117">
            <v>1077.4892598972381</v>
          </cell>
          <cell r="AN117">
            <v>328.29750887493975</v>
          </cell>
          <cell r="AQ117">
            <v>445.09566107083174</v>
          </cell>
          <cell r="AT117">
            <v>0</v>
          </cell>
          <cell r="AW117">
            <v>123.1115658281024</v>
          </cell>
          <cell r="AZ117">
            <v>1052.2356053683966</v>
          </cell>
          <cell r="BC117">
            <v>335.66315811251849</v>
          </cell>
          <cell r="BF117">
            <v>277.79019981725668</v>
          </cell>
          <cell r="BN117">
            <v>0</v>
          </cell>
        </row>
        <row r="118">
          <cell r="B118">
            <v>870</v>
          </cell>
          <cell r="C118" t="str">
            <v>Reading</v>
          </cell>
          <cell r="J118">
            <v>1.0522356053683966</v>
          </cell>
          <cell r="X118">
            <v>38279.525310828554</v>
          </cell>
          <cell r="AA118">
            <v>3434.4970159224463</v>
          </cell>
          <cell r="AE118">
            <v>4749.7915226329424</v>
          </cell>
          <cell r="AH118">
            <v>2190.7545303770016</v>
          </cell>
          <cell r="AN118">
            <v>2262.3065515420526</v>
          </cell>
          <cell r="AQ118">
            <v>2566.4026414935192</v>
          </cell>
          <cell r="AT118">
            <v>0</v>
          </cell>
          <cell r="AW118">
            <v>175.72334609652222</v>
          </cell>
          <cell r="AZ118">
            <v>1231.115658281024</v>
          </cell>
          <cell r="BC118">
            <v>464.03590196746291</v>
          </cell>
          <cell r="BF118">
            <v>426.15542017420063</v>
          </cell>
          <cell r="BN118">
            <v>0</v>
          </cell>
        </row>
        <row r="119">
          <cell r="B119">
            <v>871</v>
          </cell>
          <cell r="C119" t="str">
            <v>Slough</v>
          </cell>
          <cell r="J119">
            <v>1.0744343550114952</v>
          </cell>
          <cell r="X119">
            <v>44191.919093102224</v>
          </cell>
          <cell r="AA119">
            <v>3467.1996636220952</v>
          </cell>
          <cell r="AE119">
            <v>12250.700515841068</v>
          </cell>
          <cell r="AH119">
            <v>3342.5652784407616</v>
          </cell>
          <cell r="AN119">
            <v>0</v>
          </cell>
          <cell r="AQ119">
            <v>0</v>
          </cell>
          <cell r="AT119">
            <v>0</v>
          </cell>
          <cell r="AW119">
            <v>232.07782068248295</v>
          </cell>
          <cell r="AZ119">
            <v>1117.4117292119549</v>
          </cell>
          <cell r="BC119">
            <v>452.33686345983949</v>
          </cell>
          <cell r="BF119">
            <v>307.28822553328763</v>
          </cell>
          <cell r="BN119">
            <v>0</v>
          </cell>
        </row>
        <row r="120">
          <cell r="B120">
            <v>872</v>
          </cell>
          <cell r="C120" t="str">
            <v>Wokingham</v>
          </cell>
          <cell r="J120">
            <v>1.0522356053683966</v>
          </cell>
          <cell r="X120">
            <v>40315.240290403759</v>
          </cell>
          <cell r="AA120">
            <v>1268.9961400742861</v>
          </cell>
          <cell r="AE120">
            <v>700.78891317535215</v>
          </cell>
          <cell r="AH120">
            <v>763.92304949745585</v>
          </cell>
          <cell r="AN120">
            <v>0</v>
          </cell>
          <cell r="AQ120">
            <v>0</v>
          </cell>
          <cell r="AT120">
            <v>0</v>
          </cell>
          <cell r="AW120">
            <v>93.648968877787297</v>
          </cell>
          <cell r="AZ120">
            <v>873.35555245576916</v>
          </cell>
          <cell r="BC120">
            <v>296.73044071388784</v>
          </cell>
          <cell r="BF120">
            <v>243.06642484009961</v>
          </cell>
          <cell r="BN120">
            <v>0</v>
          </cell>
        </row>
        <row r="121">
          <cell r="B121">
            <v>873</v>
          </cell>
          <cell r="C121" t="str">
            <v>Cambridgeshire</v>
          </cell>
          <cell r="J121">
            <v>1.0193022956972073</v>
          </cell>
          <cell r="X121">
            <v>137638.01987166703</v>
          </cell>
          <cell r="AA121">
            <v>8228.8274331635548</v>
          </cell>
          <cell r="AE121">
            <v>11047.198280766333</v>
          </cell>
          <cell r="AH121">
            <v>7302.2816463747931</v>
          </cell>
          <cell r="AN121">
            <v>1040.7076439068487</v>
          </cell>
          <cell r="AQ121">
            <v>1586.0343721048546</v>
          </cell>
          <cell r="AT121">
            <v>331.27324610159241</v>
          </cell>
          <cell r="AW121">
            <v>537.17230983242825</v>
          </cell>
          <cell r="AZ121">
            <v>3832.5766318214996</v>
          </cell>
          <cell r="BC121">
            <v>1498.3743746748949</v>
          </cell>
          <cell r="BF121">
            <v>1868.381108012981</v>
          </cell>
          <cell r="BN121">
            <v>0</v>
          </cell>
        </row>
        <row r="122">
          <cell r="B122">
            <v>874</v>
          </cell>
          <cell r="C122" t="str">
            <v>Peterborough</v>
          </cell>
          <cell r="J122">
            <v>1.0193022956972073</v>
          </cell>
          <cell r="X122">
            <v>49063.191496202875</v>
          </cell>
          <cell r="AA122">
            <v>5289.1596123728086</v>
          </cell>
          <cell r="AE122">
            <v>5736.6333201838825</v>
          </cell>
          <cell r="AH122">
            <v>7147.3476974288178</v>
          </cell>
          <cell r="AN122">
            <v>4493.0845194332896</v>
          </cell>
          <cell r="AQ122">
            <v>4716.3117221909779</v>
          </cell>
          <cell r="AT122">
            <v>1871.4390149000726</v>
          </cell>
          <cell r="AW122">
            <v>341.46626905856448</v>
          </cell>
          <cell r="AZ122">
            <v>1906.0952929537777</v>
          </cell>
          <cell r="BC122">
            <v>736.95555978908089</v>
          </cell>
          <cell r="BF122">
            <v>762.43811718151107</v>
          </cell>
          <cell r="BN122">
            <v>0</v>
          </cell>
        </row>
        <row r="123">
          <cell r="B123">
            <v>876</v>
          </cell>
          <cell r="C123" t="str">
            <v>Halton</v>
          </cell>
          <cell r="J123">
            <v>1.0054548012657853</v>
          </cell>
          <cell r="X123">
            <v>27313.328483695648</v>
          </cell>
          <cell r="AA123">
            <v>4605.9884445985626</v>
          </cell>
          <cell r="AE123">
            <v>2800.1916215252122</v>
          </cell>
          <cell r="AH123">
            <v>2685.5697741809126</v>
          </cell>
          <cell r="AN123">
            <v>2317.5733169176351</v>
          </cell>
          <cell r="AQ123">
            <v>4733.6812043593172</v>
          </cell>
          <cell r="AT123">
            <v>2388.9606078075058</v>
          </cell>
          <cell r="AW123">
            <v>150.81822018986782</v>
          </cell>
          <cell r="AZ123">
            <v>1035.618445303759</v>
          </cell>
          <cell r="BC123">
            <v>309.68007878986191</v>
          </cell>
          <cell r="BF123">
            <v>421.28556173036407</v>
          </cell>
          <cell r="BN123">
            <v>0</v>
          </cell>
        </row>
        <row r="124">
          <cell r="B124">
            <v>877</v>
          </cell>
          <cell r="C124" t="str">
            <v>Warrington</v>
          </cell>
          <cell r="J124">
            <v>1.0054548012657853</v>
          </cell>
          <cell r="X124">
            <v>44496.355979096472</v>
          </cell>
          <cell r="AA124">
            <v>3197.3462680251973</v>
          </cell>
          <cell r="AE124">
            <v>5277.6322518441075</v>
          </cell>
          <cell r="AH124">
            <v>2989.21712416318</v>
          </cell>
          <cell r="AN124">
            <v>1257.8239563834975</v>
          </cell>
          <cell r="AQ124">
            <v>2983.1843953555849</v>
          </cell>
          <cell r="AT124">
            <v>454.46557017213496</v>
          </cell>
          <cell r="AW124">
            <v>152.82912979239939</v>
          </cell>
          <cell r="AZ124">
            <v>1256.8185015822316</v>
          </cell>
          <cell r="BC124">
            <v>407.20919451264308</v>
          </cell>
          <cell r="BF124">
            <v>555.01105029871349</v>
          </cell>
          <cell r="BN124">
            <v>0</v>
          </cell>
        </row>
        <row r="125">
          <cell r="B125">
            <v>878</v>
          </cell>
          <cell r="C125" t="str">
            <v>Devon</v>
          </cell>
          <cell r="J125">
            <v>1</v>
          </cell>
          <cell r="X125">
            <v>144031.20400000003</v>
          </cell>
          <cell r="AA125">
            <v>12464</v>
          </cell>
          <cell r="AE125">
            <v>12112</v>
          </cell>
          <cell r="AH125">
            <v>6792</v>
          </cell>
          <cell r="AN125">
            <v>767</v>
          </cell>
          <cell r="AQ125">
            <v>1170</v>
          </cell>
          <cell r="AT125">
            <v>0</v>
          </cell>
          <cell r="AW125">
            <v>696</v>
          </cell>
          <cell r="AZ125">
            <v>4740</v>
          </cell>
          <cell r="BC125">
            <v>1416</v>
          </cell>
          <cell r="BF125">
            <v>1766</v>
          </cell>
          <cell r="BN125">
            <v>0</v>
          </cell>
        </row>
        <row r="126">
          <cell r="B126">
            <v>879</v>
          </cell>
          <cell r="C126" t="str">
            <v>Plymouth</v>
          </cell>
          <cell r="J126">
            <v>1</v>
          </cell>
          <cell r="X126">
            <v>51497.395000000011</v>
          </cell>
          <cell r="AA126">
            <v>6156</v>
          </cell>
          <cell r="AE126">
            <v>4392</v>
          </cell>
          <cell r="AH126">
            <v>4004</v>
          </cell>
          <cell r="AN126">
            <v>2630</v>
          </cell>
          <cell r="AQ126">
            <v>3753</v>
          </cell>
          <cell r="AT126">
            <v>3382</v>
          </cell>
          <cell r="AW126">
            <v>338</v>
          </cell>
          <cell r="AZ126">
            <v>2590</v>
          </cell>
          <cell r="BC126">
            <v>609</v>
          </cell>
          <cell r="BF126">
            <v>747</v>
          </cell>
          <cell r="BN126">
            <v>0</v>
          </cell>
        </row>
        <row r="127">
          <cell r="B127">
            <v>880</v>
          </cell>
          <cell r="C127" t="str">
            <v>Torbay</v>
          </cell>
          <cell r="J127">
            <v>1</v>
          </cell>
          <cell r="X127">
            <v>24758.082000000002</v>
          </cell>
          <cell r="AA127">
            <v>3149</v>
          </cell>
          <cell r="AE127">
            <v>3935</v>
          </cell>
          <cell r="AH127">
            <v>3080</v>
          </cell>
          <cell r="AN127">
            <v>815</v>
          </cell>
          <cell r="AQ127">
            <v>3503</v>
          </cell>
          <cell r="AT127">
            <v>0</v>
          </cell>
          <cell r="AW127">
            <v>154</v>
          </cell>
          <cell r="AZ127">
            <v>1140</v>
          </cell>
          <cell r="BC127">
            <v>338</v>
          </cell>
          <cell r="BF127">
            <v>447</v>
          </cell>
          <cell r="BN127">
            <v>0</v>
          </cell>
        </row>
        <row r="128">
          <cell r="B128">
            <v>881</v>
          </cell>
          <cell r="C128" t="str">
            <v>Essex</v>
          </cell>
          <cell r="J128">
            <v>1.0189419796053065</v>
          </cell>
          <cell r="X128">
            <v>311338.59917744581</v>
          </cell>
          <cell r="AA128">
            <v>22396.344711724636</v>
          </cell>
          <cell r="AE128">
            <v>30019.049661151934</v>
          </cell>
          <cell r="AH128">
            <v>22444.234984766088</v>
          </cell>
          <cell r="AN128">
            <v>11485.513994111016</v>
          </cell>
          <cell r="AQ128">
            <v>12203.868089732756</v>
          </cell>
          <cell r="AT128">
            <v>4672.8679184699358</v>
          </cell>
          <cell r="AW128">
            <v>1454.0302048967724</v>
          </cell>
          <cell r="AZ128">
            <v>10250.556314829384</v>
          </cell>
          <cell r="BC128">
            <v>3287.1068262067188</v>
          </cell>
          <cell r="BF128">
            <v>4372.2800344863699</v>
          </cell>
          <cell r="BN128">
            <v>0</v>
          </cell>
        </row>
        <row r="129">
          <cell r="B129">
            <v>882</v>
          </cell>
          <cell r="C129" t="str">
            <v>Southend-on-Sea</v>
          </cell>
          <cell r="J129">
            <v>1.0053237953143217</v>
          </cell>
          <cell r="X129">
            <v>38582.862507393897</v>
          </cell>
          <cell r="AA129">
            <v>3479.4256555828674</v>
          </cell>
          <cell r="AE129">
            <v>3693.5596239848178</v>
          </cell>
          <cell r="AH129">
            <v>5440.8123802411092</v>
          </cell>
          <cell r="AN129">
            <v>3023.0086525101656</v>
          </cell>
          <cell r="AQ129">
            <v>2480.1338030404318</v>
          </cell>
          <cell r="AT129">
            <v>2064.9350755756168</v>
          </cell>
          <cell r="AW129">
            <v>225.19253015040806</v>
          </cell>
          <cell r="AZ129">
            <v>1236.5482682366157</v>
          </cell>
          <cell r="BC129">
            <v>474.51283138835981</v>
          </cell>
          <cell r="BF129">
            <v>710.76392328722545</v>
          </cell>
          <cell r="BN129">
            <v>0</v>
          </cell>
        </row>
        <row r="130">
          <cell r="B130">
            <v>883</v>
          </cell>
          <cell r="C130" t="str">
            <v>Thurrock</v>
          </cell>
          <cell r="J130">
            <v>1.0452520358512145</v>
          </cell>
          <cell r="X130">
            <v>43660.315510773973</v>
          </cell>
          <cell r="AA130">
            <v>3781.7218657096942</v>
          </cell>
          <cell r="AE130">
            <v>6007.0634500369297</v>
          </cell>
          <cell r="AH130">
            <v>7874.9288381030501</v>
          </cell>
          <cell r="AN130">
            <v>722.26915677318925</v>
          </cell>
          <cell r="AQ130">
            <v>2557.7317317279221</v>
          </cell>
          <cell r="AT130">
            <v>458.86564373868316</v>
          </cell>
          <cell r="AW130">
            <v>214.27666734949898</v>
          </cell>
          <cell r="AZ130">
            <v>1442.447809474676</v>
          </cell>
          <cell r="BC130">
            <v>484.99694463496354</v>
          </cell>
          <cell r="BF130">
            <v>504.85673331613663</v>
          </cell>
          <cell r="BN130">
            <v>0</v>
          </cell>
        </row>
        <row r="131">
          <cell r="B131">
            <v>884</v>
          </cell>
          <cell r="C131" t="str">
            <v>Herefordshire</v>
          </cell>
          <cell r="J131">
            <v>1</v>
          </cell>
          <cell r="X131">
            <v>35466.217999999993</v>
          </cell>
          <cell r="AA131">
            <v>1885</v>
          </cell>
          <cell r="AE131">
            <v>2506</v>
          </cell>
          <cell r="AH131">
            <v>2172</v>
          </cell>
          <cell r="AN131">
            <v>451</v>
          </cell>
          <cell r="AQ131">
            <v>0</v>
          </cell>
          <cell r="AT131">
            <v>0</v>
          </cell>
          <cell r="AW131">
            <v>165</v>
          </cell>
          <cell r="AZ131">
            <v>840</v>
          </cell>
          <cell r="BC131">
            <v>371</v>
          </cell>
          <cell r="BF131">
            <v>429</v>
          </cell>
          <cell r="BN131">
            <v>0</v>
          </cell>
        </row>
        <row r="132">
          <cell r="B132">
            <v>885</v>
          </cell>
          <cell r="C132" t="str">
            <v>Worcestershire</v>
          </cell>
          <cell r="J132">
            <v>1</v>
          </cell>
          <cell r="X132">
            <v>112307.47000000002</v>
          </cell>
          <cell r="AA132">
            <v>8531</v>
          </cell>
          <cell r="AE132">
            <v>8646</v>
          </cell>
          <cell r="AH132">
            <v>4726</v>
          </cell>
          <cell r="AN132">
            <v>4269</v>
          </cell>
          <cell r="AQ132">
            <v>4442</v>
          </cell>
          <cell r="AT132">
            <v>1677</v>
          </cell>
          <cell r="AW132">
            <v>537</v>
          </cell>
          <cell r="AZ132">
            <v>3920</v>
          </cell>
          <cell r="BC132">
            <v>1428</v>
          </cell>
          <cell r="BF132">
            <v>1534</v>
          </cell>
          <cell r="BN132">
            <v>0</v>
          </cell>
        </row>
        <row r="133">
          <cell r="B133">
            <v>886</v>
          </cell>
          <cell r="C133" t="str">
            <v>Kent</v>
          </cell>
          <cell r="J133">
            <v>1.0077014294588473</v>
          </cell>
          <cell r="X133">
            <v>335966.81817399041</v>
          </cell>
          <cell r="AA133">
            <v>25748.786925532466</v>
          </cell>
          <cell r="AE133">
            <v>35500.313658405736</v>
          </cell>
          <cell r="AH133">
            <v>21856.036303532939</v>
          </cell>
          <cell r="AN133">
            <v>15899.513154001694</v>
          </cell>
          <cell r="AQ133">
            <v>17189.370983709017</v>
          </cell>
          <cell r="AT133">
            <v>5047.5764601593664</v>
          </cell>
          <cell r="AW133">
            <v>1739.2926672459705</v>
          </cell>
          <cell r="AZ133">
            <v>12858.270239894891</v>
          </cell>
          <cell r="BC133">
            <v>3985.4591535097411</v>
          </cell>
          <cell r="BF133">
            <v>4929.6753929126808</v>
          </cell>
          <cell r="BN133">
            <v>0</v>
          </cell>
        </row>
        <row r="134">
          <cell r="B134">
            <v>887</v>
          </cell>
          <cell r="C134" t="str">
            <v>Medway</v>
          </cell>
          <cell r="J134">
            <v>1.0010615758871764</v>
          </cell>
          <cell r="X134">
            <v>63712.909363583021</v>
          </cell>
          <cell r="AA134">
            <v>5360.6847388758297</v>
          </cell>
          <cell r="AE134">
            <v>7636.0977008673817</v>
          </cell>
          <cell r="AH134">
            <v>9005.5499366810382</v>
          </cell>
          <cell r="AN134">
            <v>2802.9724124840936</v>
          </cell>
          <cell r="AQ134">
            <v>3716.941631269086</v>
          </cell>
          <cell r="AT134">
            <v>1481.5711323130211</v>
          </cell>
          <cell r="AW134">
            <v>342.36305895341434</v>
          </cell>
          <cell r="AZ134">
            <v>2833.0042597607089</v>
          </cell>
          <cell r="BC134">
            <v>919.97558824031512</v>
          </cell>
          <cell r="BF134">
            <v>906.96178775378178</v>
          </cell>
          <cell r="BN134">
            <v>0</v>
          </cell>
        </row>
        <row r="135">
          <cell r="B135">
            <v>888</v>
          </cell>
          <cell r="C135" t="str">
            <v>Lancashire</v>
          </cell>
          <cell r="J135">
            <v>1</v>
          </cell>
          <cell r="X135">
            <v>239489.36199999999</v>
          </cell>
          <cell r="AA135">
            <v>22512</v>
          </cell>
          <cell r="AE135">
            <v>21791</v>
          </cell>
          <cell r="AH135">
            <v>22028</v>
          </cell>
          <cell r="AN135">
            <v>10946</v>
          </cell>
          <cell r="AQ135">
            <v>14128</v>
          </cell>
          <cell r="AT135">
            <v>3657</v>
          </cell>
          <cell r="AW135">
            <v>1279</v>
          </cell>
          <cell r="AZ135">
            <v>7860</v>
          </cell>
          <cell r="BC135">
            <v>2550</v>
          </cell>
          <cell r="BF135">
            <v>3562</v>
          </cell>
          <cell r="BN135">
            <v>0</v>
          </cell>
        </row>
        <row r="136">
          <cell r="B136">
            <v>889</v>
          </cell>
          <cell r="C136" t="str">
            <v>Blackburn with Darwen</v>
          </cell>
          <cell r="J136">
            <v>1</v>
          </cell>
          <cell r="X136">
            <v>35205.434999999998</v>
          </cell>
          <cell r="AA136">
            <v>4060</v>
          </cell>
          <cell r="AE136">
            <v>6398</v>
          </cell>
          <cell r="AH136">
            <v>4132</v>
          </cell>
          <cell r="AN136">
            <v>1873</v>
          </cell>
          <cell r="AQ136">
            <v>3105</v>
          </cell>
          <cell r="AT136">
            <v>2232</v>
          </cell>
          <cell r="AW136">
            <v>250</v>
          </cell>
          <cell r="AZ136">
            <v>1150</v>
          </cell>
          <cell r="BC136">
            <v>482</v>
          </cell>
          <cell r="BF136">
            <v>481</v>
          </cell>
          <cell r="BN136">
            <v>0</v>
          </cell>
        </row>
        <row r="137">
          <cell r="B137">
            <v>890</v>
          </cell>
          <cell r="C137" t="str">
            <v>Blackpool</v>
          </cell>
          <cell r="J137">
            <v>1</v>
          </cell>
          <cell r="X137">
            <v>27511.969000000005</v>
          </cell>
          <cell r="AA137">
            <v>4867</v>
          </cell>
          <cell r="AE137">
            <v>3751</v>
          </cell>
          <cell r="AH137">
            <v>1904</v>
          </cell>
          <cell r="AN137">
            <v>2727</v>
          </cell>
          <cell r="AQ137">
            <v>2989</v>
          </cell>
          <cell r="AT137">
            <v>5361</v>
          </cell>
          <cell r="AW137">
            <v>187</v>
          </cell>
          <cell r="AZ137">
            <v>1080</v>
          </cell>
          <cell r="BC137">
            <v>334</v>
          </cell>
          <cell r="BF137">
            <v>565</v>
          </cell>
          <cell r="BN137">
            <v>0</v>
          </cell>
        </row>
        <row r="138">
          <cell r="B138">
            <v>891</v>
          </cell>
          <cell r="C138" t="str">
            <v>Nottinghamshire</v>
          </cell>
          <cell r="J138">
            <v>1.0041582963367661</v>
          </cell>
          <cell r="X138">
            <v>163087.32207910647</v>
          </cell>
          <cell r="AA138">
            <v>13064.099435341328</v>
          </cell>
          <cell r="AE138">
            <v>15795.410001377331</v>
          </cell>
          <cell r="AH138">
            <v>12058.936980708224</v>
          </cell>
          <cell r="AN138">
            <v>9252.3145424469622</v>
          </cell>
          <cell r="AQ138">
            <v>6849.3637393130821</v>
          </cell>
          <cell r="AT138">
            <v>2093.6700478621574</v>
          </cell>
          <cell r="AW138">
            <v>819.39316981080117</v>
          </cell>
          <cell r="AZ138">
            <v>6165.531939507744</v>
          </cell>
          <cell r="BC138">
            <v>1713.0940535505231</v>
          </cell>
          <cell r="BF138">
            <v>1815.5181997768732</v>
          </cell>
          <cell r="BN138">
            <v>0</v>
          </cell>
        </row>
        <row r="139">
          <cell r="B139">
            <v>892</v>
          </cell>
          <cell r="C139" t="str">
            <v>Nottingham</v>
          </cell>
          <cell r="J139">
            <v>1.0041582963367661</v>
          </cell>
          <cell r="X139">
            <v>66675.978327866163</v>
          </cell>
          <cell r="AA139">
            <v>10694.28585598656</v>
          </cell>
          <cell r="AE139">
            <v>4773.7685407849858</v>
          </cell>
          <cell r="AH139">
            <v>4911.338227383123</v>
          </cell>
          <cell r="AN139">
            <v>10314.714019971261</v>
          </cell>
          <cell r="AQ139">
            <v>14554.270347105088</v>
          </cell>
          <cell r="AT139">
            <v>9088.6367401440693</v>
          </cell>
          <cell r="AW139">
            <v>529.1914221694758</v>
          </cell>
          <cell r="AZ139">
            <v>2640.936319365695</v>
          </cell>
          <cell r="BC139">
            <v>949.93374833458074</v>
          </cell>
          <cell r="BF139">
            <v>1427.9130973908814</v>
          </cell>
          <cell r="BN139">
            <v>0</v>
          </cell>
        </row>
        <row r="140">
          <cell r="B140">
            <v>893</v>
          </cell>
          <cell r="C140" t="str">
            <v>Shropshire</v>
          </cell>
          <cell r="J140">
            <v>1</v>
          </cell>
          <cell r="X140">
            <v>57207.201000000008</v>
          </cell>
          <cell r="AA140">
            <v>3228</v>
          </cell>
          <cell r="AE140">
            <v>3724</v>
          </cell>
          <cell r="AH140">
            <v>2555</v>
          </cell>
          <cell r="AN140">
            <v>882</v>
          </cell>
          <cell r="AQ140">
            <v>247</v>
          </cell>
          <cell r="AT140">
            <v>463</v>
          </cell>
          <cell r="AW140">
            <v>266</v>
          </cell>
          <cell r="AZ140">
            <v>1610</v>
          </cell>
          <cell r="BC140">
            <v>560</v>
          </cell>
          <cell r="BF140">
            <v>598</v>
          </cell>
          <cell r="BN140">
            <v>0</v>
          </cell>
        </row>
        <row r="141">
          <cell r="B141">
            <v>894</v>
          </cell>
          <cell r="C141" t="str">
            <v>Telford and Wrekin</v>
          </cell>
          <cell r="J141">
            <v>1</v>
          </cell>
          <cell r="X141">
            <v>37788.04</v>
          </cell>
          <cell r="AA141">
            <v>4277</v>
          </cell>
          <cell r="AE141">
            <v>4772</v>
          </cell>
          <cell r="AH141">
            <v>2932</v>
          </cell>
          <cell r="AN141">
            <v>2677</v>
          </cell>
          <cell r="AQ141">
            <v>1342</v>
          </cell>
          <cell r="AT141">
            <v>3821</v>
          </cell>
          <cell r="AW141">
            <v>248</v>
          </cell>
          <cell r="AZ141">
            <v>1540</v>
          </cell>
          <cell r="BC141">
            <v>457</v>
          </cell>
          <cell r="BF141">
            <v>658</v>
          </cell>
          <cell r="BN141">
            <v>0</v>
          </cell>
        </row>
        <row r="142">
          <cell r="B142">
            <v>895</v>
          </cell>
          <cell r="C142" t="str">
            <v>Cheshire East</v>
          </cell>
          <cell r="J142">
            <v>1.0054548012657853</v>
          </cell>
          <cell r="X142">
            <v>73572.138140292504</v>
          </cell>
          <cell r="AA142">
            <v>4320.43928103908</v>
          </cell>
          <cell r="AE142">
            <v>4280.2210889884482</v>
          </cell>
          <cell r="AH142">
            <v>5023.2521871238632</v>
          </cell>
          <cell r="AN142">
            <v>2635.2970341176233</v>
          </cell>
          <cell r="AQ142">
            <v>874.74567710123324</v>
          </cell>
          <cell r="AT142">
            <v>419.2746521278325</v>
          </cell>
          <cell r="AW142">
            <v>271.47279634176203</v>
          </cell>
          <cell r="AZ142">
            <v>2031.0186985568864</v>
          </cell>
          <cell r="BC142">
            <v>648.51834681643152</v>
          </cell>
          <cell r="BF142">
            <v>807.38020541642561</v>
          </cell>
          <cell r="BN142">
            <v>0</v>
          </cell>
        </row>
        <row r="143">
          <cell r="B143">
            <v>896</v>
          </cell>
          <cell r="C143" t="str">
            <v>Cheshire West and Chester</v>
          </cell>
          <cell r="J143">
            <v>1.0054548012657853</v>
          </cell>
          <cell r="X143">
            <v>64665.237352350239</v>
          </cell>
          <cell r="AA143">
            <v>5226.3540569795523</v>
          </cell>
          <cell r="AE143">
            <v>4168.6156060479461</v>
          </cell>
          <cell r="AH143">
            <v>2435.2115286657322</v>
          </cell>
          <cell r="AN143">
            <v>3765.428230740366</v>
          </cell>
          <cell r="AQ143">
            <v>3656.8391122036614</v>
          </cell>
          <cell r="AT143">
            <v>1386.5221709455179</v>
          </cell>
          <cell r="AW143">
            <v>303.6473499822672</v>
          </cell>
          <cell r="AZ143">
            <v>2392.9824270125691</v>
          </cell>
          <cell r="BC143">
            <v>658.57289482908936</v>
          </cell>
          <cell r="BF143">
            <v>810.39656982022302</v>
          </cell>
          <cell r="BN143">
            <v>0</v>
          </cell>
        </row>
        <row r="144">
          <cell r="B144">
            <v>908</v>
          </cell>
          <cell r="C144" t="str">
            <v>Cornwall</v>
          </cell>
          <cell r="J144">
            <v>1</v>
          </cell>
          <cell r="X144">
            <v>107259.82199999999</v>
          </cell>
          <cell r="AA144">
            <v>8014</v>
          </cell>
          <cell r="AE144">
            <v>11572</v>
          </cell>
          <cell r="AH144">
            <v>6317</v>
          </cell>
          <cell r="AN144">
            <v>3993</v>
          </cell>
          <cell r="AQ144">
            <v>3589</v>
          </cell>
          <cell r="AT144">
            <v>0</v>
          </cell>
          <cell r="AW144">
            <v>574</v>
          </cell>
          <cell r="AZ144">
            <v>3460</v>
          </cell>
          <cell r="BC144">
            <v>1187</v>
          </cell>
          <cell r="BF144">
            <v>1244</v>
          </cell>
          <cell r="BN144">
            <v>0</v>
          </cell>
        </row>
        <row r="145">
          <cell r="B145">
            <v>909</v>
          </cell>
          <cell r="C145" t="str">
            <v>Cumbria</v>
          </cell>
          <cell r="J145">
            <v>1</v>
          </cell>
          <cell r="X145">
            <v>87244.594000000012</v>
          </cell>
          <cell r="AA145">
            <v>6401</v>
          </cell>
          <cell r="AE145">
            <v>7851</v>
          </cell>
          <cell r="AH145">
            <v>5059</v>
          </cell>
          <cell r="AN145">
            <v>1596</v>
          </cell>
          <cell r="AQ145">
            <v>4732</v>
          </cell>
          <cell r="AT145">
            <v>2098</v>
          </cell>
          <cell r="AW145">
            <v>445</v>
          </cell>
          <cell r="AZ145">
            <v>2520</v>
          </cell>
          <cell r="BC145">
            <v>963</v>
          </cell>
          <cell r="BF145">
            <v>1374</v>
          </cell>
          <cell r="BN145">
            <v>0</v>
          </cell>
        </row>
        <row r="146">
          <cell r="B146">
            <v>916</v>
          </cell>
          <cell r="C146" t="str">
            <v>Gloucestershire</v>
          </cell>
          <cell r="J146">
            <v>1.0094696081392127</v>
          </cell>
          <cell r="X146">
            <v>126390.15471324939</v>
          </cell>
          <cell r="AA146">
            <v>8739.987867269303</v>
          </cell>
          <cell r="AE146">
            <v>9651.5389234190134</v>
          </cell>
          <cell r="AH146">
            <v>8506.800387789146</v>
          </cell>
          <cell r="AN146">
            <v>4039.8973717731292</v>
          </cell>
          <cell r="AQ146">
            <v>4499.2060434764708</v>
          </cell>
          <cell r="AT146">
            <v>716.72342177884104</v>
          </cell>
          <cell r="AW146">
            <v>552.17987565214935</v>
          </cell>
          <cell r="AZ146">
            <v>3058.6929126618147</v>
          </cell>
          <cell r="BC146">
            <v>1135.6533091566143</v>
          </cell>
          <cell r="BF146">
            <v>1568.7157710483366</v>
          </cell>
          <cell r="BN146">
            <v>0</v>
          </cell>
        </row>
        <row r="147">
          <cell r="B147">
            <v>919</v>
          </cell>
          <cell r="C147" t="str">
            <v>Hertfordshire</v>
          </cell>
          <cell r="J147">
            <v>1.0525261171555516</v>
          </cell>
          <cell r="X147">
            <v>288551.96850867168</v>
          </cell>
          <cell r="AA147">
            <v>14861.668774236388</v>
          </cell>
          <cell r="AE147">
            <v>24675.42229059475</v>
          </cell>
          <cell r="AH147">
            <v>19628.55955883388</v>
          </cell>
          <cell r="AN147">
            <v>3795.409178462919</v>
          </cell>
          <cell r="AQ147">
            <v>2165.0462229889695</v>
          </cell>
          <cell r="AT147">
            <v>0</v>
          </cell>
          <cell r="AW147">
            <v>1171.4615683941288</v>
          </cell>
          <cell r="AZ147">
            <v>7336.1070365741944</v>
          </cell>
          <cell r="BC147">
            <v>2187.149271449236</v>
          </cell>
          <cell r="BF147">
            <v>2656.5759197006123</v>
          </cell>
          <cell r="BN147">
            <v>0</v>
          </cell>
        </row>
        <row r="148">
          <cell r="B148">
            <v>921</v>
          </cell>
          <cell r="C148" t="str">
            <v>Isle of Wight</v>
          </cell>
          <cell r="J148">
            <v>1.0213260495386489</v>
          </cell>
          <cell r="X148">
            <v>25239.108404825896</v>
          </cell>
          <cell r="AA148">
            <v>2300.0262635610375</v>
          </cell>
          <cell r="AE148">
            <v>6099.3591678448111</v>
          </cell>
          <cell r="AH148">
            <v>1778.1286522467879</v>
          </cell>
          <cell r="AN148">
            <v>561.72932724625696</v>
          </cell>
          <cell r="AQ148">
            <v>1738.2969363147804</v>
          </cell>
          <cell r="AT148">
            <v>0</v>
          </cell>
          <cell r="AW148">
            <v>139.9216687867949</v>
          </cell>
          <cell r="AZ148">
            <v>1041.752570529422</v>
          </cell>
          <cell r="BC148">
            <v>329.8883140009836</v>
          </cell>
          <cell r="BF148">
            <v>638.32878096165553</v>
          </cell>
          <cell r="BN148">
            <v>0</v>
          </cell>
        </row>
        <row r="149">
          <cell r="B149">
            <v>925</v>
          </cell>
          <cell r="C149" t="str">
            <v>Lincolnshire</v>
          </cell>
          <cell r="J149">
            <v>1</v>
          </cell>
          <cell r="X149">
            <v>142861.51800000001</v>
          </cell>
          <cell r="AA149">
            <v>13124</v>
          </cell>
          <cell r="AE149">
            <v>13377</v>
          </cell>
          <cell r="AH149">
            <v>10256</v>
          </cell>
          <cell r="AN149">
            <v>5838</v>
          </cell>
          <cell r="AQ149">
            <v>5725</v>
          </cell>
          <cell r="AT149">
            <v>2235</v>
          </cell>
          <cell r="AW149">
            <v>722</v>
          </cell>
          <cell r="AZ149">
            <v>5420</v>
          </cell>
          <cell r="BC149">
            <v>1588</v>
          </cell>
          <cell r="BF149">
            <v>2084</v>
          </cell>
          <cell r="BN149">
            <v>0</v>
          </cell>
        </row>
        <row r="150">
          <cell r="B150">
            <v>926</v>
          </cell>
          <cell r="C150" t="str">
            <v>Norfolk</v>
          </cell>
          <cell r="J150">
            <v>1</v>
          </cell>
          <cell r="X150">
            <v>168105.42199999996</v>
          </cell>
          <cell r="AA150">
            <v>14146</v>
          </cell>
          <cell r="AE150">
            <v>12852</v>
          </cell>
          <cell r="AH150">
            <v>9939</v>
          </cell>
          <cell r="AN150">
            <v>6367</v>
          </cell>
          <cell r="AQ150">
            <v>8838</v>
          </cell>
          <cell r="AT150">
            <v>3037</v>
          </cell>
          <cell r="AW150">
            <v>911</v>
          </cell>
          <cell r="AZ150">
            <v>6140</v>
          </cell>
          <cell r="BC150">
            <v>2140</v>
          </cell>
          <cell r="BF150">
            <v>1802</v>
          </cell>
          <cell r="BN150">
            <v>0</v>
          </cell>
        </row>
        <row r="151">
          <cell r="B151">
            <v>928</v>
          </cell>
          <cell r="C151" t="str">
            <v>Northamptonshire</v>
          </cell>
          <cell r="J151">
            <v>1.004938767636737</v>
          </cell>
          <cell r="X151">
            <v>164107.5428765812</v>
          </cell>
          <cell r="AA151">
            <v>12196.941822807077</v>
          </cell>
          <cell r="AE151">
            <v>11517.603215884643</v>
          </cell>
          <cell r="AH151">
            <v>10867.407833223673</v>
          </cell>
          <cell r="AN151">
            <v>8168.1423033513984</v>
          </cell>
          <cell r="AQ151">
            <v>6212.5314615303078</v>
          </cell>
          <cell r="AT151">
            <v>2172.6776156306255</v>
          </cell>
          <cell r="AW151">
            <v>752.69913695991602</v>
          </cell>
          <cell r="AZ151">
            <v>5245.7803670637668</v>
          </cell>
          <cell r="BC151">
            <v>1954.6059030534534</v>
          </cell>
          <cell r="BF151">
            <v>2283.2208800706662</v>
          </cell>
          <cell r="BN151">
            <v>0</v>
          </cell>
        </row>
        <row r="152">
          <cell r="B152">
            <v>929</v>
          </cell>
          <cell r="C152" t="str">
            <v>Northumberland</v>
          </cell>
          <cell r="J152">
            <v>1</v>
          </cell>
          <cell r="X152">
            <v>55826.221000000005</v>
          </cell>
          <cell r="AA152">
            <v>5321</v>
          </cell>
          <cell r="AE152">
            <v>5024</v>
          </cell>
          <cell r="AH152">
            <v>3870</v>
          </cell>
          <cell r="AN152">
            <v>5074</v>
          </cell>
          <cell r="AQ152">
            <v>5705</v>
          </cell>
          <cell r="AT152">
            <v>1232</v>
          </cell>
          <cell r="AW152">
            <v>296</v>
          </cell>
          <cell r="AZ152">
            <v>2240</v>
          </cell>
          <cell r="BC152">
            <v>620</v>
          </cell>
          <cell r="BF152">
            <v>1111</v>
          </cell>
          <cell r="BN152">
            <v>0</v>
          </cell>
        </row>
        <row r="153">
          <cell r="B153">
            <v>931</v>
          </cell>
          <cell r="C153" t="str">
            <v>Oxfordshire</v>
          </cell>
          <cell r="J153">
            <v>1.0333689168320959</v>
          </cell>
          <cell r="X153">
            <v>147238.0789634742</v>
          </cell>
          <cell r="AA153">
            <v>7870.1376705932416</v>
          </cell>
          <cell r="AE153">
            <v>11065.314361438082</v>
          </cell>
          <cell r="AH153">
            <v>6397.5869641075051</v>
          </cell>
          <cell r="AN153">
            <v>3172.4425746745342</v>
          </cell>
          <cell r="AQ153">
            <v>2030.5699215750683</v>
          </cell>
          <cell r="AT153">
            <v>0</v>
          </cell>
          <cell r="AW153">
            <v>521.85130300020842</v>
          </cell>
          <cell r="AZ153">
            <v>3658.1259655856193</v>
          </cell>
          <cell r="BC153">
            <v>1369.2138148025269</v>
          </cell>
          <cell r="BF153">
            <v>1693.6916546878051</v>
          </cell>
          <cell r="BN153">
            <v>0</v>
          </cell>
        </row>
        <row r="154">
          <cell r="B154">
            <v>933</v>
          </cell>
          <cell r="C154" t="str">
            <v>Somerset</v>
          </cell>
          <cell r="J154">
            <v>1</v>
          </cell>
          <cell r="X154">
            <v>109378.18400000001</v>
          </cell>
          <cell r="AA154">
            <v>7353</v>
          </cell>
          <cell r="AE154">
            <v>9541</v>
          </cell>
          <cell r="AH154">
            <v>8367</v>
          </cell>
          <cell r="AN154">
            <v>1860</v>
          </cell>
          <cell r="AQ154">
            <v>3316</v>
          </cell>
          <cell r="AT154">
            <v>461</v>
          </cell>
          <cell r="AW154">
            <v>502</v>
          </cell>
          <cell r="AZ154">
            <v>2990</v>
          </cell>
          <cell r="BC154">
            <v>1129</v>
          </cell>
          <cell r="BF154">
            <v>1339</v>
          </cell>
          <cell r="BN154">
            <v>0</v>
          </cell>
        </row>
        <row r="155">
          <cell r="B155">
            <v>935</v>
          </cell>
          <cell r="C155" t="str">
            <v>Suffolk</v>
          </cell>
          <cell r="J155">
            <v>1.0000359327175439</v>
          </cell>
          <cell r="X155">
            <v>147641.2829618968</v>
          </cell>
          <cell r="AA155">
            <v>12238.439744597303</v>
          </cell>
          <cell r="AE155">
            <v>11959.429719369107</v>
          </cell>
          <cell r="AH155">
            <v>7170.2576375847893</v>
          </cell>
          <cell r="AN155">
            <v>4897.175962517812</v>
          </cell>
          <cell r="AQ155">
            <v>4200.1509174136845</v>
          </cell>
          <cell r="AT155">
            <v>787.02827904870708</v>
          </cell>
          <cell r="AW155">
            <v>731.02626681652453</v>
          </cell>
          <cell r="AZ155">
            <v>4830.1735550257372</v>
          </cell>
          <cell r="BC155">
            <v>1839.0660802675632</v>
          </cell>
          <cell r="BF155">
            <v>2033.0730512147668</v>
          </cell>
          <cell r="BN155">
            <v>0</v>
          </cell>
        </row>
        <row r="156">
          <cell r="B156">
            <v>936</v>
          </cell>
          <cell r="C156" t="str">
            <v>Surrey</v>
          </cell>
          <cell r="J156">
            <v>1.0744343550114952</v>
          </cell>
          <cell r="X156">
            <v>282722.1843819393</v>
          </cell>
          <cell r="AA156">
            <v>11382.55755699178</v>
          </cell>
          <cell r="AE156">
            <v>12942.636240468471</v>
          </cell>
          <cell r="AH156">
            <v>9749.417337374307</v>
          </cell>
          <cell r="AN156">
            <v>1719.0949680183924</v>
          </cell>
          <cell r="AQ156">
            <v>737.06196753788572</v>
          </cell>
          <cell r="AT156">
            <v>0</v>
          </cell>
          <cell r="AW156">
            <v>1037.9035869411043</v>
          </cell>
          <cell r="AZ156">
            <v>7424.3413931294317</v>
          </cell>
          <cell r="BC156">
            <v>2111.2635075975882</v>
          </cell>
          <cell r="BF156">
            <v>2543.1861183122091</v>
          </cell>
          <cell r="BN156">
            <v>0</v>
          </cell>
        </row>
        <row r="157">
          <cell r="B157">
            <v>937</v>
          </cell>
          <cell r="C157" t="str">
            <v>Warwickshire</v>
          </cell>
          <cell r="J157">
            <v>1.0105351699887246</v>
          </cell>
          <cell r="X157">
            <v>112297.03142911251</v>
          </cell>
          <cell r="AA157">
            <v>6723.0904859349848</v>
          </cell>
          <cell r="AE157">
            <v>12483.140954870714</v>
          </cell>
          <cell r="AH157">
            <v>5861.1039859346029</v>
          </cell>
          <cell r="AN157">
            <v>0</v>
          </cell>
          <cell r="AQ157">
            <v>1619.8878774919256</v>
          </cell>
          <cell r="AT157">
            <v>1492.5604460733462</v>
          </cell>
          <cell r="AW157">
            <v>460.80403751485841</v>
          </cell>
          <cell r="AZ157">
            <v>3536.873094960536</v>
          </cell>
          <cell r="BC157">
            <v>1091.3779835878227</v>
          </cell>
          <cell r="BF157">
            <v>1191.4209654167064</v>
          </cell>
          <cell r="BN157">
            <v>0</v>
          </cell>
        </row>
        <row r="158">
          <cell r="B158">
            <v>938</v>
          </cell>
          <cell r="C158" t="str">
            <v>West Sussex</v>
          </cell>
          <cell r="J158">
            <v>1.0111639788232589</v>
          </cell>
          <cell r="X158">
            <v>174152.63354326479</v>
          </cell>
          <cell r="AA158">
            <v>8862.8522743858648</v>
          </cell>
          <cell r="AE158">
            <v>15057.242808657149</v>
          </cell>
          <cell r="AH158">
            <v>12800.324807923635</v>
          </cell>
          <cell r="AN158">
            <v>1043.5212261456031</v>
          </cell>
          <cell r="AQ158">
            <v>1900.9882801877268</v>
          </cell>
          <cell r="AT158">
            <v>0</v>
          </cell>
          <cell r="AW158">
            <v>752.30600024450462</v>
          </cell>
          <cell r="AZ158">
            <v>4600.7961036458282</v>
          </cell>
          <cell r="BC158">
            <v>1771.5592908983497</v>
          </cell>
          <cell r="BF158">
            <v>2299.3868878440908</v>
          </cell>
          <cell r="BN158">
            <v>0</v>
          </cell>
        </row>
      </sheetData>
      <sheetData sheetId="27"/>
      <sheetData sheetId="28"/>
      <sheetData sheetId="29"/>
      <sheetData sheetId="30">
        <row r="5">
          <cell r="AD5">
            <v>3</v>
          </cell>
        </row>
        <row r="6">
          <cell r="AD6">
            <v>45</v>
          </cell>
        </row>
        <row r="7">
          <cell r="AD7">
            <v>2</v>
          </cell>
        </row>
        <row r="8">
          <cell r="AD8">
            <v>43</v>
          </cell>
        </row>
        <row r="9">
          <cell r="AD9">
            <v>50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Theme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contact-df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7">
    <tabColor theme="8"/>
  </sheetPr>
  <dimension ref="A1:C53"/>
  <sheetViews>
    <sheetView showGridLines="0" tabSelected="1" zoomScale="90" zoomScaleNormal="90" workbookViewId="0">
      <selection activeCell="A9" sqref="A9"/>
    </sheetView>
  </sheetViews>
  <sheetFormatPr defaultColWidth="9.1328125" defaultRowHeight="14.25" x14ac:dyDescent="0.45"/>
  <cols>
    <col min="1" max="1" width="4.33203125" style="319" customWidth="1"/>
    <col min="2" max="2" width="18.33203125" style="319" customWidth="1"/>
    <col min="3" max="3" width="160.86328125" style="319" customWidth="1"/>
    <col min="4" max="16384" width="9.1328125" style="319"/>
  </cols>
  <sheetData>
    <row r="1" spans="1:3" s="306" customFormat="1" ht="15" x14ac:dyDescent="0.4"/>
    <row r="2" spans="1:3" s="306" customFormat="1" ht="15" x14ac:dyDescent="0.4"/>
    <row r="3" spans="1:3" s="306" customFormat="1" ht="15" x14ac:dyDescent="0.4"/>
    <row r="4" spans="1:3" s="306" customFormat="1" ht="15" x14ac:dyDescent="0.4"/>
    <row r="5" spans="1:3" s="306" customFormat="1" ht="15" x14ac:dyDescent="0.4"/>
    <row r="6" spans="1:3" s="306" customFormat="1" ht="15" x14ac:dyDescent="0.4"/>
    <row r="7" spans="1:3" s="306" customFormat="1" ht="15" x14ac:dyDescent="0.4"/>
    <row r="8" spans="1:3" s="306" customFormat="1" ht="15" x14ac:dyDescent="0.4"/>
    <row r="9" spans="1:3" s="306" customFormat="1" ht="15" x14ac:dyDescent="0.4"/>
    <row r="10" spans="1:3" s="306" customFormat="1" ht="25.15" x14ac:dyDescent="0.4">
      <c r="A10" s="307" t="s">
        <v>0</v>
      </c>
      <c r="B10" s="307"/>
    </row>
    <row r="11" spans="1:3" s="308" customFormat="1" ht="15" x14ac:dyDescent="0.45"/>
    <row r="12" spans="1:3" s="308" customFormat="1" ht="15" x14ac:dyDescent="0.45">
      <c r="A12" s="309" t="s">
        <v>1</v>
      </c>
      <c r="B12" s="310"/>
    </row>
    <row r="13" spans="1:3" s="308" customFormat="1" ht="15" x14ac:dyDescent="0.45">
      <c r="A13" s="309"/>
      <c r="B13" s="310"/>
    </row>
    <row r="14" spans="1:3" s="308" customFormat="1" ht="51.75" customHeight="1" x14ac:dyDescent="0.45">
      <c r="A14" s="311" t="s">
        <v>2</v>
      </c>
      <c r="B14" s="354" t="s">
        <v>3</v>
      </c>
      <c r="C14" s="354"/>
    </row>
    <row r="15" spans="1:3" s="308" customFormat="1" ht="33.700000000000003" customHeight="1" x14ac:dyDescent="0.45">
      <c r="A15" s="311" t="s">
        <v>2</v>
      </c>
      <c r="B15" s="354" t="s">
        <v>476</v>
      </c>
      <c r="C15" s="354"/>
    </row>
    <row r="16" spans="1:3" s="308" customFormat="1" ht="15" x14ac:dyDescent="0.35">
      <c r="A16" s="311"/>
      <c r="B16" s="312" t="s">
        <v>4</v>
      </c>
      <c r="C16" s="310"/>
    </row>
    <row r="17" spans="1:3" s="308" customFormat="1" ht="15" x14ac:dyDescent="0.45"/>
    <row r="18" spans="1:3" s="308" customFormat="1" ht="15" x14ac:dyDescent="0.45">
      <c r="A18" s="309" t="s">
        <v>5</v>
      </c>
      <c r="B18" s="309"/>
    </row>
    <row r="19" spans="1:3" s="308" customFormat="1" ht="15" x14ac:dyDescent="0.45">
      <c r="A19" s="309"/>
      <c r="B19" s="309"/>
    </row>
    <row r="20" spans="1:3" s="308" customFormat="1" ht="15" x14ac:dyDescent="0.45">
      <c r="A20" s="313" t="s">
        <v>6</v>
      </c>
      <c r="B20" s="313"/>
    </row>
    <row r="21" spans="1:3" s="308" customFormat="1" ht="15" x14ac:dyDescent="0.45"/>
    <row r="22" spans="1:3" s="308" customFormat="1" ht="15" x14ac:dyDescent="0.45">
      <c r="A22" s="314" t="s">
        <v>7</v>
      </c>
      <c r="B22" s="314"/>
    </row>
    <row r="23" spans="1:3" s="308" customFormat="1" ht="15" x14ac:dyDescent="0.45">
      <c r="A23" s="314" t="s">
        <v>8</v>
      </c>
      <c r="B23" s="314"/>
    </row>
    <row r="24" spans="1:3" s="308" customFormat="1" ht="15" x14ac:dyDescent="0.45">
      <c r="A24" s="332" t="s">
        <v>9</v>
      </c>
      <c r="B24" s="332"/>
      <c r="C24" s="333"/>
    </row>
    <row r="25" spans="1:3" s="308" customFormat="1" ht="15" x14ac:dyDescent="0.45">
      <c r="A25" s="332" t="s">
        <v>10</v>
      </c>
      <c r="B25" s="332"/>
      <c r="C25" s="333"/>
    </row>
    <row r="26" spans="1:3" s="308" customFormat="1" ht="15" x14ac:dyDescent="0.45">
      <c r="A26" s="332" t="s">
        <v>11</v>
      </c>
      <c r="B26" s="332"/>
      <c r="C26" s="333"/>
    </row>
    <row r="27" spans="1:3" s="308" customFormat="1" ht="48" customHeight="1" x14ac:dyDescent="0.45">
      <c r="A27" s="357" t="s">
        <v>477</v>
      </c>
      <c r="B27" s="357"/>
      <c r="C27" s="358"/>
    </row>
    <row r="28" spans="1:3" s="306" customFormat="1" ht="47.2" customHeight="1" x14ac:dyDescent="0.4">
      <c r="A28" s="355" t="s">
        <v>475</v>
      </c>
      <c r="B28" s="355"/>
      <c r="C28" s="355"/>
    </row>
    <row r="29" spans="1:3" s="321" customFormat="1" ht="31.5" customHeight="1" x14ac:dyDescent="0.4">
      <c r="A29" s="356" t="s">
        <v>504</v>
      </c>
      <c r="B29" s="356"/>
      <c r="C29" s="356"/>
    </row>
    <row r="30" spans="1:3" s="306" customFormat="1" ht="14.25" customHeight="1" x14ac:dyDescent="0.4">
      <c r="A30" s="356"/>
      <c r="B30" s="356"/>
      <c r="C30" s="356"/>
    </row>
    <row r="31" spans="1:3" s="306" customFormat="1" ht="15" x14ac:dyDescent="0.4">
      <c r="A31" s="306" t="s">
        <v>12</v>
      </c>
    </row>
    <row r="32" spans="1:3" s="306" customFormat="1" ht="15" x14ac:dyDescent="0.4">
      <c r="A32" s="315"/>
      <c r="B32" s="315"/>
    </row>
    <row r="33" spans="1:3" s="306" customFormat="1" ht="15" x14ac:dyDescent="0.4">
      <c r="A33" s="315" t="s">
        <v>13</v>
      </c>
      <c r="B33" s="315"/>
    </row>
    <row r="34" spans="1:3" s="306" customFormat="1" ht="15" x14ac:dyDescent="0.4"/>
    <row r="35" spans="1:3" s="306" customFormat="1" ht="15" x14ac:dyDescent="0.4">
      <c r="B35" s="323" t="s">
        <v>14</v>
      </c>
      <c r="C35" s="306" t="s">
        <v>15</v>
      </c>
    </row>
    <row r="36" spans="1:3" s="306" customFormat="1" ht="15" x14ac:dyDescent="0.4">
      <c r="A36" s="316"/>
      <c r="B36" s="316" t="s">
        <v>16</v>
      </c>
      <c r="C36" s="308" t="s">
        <v>17</v>
      </c>
    </row>
    <row r="37" spans="1:3" s="306" customFormat="1" ht="15" x14ac:dyDescent="0.4">
      <c r="A37" s="316"/>
      <c r="B37" s="316" t="s">
        <v>18</v>
      </c>
      <c r="C37" s="308" t="s">
        <v>19</v>
      </c>
    </row>
    <row r="38" spans="1:3" s="306" customFormat="1" ht="15" x14ac:dyDescent="0.4">
      <c r="A38" s="316"/>
      <c r="B38" s="316" t="s">
        <v>20</v>
      </c>
      <c r="C38" s="308" t="s">
        <v>21</v>
      </c>
    </row>
    <row r="39" spans="1:3" s="306" customFormat="1" ht="15" x14ac:dyDescent="0.4">
      <c r="A39" s="317"/>
      <c r="B39" s="317" t="s">
        <v>22</v>
      </c>
      <c r="C39" s="310" t="s">
        <v>23</v>
      </c>
    </row>
    <row r="40" spans="1:3" s="306" customFormat="1" ht="15" x14ac:dyDescent="0.4">
      <c r="A40" s="316"/>
      <c r="B40" s="316" t="s">
        <v>24</v>
      </c>
      <c r="C40" s="308" t="s">
        <v>25</v>
      </c>
    </row>
    <row r="41" spans="1:3" s="306" customFormat="1" ht="15" x14ac:dyDescent="0.4">
      <c r="A41" s="316"/>
      <c r="B41" s="316" t="s">
        <v>26</v>
      </c>
      <c r="C41" s="308" t="s">
        <v>27</v>
      </c>
    </row>
    <row r="42" spans="1:3" s="306" customFormat="1" ht="15" x14ac:dyDescent="0.4">
      <c r="A42" s="316"/>
      <c r="B42" s="316" t="s">
        <v>28</v>
      </c>
      <c r="C42" s="308" t="s">
        <v>29</v>
      </c>
    </row>
    <row r="43" spans="1:3" s="306" customFormat="1" ht="15" x14ac:dyDescent="0.4">
      <c r="A43" s="316"/>
      <c r="B43" s="316" t="s">
        <v>30</v>
      </c>
      <c r="C43" s="318" t="s">
        <v>31</v>
      </c>
    </row>
    <row r="44" spans="1:3" s="306" customFormat="1" ht="15" x14ac:dyDescent="0.4">
      <c r="A44" s="316"/>
      <c r="B44" s="316" t="s">
        <v>32</v>
      </c>
      <c r="C44" s="308" t="s">
        <v>33</v>
      </c>
    </row>
    <row r="45" spans="1:3" s="306" customFormat="1" ht="15" x14ac:dyDescent="0.4">
      <c r="A45" s="316"/>
      <c r="B45" s="316" t="s">
        <v>34</v>
      </c>
      <c r="C45" s="308" t="s">
        <v>35</v>
      </c>
    </row>
    <row r="46" spans="1:3" s="306" customFormat="1" ht="15" x14ac:dyDescent="0.4">
      <c r="A46" s="316"/>
      <c r="B46" s="316" t="s">
        <v>36</v>
      </c>
      <c r="C46" s="308" t="s">
        <v>37</v>
      </c>
    </row>
    <row r="47" spans="1:3" s="306" customFormat="1" ht="15" x14ac:dyDescent="0.4">
      <c r="A47" s="316"/>
      <c r="B47" s="316" t="s">
        <v>38</v>
      </c>
      <c r="C47" s="308" t="s">
        <v>39</v>
      </c>
    </row>
    <row r="48" spans="1:3" s="306" customFormat="1" ht="15" x14ac:dyDescent="0.4">
      <c r="A48" s="316"/>
      <c r="B48" s="316" t="s">
        <v>40</v>
      </c>
      <c r="C48" s="308" t="s">
        <v>41</v>
      </c>
    </row>
    <row r="49" spans="1:3" s="306" customFormat="1" ht="15" x14ac:dyDescent="0.4">
      <c r="A49" s="316"/>
      <c r="B49" s="316" t="s">
        <v>42</v>
      </c>
      <c r="C49" s="308" t="s">
        <v>43</v>
      </c>
    </row>
    <row r="50" spans="1:3" s="306" customFormat="1" ht="15" x14ac:dyDescent="0.4">
      <c r="A50" s="316"/>
      <c r="B50" s="316" t="s">
        <v>44</v>
      </c>
      <c r="C50" s="308" t="s">
        <v>45</v>
      </c>
    </row>
    <row r="51" spans="1:3" s="306" customFormat="1" ht="15.75" customHeight="1" x14ac:dyDescent="0.4">
      <c r="A51" s="316"/>
      <c r="B51" s="316" t="s">
        <v>46</v>
      </c>
      <c r="C51" s="310" t="s">
        <v>47</v>
      </c>
    </row>
    <row r="52" spans="1:3" s="306" customFormat="1" ht="15" x14ac:dyDescent="0.4">
      <c r="A52" s="316"/>
      <c r="B52" s="316" t="s">
        <v>48</v>
      </c>
      <c r="C52" s="308" t="s">
        <v>49</v>
      </c>
    </row>
    <row r="53" spans="1:3" s="306" customFormat="1" ht="15" x14ac:dyDescent="0.4">
      <c r="A53" s="316"/>
      <c r="B53" s="316"/>
      <c r="C53" s="308"/>
    </row>
  </sheetData>
  <mergeCells count="6">
    <mergeCell ref="B14:C14"/>
    <mergeCell ref="B15:C15"/>
    <mergeCell ref="A28:C28"/>
    <mergeCell ref="A30:C30"/>
    <mergeCell ref="A29:C29"/>
    <mergeCell ref="A27:C27"/>
  </mergeCells>
  <hyperlinks>
    <hyperlink ref="B16"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theme="7" tint="0.79998168889431442"/>
  </sheetPr>
  <dimension ref="A1:L37"/>
  <sheetViews>
    <sheetView showGridLines="0" zoomScale="80" zoomScaleNormal="80" workbookViewId="0"/>
  </sheetViews>
  <sheetFormatPr defaultColWidth="11.33203125" defaultRowHeight="14.25" x14ac:dyDescent="0.45"/>
  <cols>
    <col min="1" max="1" width="11.33203125" customWidth="1"/>
    <col min="2" max="3" width="17.53125" customWidth="1"/>
    <col min="4" max="5" width="21.33203125" customWidth="1"/>
    <col min="6" max="9" width="26.53125" customWidth="1"/>
    <col min="10" max="10" width="30.33203125" customWidth="1"/>
    <col min="11" max="11" width="16.86328125" bestFit="1" customWidth="1"/>
    <col min="12" max="12" width="11.33203125" customWidth="1"/>
  </cols>
  <sheetData>
    <row r="1" spans="1:10" ht="15.4" x14ac:dyDescent="0.45">
      <c r="A1" s="4"/>
      <c r="B1" s="4"/>
      <c r="C1" s="4"/>
      <c r="D1" s="4"/>
      <c r="E1" s="4"/>
      <c r="F1" s="4"/>
      <c r="G1" s="4"/>
      <c r="H1" s="4"/>
      <c r="I1" s="4"/>
      <c r="J1" s="4"/>
    </row>
    <row r="2" spans="1:10" ht="18" x14ac:dyDescent="0.55000000000000004">
      <c r="A2" s="4"/>
      <c r="B2" s="4"/>
      <c r="C2" s="5"/>
      <c r="D2" s="4"/>
      <c r="E2" s="4"/>
      <c r="F2" s="4"/>
      <c r="G2" s="4"/>
      <c r="H2" s="4"/>
      <c r="I2" s="4"/>
      <c r="J2" s="4"/>
    </row>
    <row r="3" spans="1:10" ht="15.4" x14ac:dyDescent="0.45">
      <c r="A3" s="4"/>
      <c r="B3" s="4"/>
      <c r="C3" s="4"/>
      <c r="D3" s="4"/>
      <c r="E3" s="4"/>
      <c r="F3" s="4"/>
      <c r="G3" s="4"/>
      <c r="H3" s="4"/>
      <c r="I3" s="4"/>
      <c r="J3" s="4"/>
    </row>
    <row r="4" spans="1:10" ht="15.4" x14ac:dyDescent="0.45">
      <c r="A4" s="4"/>
      <c r="B4" s="4"/>
      <c r="C4" s="4"/>
      <c r="D4" s="4"/>
      <c r="E4" s="4"/>
      <c r="F4" s="4"/>
      <c r="G4" s="4"/>
      <c r="H4" s="4"/>
      <c r="I4" s="4"/>
      <c r="J4" s="4"/>
    </row>
    <row r="5" spans="1:10" ht="15.4" x14ac:dyDescent="0.45">
      <c r="A5" s="4"/>
      <c r="B5" s="4"/>
      <c r="C5" s="4"/>
      <c r="D5" s="4"/>
      <c r="E5" s="4"/>
      <c r="F5" s="4"/>
      <c r="G5" s="4"/>
      <c r="H5" s="4"/>
      <c r="I5" s="4"/>
      <c r="J5" s="4"/>
    </row>
    <row r="6" spans="1:10" ht="15.4" x14ac:dyDescent="0.45">
      <c r="A6" s="4"/>
      <c r="B6" s="4"/>
      <c r="C6" s="4"/>
      <c r="D6" s="4"/>
      <c r="E6" s="4"/>
      <c r="F6" s="4"/>
      <c r="G6" s="4"/>
      <c r="H6" s="4"/>
      <c r="I6" s="4"/>
      <c r="J6" s="4"/>
    </row>
    <row r="7" spans="1:10" ht="25.15" x14ac:dyDescent="0.7">
      <c r="A7" s="4"/>
      <c r="B7" s="6" t="s">
        <v>50</v>
      </c>
      <c r="C7" s="4"/>
      <c r="D7" s="4"/>
      <c r="E7" s="4"/>
      <c r="F7" s="4"/>
      <c r="G7" s="4"/>
      <c r="H7" s="4"/>
      <c r="I7" s="4"/>
      <c r="J7" s="4"/>
    </row>
    <row r="8" spans="1:10" ht="15.4" x14ac:dyDescent="0.45">
      <c r="A8" s="4"/>
      <c r="B8" s="4" t="s">
        <v>51</v>
      </c>
      <c r="C8" s="4"/>
      <c r="D8" s="4"/>
      <c r="E8" s="4"/>
      <c r="F8" s="4"/>
      <c r="G8" s="4"/>
      <c r="H8" s="4"/>
      <c r="I8" s="335" t="s">
        <v>52</v>
      </c>
      <c r="J8" s="4"/>
    </row>
    <row r="9" spans="1:10" ht="17.2" customHeight="1" x14ac:dyDescent="0.45">
      <c r="A9" s="4"/>
      <c r="B9" s="334" t="s">
        <v>53</v>
      </c>
      <c r="C9" s="4"/>
      <c r="D9" s="4"/>
      <c r="E9" s="4"/>
      <c r="F9" s="4"/>
      <c r="G9" s="4"/>
      <c r="H9" s="4"/>
      <c r="I9" s="336" t="s">
        <v>54</v>
      </c>
      <c r="J9" s="4"/>
    </row>
    <row r="10" spans="1:10" ht="17.2" customHeight="1" x14ac:dyDescent="0.45">
      <c r="A10" s="4"/>
      <c r="B10" s="334" t="s">
        <v>55</v>
      </c>
      <c r="C10" s="4"/>
      <c r="D10" s="4"/>
      <c r="E10" s="4"/>
      <c r="F10" s="4"/>
      <c r="G10" s="4"/>
      <c r="H10" s="4"/>
      <c r="I10" s="337" t="s">
        <v>56</v>
      </c>
      <c r="J10" s="8"/>
    </row>
    <row r="11" spans="1:10" ht="17.2" customHeight="1" x14ac:dyDescent="0.45">
      <c r="A11" s="4"/>
      <c r="B11" s="7"/>
      <c r="C11" s="4"/>
      <c r="D11" s="4"/>
      <c r="E11" s="4"/>
      <c r="F11" s="4"/>
      <c r="G11" s="4"/>
      <c r="H11" s="4"/>
      <c r="I11" s="338" t="s">
        <v>57</v>
      </c>
      <c r="J11" s="8"/>
    </row>
    <row r="12" spans="1:10" ht="63.75" customHeight="1" thickBot="1" x14ac:dyDescent="0.5">
      <c r="A12" s="4"/>
      <c r="B12" s="4"/>
      <c r="C12" s="4"/>
      <c r="D12" s="4"/>
      <c r="E12" s="4"/>
      <c r="F12" s="4"/>
      <c r="G12" s="4"/>
      <c r="H12" s="4"/>
      <c r="I12" s="4"/>
      <c r="J12" s="4"/>
    </row>
    <row r="13" spans="1:10" ht="63.75" customHeight="1" thickBot="1" x14ac:dyDescent="0.5">
      <c r="A13" s="4"/>
      <c r="B13" s="9"/>
      <c r="C13" s="4"/>
      <c r="D13" s="4"/>
      <c r="E13" s="4"/>
      <c r="F13" s="368" t="s">
        <v>58</v>
      </c>
      <c r="G13" s="369"/>
      <c r="H13" s="369"/>
      <c r="I13" s="370"/>
      <c r="J13" s="4"/>
    </row>
    <row r="14" spans="1:10" ht="63.75" customHeight="1" thickBot="1" x14ac:dyDescent="0.5">
      <c r="A14" s="4"/>
      <c r="B14" s="359" t="s">
        <v>470</v>
      </c>
      <c r="C14" s="360"/>
      <c r="D14" s="361"/>
      <c r="E14" s="342">
        <f>'Baselines+Historic Spend Factor'!P8+'Baselines+Historic Spend Factor'!J8-'Baselines+Historic Spend Factor'!$F$159</f>
        <v>5769896972.3558683</v>
      </c>
      <c r="F14" s="362" t="s">
        <v>495</v>
      </c>
      <c r="G14" s="363"/>
      <c r="H14" s="363"/>
      <c r="I14" s="364"/>
      <c r="J14" s="4"/>
    </row>
    <row r="15" spans="1:10" ht="63.75" customHeight="1" thickBot="1" x14ac:dyDescent="0.5">
      <c r="A15" s="4"/>
      <c r="B15" s="359" t="s">
        <v>471</v>
      </c>
      <c r="C15" s="360"/>
      <c r="D15" s="361"/>
      <c r="E15" s="342">
        <f>'2019-20 StepbyStep Allocations'!$BP$159</f>
        <v>72553333.330000013</v>
      </c>
      <c r="F15" s="362" t="s">
        <v>492</v>
      </c>
      <c r="G15" s="363"/>
      <c r="H15" s="363"/>
      <c r="I15" s="364"/>
      <c r="J15" s="4"/>
    </row>
    <row r="16" spans="1:10" ht="63.75" customHeight="1" thickBot="1" x14ac:dyDescent="0.5">
      <c r="A16" s="4"/>
      <c r="B16" s="359" t="s">
        <v>472</v>
      </c>
      <c r="C16" s="360"/>
      <c r="D16" s="361"/>
      <c r="E16" s="342">
        <f>E17-SUM(E14:E15)</f>
        <v>105965105.78654099</v>
      </c>
      <c r="F16" s="362" t="s">
        <v>496</v>
      </c>
      <c r="G16" s="363"/>
      <c r="H16" s="363"/>
      <c r="I16" s="364"/>
      <c r="J16" s="4"/>
    </row>
    <row r="17" spans="1:12" ht="63.75" customHeight="1" thickBot="1" x14ac:dyDescent="0.5">
      <c r="A17" s="4"/>
      <c r="B17" s="371" t="s">
        <v>59</v>
      </c>
      <c r="C17" s="372"/>
      <c r="D17" s="373"/>
      <c r="E17" s="342">
        <v>5948415411.4724092</v>
      </c>
      <c r="F17" s="362" t="s">
        <v>502</v>
      </c>
      <c r="G17" s="363"/>
      <c r="H17" s="363"/>
      <c r="I17" s="364"/>
      <c r="J17" s="4"/>
    </row>
    <row r="18" spans="1:12" ht="63.75" customHeight="1" thickBot="1" x14ac:dyDescent="0.5">
      <c r="A18" s="4"/>
      <c r="B18" s="359" t="s">
        <v>473</v>
      </c>
      <c r="C18" s="360"/>
      <c r="D18" s="361"/>
      <c r="E18" s="343">
        <v>154913075.37331975</v>
      </c>
      <c r="F18" s="362" t="s">
        <v>60</v>
      </c>
      <c r="G18" s="363"/>
      <c r="H18" s="363"/>
      <c r="I18" s="364"/>
    </row>
    <row r="19" spans="1:12" ht="63.75" customHeight="1" thickBot="1" x14ac:dyDescent="0.5">
      <c r="A19" s="4"/>
      <c r="B19" s="359" t="s">
        <v>474</v>
      </c>
      <c r="C19" s="360"/>
      <c r="D19" s="361"/>
      <c r="E19" s="343">
        <v>75725508.016653463</v>
      </c>
      <c r="F19" s="362" t="s">
        <v>493</v>
      </c>
      <c r="G19" s="363"/>
      <c r="H19" s="363"/>
      <c r="I19" s="364"/>
    </row>
    <row r="20" spans="1:12" ht="63.75" customHeight="1" thickBot="1" x14ac:dyDescent="0.5">
      <c r="A20" s="4"/>
      <c r="B20" s="365" t="s">
        <v>61</v>
      </c>
      <c r="C20" s="366"/>
      <c r="D20" s="367"/>
      <c r="E20" s="344">
        <f>E17+E18+E19</f>
        <v>6179053994.8623819</v>
      </c>
      <c r="F20" s="383" t="s">
        <v>62</v>
      </c>
      <c r="G20" s="384"/>
      <c r="H20" s="384"/>
      <c r="I20" s="385"/>
      <c r="K20" s="10"/>
      <c r="L20" s="11">
        <v>-6039681075.1054678</v>
      </c>
    </row>
    <row r="21" spans="1:12" ht="63.75" customHeight="1" thickBot="1" x14ac:dyDescent="0.5">
      <c r="A21" s="4"/>
      <c r="B21" s="4"/>
      <c r="C21" s="4"/>
      <c r="D21" s="4"/>
      <c r="E21" s="12"/>
      <c r="F21" s="12"/>
      <c r="G21" s="13"/>
      <c r="H21" s="4"/>
      <c r="I21" s="4"/>
      <c r="J21" s="4"/>
    </row>
    <row r="22" spans="1:12" ht="63.75" customHeight="1" thickBot="1" x14ac:dyDescent="0.5">
      <c r="A22" s="4"/>
      <c r="B22" s="359" t="s">
        <v>63</v>
      </c>
      <c r="C22" s="360"/>
      <c r="D22" s="361"/>
      <c r="E22" s="344">
        <v>5948415411.4724092</v>
      </c>
      <c r="F22" s="362" t="s">
        <v>503</v>
      </c>
      <c r="G22" s="363"/>
      <c r="H22" s="363"/>
      <c r="I22" s="364"/>
      <c r="J22" s="4"/>
    </row>
    <row r="23" spans="1:12" ht="63.75" customHeight="1" thickBot="1" x14ac:dyDescent="0.5">
      <c r="A23" s="4"/>
      <c r="B23" s="359" t="s">
        <v>64</v>
      </c>
      <c r="C23" s="360"/>
      <c r="D23" s="361"/>
      <c r="E23" s="343">
        <v>531671452.31881672</v>
      </c>
      <c r="F23" s="362" t="s">
        <v>494</v>
      </c>
      <c r="G23" s="363"/>
      <c r="H23" s="363"/>
      <c r="I23" s="364"/>
      <c r="J23" s="4"/>
    </row>
    <row r="24" spans="1:12" ht="42.75" customHeight="1" thickBot="1" x14ac:dyDescent="0.5">
      <c r="A24" s="4"/>
      <c r="B24" s="386" t="s">
        <v>65</v>
      </c>
      <c r="C24" s="387"/>
      <c r="D24" s="388"/>
      <c r="E24" s="343">
        <v>2666405634.2213268</v>
      </c>
      <c r="F24" s="362" t="s">
        <v>66</v>
      </c>
      <c r="G24" s="363"/>
      <c r="H24" s="363"/>
      <c r="I24" s="364"/>
      <c r="J24" s="4"/>
    </row>
    <row r="25" spans="1:12" ht="63.75" customHeight="1" thickBot="1" x14ac:dyDescent="0.5">
      <c r="A25" s="4"/>
      <c r="B25" s="365" t="s">
        <v>67</v>
      </c>
      <c r="C25" s="366"/>
      <c r="D25" s="367"/>
      <c r="E25" s="344">
        <f>E22-E23-E24</f>
        <v>2750338324.9322653</v>
      </c>
      <c r="F25" s="362" t="s">
        <v>68</v>
      </c>
      <c r="G25" s="363"/>
      <c r="H25" s="363"/>
      <c r="I25" s="364"/>
      <c r="J25" s="4"/>
    </row>
    <row r="26" spans="1:12" ht="63.75" customHeight="1" thickBot="1" x14ac:dyDescent="0.5">
      <c r="A26" s="4"/>
      <c r="B26" s="4"/>
      <c r="C26" s="4"/>
      <c r="D26" s="4"/>
      <c r="E26" s="4"/>
      <c r="F26" s="12"/>
      <c r="G26" s="4"/>
      <c r="H26" s="4"/>
      <c r="I26" s="4"/>
      <c r="J26" s="14"/>
    </row>
    <row r="27" spans="1:12" ht="42.75" customHeight="1" thickBot="1" x14ac:dyDescent="0.5">
      <c r="A27" s="4"/>
      <c r="B27" s="339" t="s">
        <v>69</v>
      </c>
      <c r="C27" s="339"/>
      <c r="D27" s="320" t="s">
        <v>70</v>
      </c>
      <c r="E27" s="15" t="s">
        <v>71</v>
      </c>
      <c r="F27" s="389" t="s">
        <v>72</v>
      </c>
      <c r="G27" s="390"/>
      <c r="H27" s="390"/>
      <c r="I27" s="391"/>
      <c r="J27" s="4"/>
    </row>
    <row r="28" spans="1:12" ht="63.75" customHeight="1" x14ac:dyDescent="0.45">
      <c r="A28" s="4"/>
      <c r="B28" s="16" t="s">
        <v>73</v>
      </c>
      <c r="C28" s="17"/>
      <c r="D28" s="18">
        <v>0.5</v>
      </c>
      <c r="E28" s="345">
        <f>50%*E25</f>
        <v>1375169162.4661326</v>
      </c>
      <c r="F28" s="380" t="s">
        <v>74</v>
      </c>
      <c r="G28" s="381"/>
      <c r="H28" s="381"/>
      <c r="I28" s="382"/>
      <c r="J28" s="4"/>
    </row>
    <row r="29" spans="1:12" ht="63.75" customHeight="1" x14ac:dyDescent="0.45">
      <c r="A29" s="4"/>
      <c r="B29" s="19" t="s">
        <v>75</v>
      </c>
      <c r="C29" s="20"/>
      <c r="D29" s="21">
        <v>0.1</v>
      </c>
      <c r="E29" s="346">
        <f>10%*E25</f>
        <v>275033832.49322653</v>
      </c>
      <c r="F29" s="377" t="s">
        <v>76</v>
      </c>
      <c r="G29" s="378"/>
      <c r="H29" s="378"/>
      <c r="I29" s="379"/>
      <c r="J29" s="4"/>
    </row>
    <row r="30" spans="1:12" ht="63.75" customHeight="1" x14ac:dyDescent="0.45">
      <c r="A30" s="4"/>
      <c r="B30" s="19" t="s">
        <v>77</v>
      </c>
      <c r="C30" s="20"/>
      <c r="D30" s="21">
        <v>0.1</v>
      </c>
      <c r="E30" s="346">
        <f>10%*E25</f>
        <v>275033832.49322653</v>
      </c>
      <c r="F30" s="377" t="s">
        <v>78</v>
      </c>
      <c r="G30" s="378"/>
      <c r="H30" s="378"/>
      <c r="I30" s="379"/>
      <c r="J30" s="4"/>
    </row>
    <row r="31" spans="1:12" ht="63.75" customHeight="1" x14ac:dyDescent="0.45">
      <c r="A31" s="4"/>
      <c r="B31" s="19" t="s">
        <v>79</v>
      </c>
      <c r="C31" s="20"/>
      <c r="D31" s="21">
        <v>7.4999999999999997E-2</v>
      </c>
      <c r="E31" s="346">
        <f>7.5%*E$25</f>
        <v>206275374.3699199</v>
      </c>
      <c r="F31" s="377" t="s">
        <v>80</v>
      </c>
      <c r="G31" s="378"/>
      <c r="H31" s="378"/>
      <c r="I31" s="379"/>
      <c r="J31" s="4"/>
    </row>
    <row r="32" spans="1:12" ht="63.75" customHeight="1" x14ac:dyDescent="0.45">
      <c r="A32" s="4"/>
      <c r="B32" s="19" t="s">
        <v>81</v>
      </c>
      <c r="C32" s="20"/>
      <c r="D32" s="21">
        <v>7.4999999999999997E-2</v>
      </c>
      <c r="E32" s="346">
        <f t="shared" ref="E32:E34" si="0">7.5%*E$25</f>
        <v>206275374.3699199</v>
      </c>
      <c r="F32" s="377" t="s">
        <v>82</v>
      </c>
      <c r="G32" s="378"/>
      <c r="H32" s="378"/>
      <c r="I32" s="379"/>
      <c r="J32" s="4"/>
    </row>
    <row r="33" spans="1:10" ht="82.5" customHeight="1" x14ac:dyDescent="0.45">
      <c r="A33" s="4"/>
      <c r="B33" s="19" t="s">
        <v>83</v>
      </c>
      <c r="C33" s="20"/>
      <c r="D33" s="21">
        <v>7.4999999999999997E-2</v>
      </c>
      <c r="E33" s="346">
        <f t="shared" si="0"/>
        <v>206275374.3699199</v>
      </c>
      <c r="F33" s="377" t="s">
        <v>84</v>
      </c>
      <c r="G33" s="378"/>
      <c r="H33" s="378"/>
      <c r="I33" s="379"/>
      <c r="J33" s="4"/>
    </row>
    <row r="34" spans="1:10" ht="63.75" customHeight="1" x14ac:dyDescent="0.45">
      <c r="A34" s="4"/>
      <c r="B34" s="19" t="s">
        <v>85</v>
      </c>
      <c r="C34" s="20"/>
      <c r="D34" s="21">
        <v>7.4999999999999997E-2</v>
      </c>
      <c r="E34" s="346">
        <f t="shared" si="0"/>
        <v>206275374.3699199</v>
      </c>
      <c r="F34" s="377" t="s">
        <v>86</v>
      </c>
      <c r="G34" s="378"/>
      <c r="H34" s="378"/>
      <c r="I34" s="379"/>
      <c r="J34" s="4"/>
    </row>
    <row r="35" spans="1:10" ht="63.75" customHeight="1" thickBot="1" x14ac:dyDescent="0.5">
      <c r="A35" s="4"/>
      <c r="B35" s="22" t="s">
        <v>87</v>
      </c>
      <c r="C35" s="23"/>
      <c r="D35" s="24">
        <v>0.99999999999999978</v>
      </c>
      <c r="E35" s="347">
        <f>SUM(E28:E34)</f>
        <v>2750338324.9322648</v>
      </c>
      <c r="F35" s="374"/>
      <c r="G35" s="375"/>
      <c r="H35" s="375"/>
      <c r="I35" s="376"/>
      <c r="J35" s="4"/>
    </row>
    <row r="36" spans="1:10" ht="49.5" customHeight="1" x14ac:dyDescent="0.45">
      <c r="E36" s="10"/>
    </row>
    <row r="37" spans="1:10" ht="15" customHeight="1" x14ac:dyDescent="0.45">
      <c r="E37" s="25"/>
    </row>
  </sheetData>
  <mergeCells count="32">
    <mergeCell ref="F28:I28"/>
    <mergeCell ref="F20:I20"/>
    <mergeCell ref="B22:D22"/>
    <mergeCell ref="F22:I22"/>
    <mergeCell ref="B23:D23"/>
    <mergeCell ref="F23:I23"/>
    <mergeCell ref="B24:D24"/>
    <mergeCell ref="F24:I24"/>
    <mergeCell ref="B25:D25"/>
    <mergeCell ref="F25:I25"/>
    <mergeCell ref="F27:I27"/>
    <mergeCell ref="F35:I35"/>
    <mergeCell ref="F29:I29"/>
    <mergeCell ref="F30:I30"/>
    <mergeCell ref="F31:I31"/>
    <mergeCell ref="F32:I32"/>
    <mergeCell ref="F33:I33"/>
    <mergeCell ref="F34:I34"/>
    <mergeCell ref="B19:D19"/>
    <mergeCell ref="F19:I19"/>
    <mergeCell ref="B20:D20"/>
    <mergeCell ref="F13:I13"/>
    <mergeCell ref="B17:D17"/>
    <mergeCell ref="F17:I17"/>
    <mergeCell ref="B18:D18"/>
    <mergeCell ref="F18:I18"/>
    <mergeCell ref="B16:D16"/>
    <mergeCell ref="F16:I16"/>
    <mergeCell ref="B15:D15"/>
    <mergeCell ref="F15:I15"/>
    <mergeCell ref="B14:D14"/>
    <mergeCell ref="F14:I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B1:O168"/>
  <sheetViews>
    <sheetView showGridLines="0" zoomScale="85" zoomScaleNormal="85" workbookViewId="0"/>
  </sheetViews>
  <sheetFormatPr defaultColWidth="9" defaultRowHeight="14.25" x14ac:dyDescent="0.45"/>
  <cols>
    <col min="1" max="1" width="6.1328125" customWidth="1"/>
    <col min="2" max="2" width="32.53125" customWidth="1"/>
    <col min="3" max="3" width="12.53125" customWidth="1"/>
    <col min="4" max="4" width="30.53125" customWidth="1"/>
    <col min="5" max="5" width="28" customWidth="1"/>
    <col min="6" max="11" width="30" customWidth="1"/>
    <col min="12" max="12" width="33.53125" customWidth="1"/>
    <col min="13" max="14" width="25.53125" customWidth="1"/>
    <col min="15" max="15" width="30.53125" customWidth="1"/>
  </cols>
  <sheetData>
    <row r="1" spans="2:15" s="29" customFormat="1" ht="30.4" thickBot="1" x14ac:dyDescent="0.4">
      <c r="B1" s="2" t="s">
        <v>88</v>
      </c>
      <c r="C1" s="26"/>
      <c r="D1" s="26"/>
      <c r="E1" s="27"/>
      <c r="F1" s="27"/>
      <c r="G1" s="27"/>
      <c r="H1" s="341" t="s">
        <v>89</v>
      </c>
      <c r="I1" s="59" t="s">
        <v>90</v>
      </c>
      <c r="J1" s="28" t="s">
        <v>57</v>
      </c>
      <c r="K1" s="59" t="s">
        <v>91</v>
      </c>
      <c r="L1" s="59" t="s">
        <v>465</v>
      </c>
      <c r="N1" s="26"/>
      <c r="O1" s="26"/>
    </row>
    <row r="2" spans="2:15" s="29" customFormat="1" ht="25.15" x14ac:dyDescent="0.35">
      <c r="B2" s="30"/>
      <c r="C2" s="26"/>
      <c r="D2" s="26"/>
      <c r="E2" s="26"/>
      <c r="F2" s="26"/>
      <c r="G2" s="26"/>
      <c r="H2" s="26"/>
      <c r="I2" s="26"/>
      <c r="J2" s="26"/>
      <c r="K2" s="26"/>
      <c r="L2" s="26"/>
      <c r="M2" s="26"/>
      <c r="N2" s="26"/>
      <c r="O2" s="26"/>
    </row>
    <row r="3" spans="2:15" s="29" customFormat="1" ht="25.5" thickBot="1" x14ac:dyDescent="0.4">
      <c r="B3" s="30"/>
      <c r="C3" s="26"/>
      <c r="D3" s="26"/>
      <c r="E3" s="26"/>
      <c r="F3" s="26"/>
      <c r="G3" s="26"/>
      <c r="H3" s="26"/>
      <c r="I3" s="26"/>
      <c r="J3" s="26"/>
      <c r="K3" s="26"/>
      <c r="L3" s="26"/>
      <c r="M3" s="26"/>
      <c r="N3" s="26"/>
      <c r="O3" s="26"/>
    </row>
    <row r="4" spans="2:15" s="29" customFormat="1" ht="15" x14ac:dyDescent="0.35">
      <c r="B4" s="31" t="s">
        <v>92</v>
      </c>
      <c r="C4" s="32"/>
      <c r="D4" s="32"/>
      <c r="E4" s="32"/>
      <c r="F4" s="32"/>
      <c r="G4" s="32"/>
      <c r="H4" s="32"/>
      <c r="I4" s="32"/>
      <c r="J4" s="32"/>
      <c r="K4" s="32"/>
      <c r="L4" s="32"/>
      <c r="M4" s="32"/>
      <c r="N4" s="32"/>
      <c r="O4" s="33"/>
    </row>
    <row r="5" spans="2:15" s="29" customFormat="1" ht="15.75" customHeight="1" x14ac:dyDescent="0.35">
      <c r="B5" s="34"/>
      <c r="C5" s="35"/>
      <c r="D5" s="35"/>
      <c r="E5" s="35"/>
      <c r="F5" s="35"/>
      <c r="G5" s="35"/>
      <c r="H5" s="35"/>
      <c r="I5" s="35"/>
      <c r="J5" s="35"/>
      <c r="K5" s="35"/>
      <c r="L5" s="35"/>
      <c r="M5" s="35"/>
      <c r="N5" s="35"/>
      <c r="O5" s="36"/>
    </row>
    <row r="6" spans="2:15" s="29" customFormat="1" ht="22.5" customHeight="1" x14ac:dyDescent="0.7">
      <c r="B6" s="37" t="s">
        <v>93</v>
      </c>
      <c r="C6" s="38"/>
      <c r="D6" s="38"/>
      <c r="E6" s="38"/>
      <c r="F6" s="38"/>
      <c r="G6" s="38"/>
      <c r="H6" s="38"/>
      <c r="I6" s="38"/>
      <c r="J6" s="38"/>
      <c r="K6" s="38"/>
      <c r="L6" s="38"/>
      <c r="M6" s="38"/>
      <c r="N6" s="38"/>
      <c r="O6" s="39"/>
    </row>
    <row r="7" spans="2:15" s="29" customFormat="1" ht="15.75" customHeight="1" x14ac:dyDescent="0.4">
      <c r="B7" s="392" t="s">
        <v>499</v>
      </c>
      <c r="C7" s="393"/>
      <c r="D7" s="393"/>
      <c r="E7" s="393"/>
      <c r="F7" s="393"/>
      <c r="G7" s="393"/>
      <c r="H7" s="393"/>
      <c r="I7" s="393"/>
      <c r="J7" s="393"/>
      <c r="K7" s="393"/>
      <c r="L7" s="393"/>
      <c r="M7" s="393"/>
      <c r="N7" s="393"/>
      <c r="O7" s="394"/>
    </row>
    <row r="8" spans="2:15" s="29" customFormat="1" ht="15" x14ac:dyDescent="0.4">
      <c r="B8" s="395" t="s">
        <v>94</v>
      </c>
      <c r="C8" s="393"/>
      <c r="D8" s="393"/>
      <c r="E8" s="393"/>
      <c r="F8" s="393"/>
      <c r="G8" s="393"/>
      <c r="H8" s="393"/>
      <c r="I8" s="393"/>
      <c r="J8" s="393"/>
      <c r="K8" s="393"/>
      <c r="L8" s="393"/>
      <c r="M8" s="393"/>
      <c r="N8" s="393"/>
      <c r="O8" s="394"/>
    </row>
    <row r="9" spans="2:15" s="29" customFormat="1" ht="25.5" thickBot="1" x14ac:dyDescent="0.75">
      <c r="B9" s="40"/>
      <c r="C9" s="41"/>
      <c r="D9" s="41"/>
      <c r="E9" s="41"/>
      <c r="F9" s="41"/>
      <c r="G9" s="41"/>
      <c r="H9" s="41"/>
      <c r="I9" s="41"/>
      <c r="J9" s="41"/>
      <c r="K9" s="41"/>
      <c r="L9" s="41"/>
      <c r="M9" s="41"/>
      <c r="N9" s="41"/>
      <c r="O9" s="42"/>
    </row>
    <row r="10" spans="2:15" s="29" customFormat="1" ht="15.4" thickBot="1" x14ac:dyDescent="0.4">
      <c r="B10" s="43"/>
      <c r="C10" s="26"/>
      <c r="D10" s="26"/>
      <c r="E10" s="26"/>
      <c r="F10" s="26"/>
      <c r="G10" s="26"/>
      <c r="H10" s="26"/>
      <c r="I10" s="26"/>
      <c r="J10" s="26"/>
      <c r="K10" s="26"/>
      <c r="L10" s="26"/>
      <c r="M10" s="26"/>
      <c r="N10" s="26"/>
      <c r="O10" s="26"/>
    </row>
    <row r="11" spans="2:15" s="44" customFormat="1" ht="15.4" thickBot="1" x14ac:dyDescent="0.5">
      <c r="E11" s="45"/>
      <c r="F11" s="46"/>
      <c r="G11" s="46"/>
      <c r="H11" s="46"/>
      <c r="I11" s="46"/>
      <c r="J11" s="46"/>
      <c r="K11" s="46"/>
      <c r="L11" s="47"/>
      <c r="M11"/>
      <c r="N11"/>
      <c r="O11"/>
    </row>
    <row r="12" spans="2:15" s="44" customFormat="1" ht="16.5" customHeight="1" thickBot="1" x14ac:dyDescent="0.5">
      <c r="E12" s="396" t="s">
        <v>95</v>
      </c>
      <c r="F12" s="397"/>
      <c r="G12" s="397"/>
      <c r="H12" s="397"/>
      <c r="I12" s="397"/>
      <c r="J12" s="397"/>
      <c r="K12" s="397"/>
      <c r="L12" s="398"/>
      <c r="M12"/>
      <c r="N12"/>
      <c r="O12"/>
    </row>
    <row r="13" spans="2:15" s="44" customFormat="1" ht="104.25" customHeight="1" thickBot="1" x14ac:dyDescent="0.5">
      <c r="B13" s="399" t="s">
        <v>96</v>
      </c>
      <c r="C13" s="402" t="s">
        <v>97</v>
      </c>
      <c r="D13" s="405" t="s">
        <v>98</v>
      </c>
      <c r="E13" s="408" t="s">
        <v>99</v>
      </c>
      <c r="F13" s="410" t="s">
        <v>100</v>
      </c>
      <c r="G13" s="411"/>
      <c r="H13" s="412"/>
      <c r="I13" s="413" t="s">
        <v>101</v>
      </c>
      <c r="J13" s="414"/>
      <c r="K13" s="322" t="s">
        <v>102</v>
      </c>
      <c r="L13" s="408" t="s">
        <v>103</v>
      </c>
      <c r="M13"/>
      <c r="N13"/>
      <c r="O13"/>
    </row>
    <row r="14" spans="2:15" s="53" customFormat="1" ht="105" x14ac:dyDescent="0.45">
      <c r="B14" s="400"/>
      <c r="C14" s="403"/>
      <c r="D14" s="406"/>
      <c r="E14" s="409"/>
      <c r="F14" s="48" t="s">
        <v>104</v>
      </c>
      <c r="G14" s="49" t="str">
        <f>"ACA-weighted basic entitlement unit rate (£4,000 per pupil)"</f>
        <v>ACA-weighted basic entitlement unit rate (£4,000 per pupil)</v>
      </c>
      <c r="H14" s="50" t="str">
        <f>"Basic entitlement factor *"</f>
        <v>Basic entitlement factor *</v>
      </c>
      <c r="I14" s="51" t="s">
        <v>466</v>
      </c>
      <c r="J14" s="52" t="s">
        <v>480</v>
      </c>
      <c r="K14" s="112" t="s">
        <v>498</v>
      </c>
      <c r="L14" s="409"/>
      <c r="M14"/>
      <c r="N14"/>
      <c r="O14"/>
    </row>
    <row r="15" spans="2:15" s="53" customFormat="1" ht="15.4" thickBot="1" x14ac:dyDescent="0.5">
      <c r="B15" s="401"/>
      <c r="C15" s="404"/>
      <c r="D15" s="407"/>
      <c r="E15" s="54" t="s">
        <v>105</v>
      </c>
      <c r="F15" s="55" t="s">
        <v>467</v>
      </c>
      <c r="G15" s="56" t="s">
        <v>106</v>
      </c>
      <c r="H15" s="57" t="s">
        <v>478</v>
      </c>
      <c r="I15" s="58" t="s">
        <v>468</v>
      </c>
      <c r="J15" s="59" t="s">
        <v>469</v>
      </c>
      <c r="K15" s="59" t="s">
        <v>479</v>
      </c>
      <c r="L15" s="57" t="s">
        <v>481</v>
      </c>
      <c r="M15"/>
      <c r="N15"/>
      <c r="O15"/>
    </row>
    <row r="16" spans="2:15" s="44" customFormat="1" ht="15.75" thickBot="1" x14ac:dyDescent="0.5">
      <c r="B16" s="60"/>
      <c r="C16" s="61"/>
      <c r="D16" s="62" t="s">
        <v>107</v>
      </c>
      <c r="E16" s="63">
        <f>SUM(E18:E168)</f>
        <v>5571657034.5269156</v>
      </c>
      <c r="F16" s="64"/>
      <c r="G16" s="65"/>
      <c r="H16" s="66">
        <f>SUM(H18:H168)</f>
        <v>531671452.31881684</v>
      </c>
      <c r="I16" s="64"/>
      <c r="J16" s="65"/>
      <c r="K16" s="66">
        <f>SUM(K18:K168)</f>
        <v>75725508.016653463</v>
      </c>
      <c r="L16" s="66">
        <f>SUM(L18:L168)</f>
        <v>6179083994.8623819</v>
      </c>
      <c r="M16" s="10"/>
      <c r="N16"/>
      <c r="O16"/>
    </row>
    <row r="17" spans="2:15" s="44" customFormat="1" ht="15.75" thickBot="1" x14ac:dyDescent="0.5">
      <c r="B17" s="60"/>
      <c r="C17" s="61"/>
      <c r="D17" s="62" t="s">
        <v>108</v>
      </c>
      <c r="E17" s="63">
        <f>E16-E168</f>
        <v>5571657034.5269156</v>
      </c>
      <c r="F17" s="64"/>
      <c r="G17" s="65"/>
      <c r="H17" s="66">
        <f>H16-H168</f>
        <v>502650118.98681682</v>
      </c>
      <c r="I17" s="64"/>
      <c r="J17" s="65"/>
      <c r="K17" s="65"/>
      <c r="L17" s="66">
        <f>L16-L168</f>
        <v>6106530661.532382</v>
      </c>
      <c r="M17" s="10"/>
      <c r="N17"/>
      <c r="O17"/>
    </row>
    <row r="18" spans="2:15" s="44" customFormat="1" ht="15.4" x14ac:dyDescent="0.45">
      <c r="B18" s="67" t="s">
        <v>109</v>
      </c>
      <c r="C18" s="68">
        <v>831</v>
      </c>
      <c r="D18" s="69" t="s">
        <v>110</v>
      </c>
      <c r="E18" s="70">
        <f>'2019-20 StepbyStep Allocations'!BP9-'2019-20 StepbyStep Allocations'!BH9-'2019-20 StepbyStep Allocations'!H9-'2019-20 StepbyStep Allocations'!BF9</f>
        <v>32002036.078770161</v>
      </c>
      <c r="F18" s="71">
        <f>'2019-20 StepbyStep Allocations'!F9</f>
        <v>669</v>
      </c>
      <c r="G18" s="72">
        <f>'2019-20 StepbyStep Allocations'!G9</f>
        <v>4000</v>
      </c>
      <c r="H18" s="73">
        <f>'2019-20 StepbyStep Allocations'!H9</f>
        <v>2676000</v>
      </c>
      <c r="I18" s="74">
        <f>'2019-20 StepbyStep Allocations'!BG9</f>
        <v>41</v>
      </c>
      <c r="J18" s="75">
        <f>'2019-20 StepbyStep Allocations'!BH9</f>
        <v>246000</v>
      </c>
      <c r="K18" s="75">
        <f>INDEX('2019-20 StepbyStep Allocations'!$BF$9:$BF$159,MATCH($C18,'2019-20 StepbyStep Allocations'!$C$9:$C$159,0))</f>
        <v>252214.17</v>
      </c>
      <c r="L18" s="73">
        <f>E18+H18+J18+K18</f>
        <v>35176250.248770162</v>
      </c>
      <c r="M18"/>
      <c r="N18"/>
      <c r="O18"/>
    </row>
    <row r="19" spans="2:15" s="44" customFormat="1" ht="15.4" x14ac:dyDescent="0.45">
      <c r="B19" s="76" t="s">
        <v>109</v>
      </c>
      <c r="C19" s="77">
        <v>830</v>
      </c>
      <c r="D19" s="78" t="s">
        <v>111</v>
      </c>
      <c r="E19" s="70">
        <f>'2019-20 StepbyStep Allocations'!BP10-'2019-20 StepbyStep Allocations'!BH10-'2019-20 StepbyStep Allocations'!H10-'2019-20 StepbyStep Allocations'!BF10</f>
        <v>66507879.287988991</v>
      </c>
      <c r="F19" s="71">
        <f>'2019-20 StepbyStep Allocations'!F10</f>
        <v>944</v>
      </c>
      <c r="G19" s="72">
        <f>'2019-20 StepbyStep Allocations'!G10</f>
        <v>4000</v>
      </c>
      <c r="H19" s="73">
        <f>'2019-20 StepbyStep Allocations'!H10</f>
        <v>3776000</v>
      </c>
      <c r="I19" s="74">
        <f>'2019-20 StepbyStep Allocations'!BG10</f>
        <v>-313</v>
      </c>
      <c r="J19" s="75">
        <f>'2019-20 StepbyStep Allocations'!BH10</f>
        <v>-1878000</v>
      </c>
      <c r="K19" s="75">
        <f>INDEX('2019-20 StepbyStep Allocations'!$BF$9:$BF$159,MATCH($C19,'2019-20 StepbyStep Allocations'!$C$9:$C$159,0))</f>
        <v>50500</v>
      </c>
      <c r="L19" s="73">
        <f t="shared" ref="L19:L82" si="0">E19+H19+J19+K19</f>
        <v>68456379.287988991</v>
      </c>
      <c r="M19"/>
      <c r="N19"/>
      <c r="O19"/>
    </row>
    <row r="20" spans="2:15" s="44" customFormat="1" ht="15.4" x14ac:dyDescent="0.45">
      <c r="B20" s="76" t="s">
        <v>109</v>
      </c>
      <c r="C20" s="77">
        <v>856</v>
      </c>
      <c r="D20" s="78" t="s">
        <v>112</v>
      </c>
      <c r="E20" s="70">
        <f>'2019-20 StepbyStep Allocations'!BP11-'2019-20 StepbyStep Allocations'!BH11-'2019-20 StepbyStep Allocations'!H11-'2019-20 StepbyStep Allocations'!BF11</f>
        <v>43550968.818845727</v>
      </c>
      <c r="F20" s="71">
        <f>'2019-20 StepbyStep Allocations'!F11</f>
        <v>1047</v>
      </c>
      <c r="G20" s="72">
        <f>'2019-20 StepbyStep Allocations'!G11</f>
        <v>4000</v>
      </c>
      <c r="H20" s="73">
        <f>'2019-20 StepbyStep Allocations'!H11</f>
        <v>4188000</v>
      </c>
      <c r="I20" s="74">
        <f>'2019-20 StepbyStep Allocations'!BG11</f>
        <v>-17</v>
      </c>
      <c r="J20" s="75">
        <f>'2019-20 StepbyStep Allocations'!BH11</f>
        <v>-102000</v>
      </c>
      <c r="K20" s="75">
        <f>INDEX('2019-20 StepbyStep Allocations'!$BF$9:$BF$159,MATCH($C20,'2019-20 StepbyStep Allocations'!$C$9:$C$159,0))</f>
        <v>1851330</v>
      </c>
      <c r="L20" s="73">
        <f t="shared" si="0"/>
        <v>49488298.818845727</v>
      </c>
      <c r="M20"/>
      <c r="N20"/>
      <c r="O20"/>
    </row>
    <row r="21" spans="2:15" s="44" customFormat="1" ht="15.4" x14ac:dyDescent="0.45">
      <c r="B21" s="76" t="s">
        <v>109</v>
      </c>
      <c r="C21" s="77">
        <v>855</v>
      </c>
      <c r="D21" s="78" t="s">
        <v>113</v>
      </c>
      <c r="E21" s="70">
        <f>'2019-20 StepbyStep Allocations'!BP12-'2019-20 StepbyStep Allocations'!BH12-'2019-20 StepbyStep Allocations'!H12-'2019-20 StepbyStep Allocations'!BF12</f>
        <v>60877885.744307473</v>
      </c>
      <c r="F21" s="71">
        <f>'2019-20 StepbyStep Allocations'!F12</f>
        <v>1553</v>
      </c>
      <c r="G21" s="72">
        <f>'2019-20 StepbyStep Allocations'!G12</f>
        <v>4000</v>
      </c>
      <c r="H21" s="73">
        <f>'2019-20 StepbyStep Allocations'!H12</f>
        <v>6212000</v>
      </c>
      <c r="I21" s="74">
        <f>'2019-20 StepbyStep Allocations'!BG12</f>
        <v>-139</v>
      </c>
      <c r="J21" s="75">
        <f>'2019-20 StepbyStep Allocations'!BH12</f>
        <v>-834000</v>
      </c>
      <c r="K21" s="75">
        <f>INDEX('2019-20 StepbyStep Allocations'!$BF$9:$BF$159,MATCH($C21,'2019-20 StepbyStep Allocations'!$C$9:$C$159,0))</f>
        <v>631003.56000000006</v>
      </c>
      <c r="L21" s="73">
        <f t="shared" si="0"/>
        <v>66886889.304307476</v>
      </c>
      <c r="M21"/>
      <c r="N21"/>
      <c r="O21"/>
    </row>
    <row r="22" spans="2:15" s="44" customFormat="1" ht="15.4" x14ac:dyDescent="0.45">
      <c r="B22" s="76" t="s">
        <v>109</v>
      </c>
      <c r="C22" s="77">
        <v>925</v>
      </c>
      <c r="D22" s="78" t="s">
        <v>114</v>
      </c>
      <c r="E22" s="70">
        <f>'2019-20 StepbyStep Allocations'!BP13-'2019-20 StepbyStep Allocations'!BH13-'2019-20 StepbyStep Allocations'!H13-'2019-20 StepbyStep Allocations'!BF13</f>
        <v>74639056.01728186</v>
      </c>
      <c r="F22" s="71">
        <f>'2019-20 StepbyStep Allocations'!F13</f>
        <v>1802</v>
      </c>
      <c r="G22" s="72">
        <f>'2019-20 StepbyStep Allocations'!G13</f>
        <v>4000</v>
      </c>
      <c r="H22" s="73">
        <f>'2019-20 StepbyStep Allocations'!H13</f>
        <v>7208000</v>
      </c>
      <c r="I22" s="74">
        <f>'2019-20 StepbyStep Allocations'!BG13</f>
        <v>-37</v>
      </c>
      <c r="J22" s="75">
        <f>'2019-20 StepbyStep Allocations'!BH13</f>
        <v>-222000</v>
      </c>
      <c r="K22" s="75">
        <f>INDEX('2019-20 StepbyStep Allocations'!$BF$9:$BF$159,MATCH($C22,'2019-20 StepbyStep Allocations'!$C$9:$C$159,0))</f>
        <v>1916147.76</v>
      </c>
      <c r="L22" s="73">
        <f t="shared" si="0"/>
        <v>83541203.777281865</v>
      </c>
      <c r="M22"/>
      <c r="N22"/>
      <c r="O22"/>
    </row>
    <row r="23" spans="2:15" s="44" customFormat="1" ht="15.4" x14ac:dyDescent="0.45">
      <c r="B23" s="76" t="s">
        <v>109</v>
      </c>
      <c r="C23" s="77">
        <v>928</v>
      </c>
      <c r="D23" s="78" t="s">
        <v>115</v>
      </c>
      <c r="E23" s="70">
        <f>'2019-20 StepbyStep Allocations'!BP14-'2019-20 StepbyStep Allocations'!BH14-'2019-20 StepbyStep Allocations'!H14-'2019-20 StepbyStep Allocations'!BF14</f>
        <v>65818404.157937735</v>
      </c>
      <c r="F23" s="71">
        <f>'2019-20 StepbyStep Allocations'!F14</f>
        <v>1627</v>
      </c>
      <c r="G23" s="72">
        <f>'2019-20 StepbyStep Allocations'!G14</f>
        <v>4019.755070546948</v>
      </c>
      <c r="H23" s="73">
        <f>'2019-20 StepbyStep Allocations'!H14</f>
        <v>6540141.4997798847</v>
      </c>
      <c r="I23" s="74">
        <f>'2019-20 StepbyStep Allocations'!BG14</f>
        <v>-121.5</v>
      </c>
      <c r="J23" s="75">
        <f>'2019-20 StepbyStep Allocations'!BH14</f>
        <v>-729000</v>
      </c>
      <c r="K23" s="75">
        <f>INDEX('2019-20 StepbyStep Allocations'!$BF$9:$BF$159,MATCH($C23,'2019-20 StepbyStep Allocations'!$C$9:$C$159,0))</f>
        <v>1322413.2</v>
      </c>
      <c r="L23" s="73">
        <f t="shared" si="0"/>
        <v>72951958.857717618</v>
      </c>
      <c r="M23"/>
      <c r="N23"/>
      <c r="O23"/>
    </row>
    <row r="24" spans="2:15" s="44" customFormat="1" ht="15.4" x14ac:dyDescent="0.45">
      <c r="B24" s="76" t="s">
        <v>109</v>
      </c>
      <c r="C24" s="77">
        <v>892</v>
      </c>
      <c r="D24" s="78" t="s">
        <v>116</v>
      </c>
      <c r="E24" s="70">
        <f>'2019-20 StepbyStep Allocations'!BP15-'2019-20 StepbyStep Allocations'!BH15-'2019-20 StepbyStep Allocations'!H15-'2019-20 StepbyStep Allocations'!BF15</f>
        <v>28497870.202038445</v>
      </c>
      <c r="F24" s="71">
        <f>'2019-20 StepbyStep Allocations'!F15</f>
        <v>546.5</v>
      </c>
      <c r="G24" s="72">
        <f>'2019-20 StepbyStep Allocations'!G15</f>
        <v>4016.6331853470647</v>
      </c>
      <c r="H24" s="73">
        <f>'2019-20 StepbyStep Allocations'!H15</f>
        <v>2195090.035792171</v>
      </c>
      <c r="I24" s="74">
        <f>'2019-20 StepbyStep Allocations'!BG15</f>
        <v>-16</v>
      </c>
      <c r="J24" s="75">
        <f>'2019-20 StepbyStep Allocations'!BH15</f>
        <v>-96000</v>
      </c>
      <c r="K24" s="75">
        <f>INDEX('2019-20 StepbyStep Allocations'!$BF$9:$BF$159,MATCH($C24,'2019-20 StepbyStep Allocations'!$C$9:$C$159,0))</f>
        <v>1753123.48</v>
      </c>
      <c r="L24" s="73">
        <f t="shared" si="0"/>
        <v>32350083.717830617</v>
      </c>
      <c r="M24"/>
      <c r="N24"/>
      <c r="O24"/>
    </row>
    <row r="25" spans="2:15" s="44" customFormat="1" ht="15.4" x14ac:dyDescent="0.45">
      <c r="B25" s="76" t="s">
        <v>109</v>
      </c>
      <c r="C25" s="77">
        <v>891</v>
      </c>
      <c r="D25" s="78" t="s">
        <v>117</v>
      </c>
      <c r="E25" s="70">
        <f>'2019-20 StepbyStep Allocations'!BP16-'2019-20 StepbyStep Allocations'!BH16-'2019-20 StepbyStep Allocations'!H16-'2019-20 StepbyStep Allocations'!BF16</f>
        <v>61892056.88608221</v>
      </c>
      <c r="F25" s="71">
        <f>'2019-20 StepbyStep Allocations'!F16</f>
        <v>1038</v>
      </c>
      <c r="G25" s="72">
        <f>'2019-20 StepbyStep Allocations'!G16</f>
        <v>4016.6331853470647</v>
      </c>
      <c r="H25" s="73">
        <f>'2019-20 StepbyStep Allocations'!H16</f>
        <v>4169265.2463902533</v>
      </c>
      <c r="I25" s="74">
        <f>'2019-20 StepbyStep Allocations'!BG16</f>
        <v>-284.5</v>
      </c>
      <c r="J25" s="75">
        <f>'2019-20 StepbyStep Allocations'!BH16</f>
        <v>-1707000</v>
      </c>
      <c r="K25" s="75">
        <f>INDEX('2019-20 StepbyStep Allocations'!$BF$9:$BF$159,MATCH($C25,'2019-20 StepbyStep Allocations'!$C$9:$C$159,0))</f>
        <v>0</v>
      </c>
      <c r="L25" s="73">
        <f t="shared" si="0"/>
        <v>64354322.132472463</v>
      </c>
      <c r="M25"/>
      <c r="N25"/>
      <c r="O25"/>
    </row>
    <row r="26" spans="2:15" s="44" customFormat="1" ht="15.4" x14ac:dyDescent="0.45">
      <c r="B26" s="76" t="s">
        <v>109</v>
      </c>
      <c r="C26" s="77">
        <v>857</v>
      </c>
      <c r="D26" s="78" t="s">
        <v>118</v>
      </c>
      <c r="E26" s="70">
        <f>'2019-20 StepbyStep Allocations'!BP17-'2019-20 StepbyStep Allocations'!BH17-'2019-20 StepbyStep Allocations'!H17-'2019-20 StepbyStep Allocations'!BF17</f>
        <v>3851216.5008158726</v>
      </c>
      <c r="F26" s="71">
        <f>'2019-20 StepbyStep Allocations'!F17</f>
        <v>26</v>
      </c>
      <c r="G26" s="72">
        <f>'2019-20 StepbyStep Allocations'!G17</f>
        <v>4000</v>
      </c>
      <c r="H26" s="73">
        <f>'2019-20 StepbyStep Allocations'!H17</f>
        <v>104000</v>
      </c>
      <c r="I26" s="74">
        <f>'2019-20 StepbyStep Allocations'!BG17</f>
        <v>-37</v>
      </c>
      <c r="J26" s="75">
        <f>'2019-20 StepbyStep Allocations'!BH17</f>
        <v>-222000</v>
      </c>
      <c r="K26" s="75">
        <f>INDEX('2019-20 StepbyStep Allocations'!$BF$9:$BF$159,MATCH($C26,'2019-20 StepbyStep Allocations'!$C$9:$C$159,0))</f>
        <v>0</v>
      </c>
      <c r="L26" s="73">
        <f t="shared" si="0"/>
        <v>3733216.5008158726</v>
      </c>
      <c r="M26"/>
      <c r="N26"/>
      <c r="O26"/>
    </row>
    <row r="27" spans="2:15" s="44" customFormat="1" ht="15.4" x14ac:dyDescent="0.45">
      <c r="B27" s="76" t="s">
        <v>119</v>
      </c>
      <c r="C27" s="77">
        <v>822</v>
      </c>
      <c r="D27" s="78" t="s">
        <v>120</v>
      </c>
      <c r="E27" s="70">
        <f>'2019-20 StepbyStep Allocations'!BP18-'2019-20 StepbyStep Allocations'!BH18-'2019-20 StepbyStep Allocations'!H18-'2019-20 StepbyStep Allocations'!BF18</f>
        <v>19177757.064965833</v>
      </c>
      <c r="F27" s="71">
        <f>'2019-20 StepbyStep Allocations'!F18</f>
        <v>386.5</v>
      </c>
      <c r="G27" s="72">
        <f>'2019-20 StepbyStep Allocations'!G18</f>
        <v>4094.281045884884</v>
      </c>
      <c r="H27" s="73">
        <f>'2019-20 StepbyStep Allocations'!H18</f>
        <v>1582439.6242345076</v>
      </c>
      <c r="I27" s="74">
        <f>'2019-20 StepbyStep Allocations'!BG18</f>
        <v>79.5</v>
      </c>
      <c r="J27" s="75">
        <f>'2019-20 StepbyStep Allocations'!BH18</f>
        <v>477000</v>
      </c>
      <c r="K27" s="75">
        <f>INDEX('2019-20 StepbyStep Allocations'!$BF$9:$BF$159,MATCH($C27,'2019-20 StepbyStep Allocations'!$C$9:$C$159,0))</f>
        <v>672660</v>
      </c>
      <c r="L27" s="73">
        <f t="shared" si="0"/>
        <v>21909856.689200342</v>
      </c>
      <c r="M27"/>
      <c r="N27"/>
      <c r="O27"/>
    </row>
    <row r="28" spans="2:15" s="44" customFormat="1" ht="15.4" x14ac:dyDescent="0.45">
      <c r="B28" s="76" t="s">
        <v>119</v>
      </c>
      <c r="C28" s="77">
        <v>873</v>
      </c>
      <c r="D28" s="78" t="s">
        <v>121</v>
      </c>
      <c r="E28" s="70">
        <f>'2019-20 StepbyStep Allocations'!BP19-'2019-20 StepbyStep Allocations'!BH19-'2019-20 StepbyStep Allocations'!H19-'2019-20 StepbyStep Allocations'!BF19</f>
        <v>61656885.373883091</v>
      </c>
      <c r="F28" s="71">
        <f>'2019-20 StepbyStep Allocations'!F19</f>
        <v>1196.5</v>
      </c>
      <c r="G28" s="72">
        <f>'2019-20 StepbyStep Allocations'!G19</f>
        <v>4077.2091827888294</v>
      </c>
      <c r="H28" s="73">
        <f>'2019-20 StepbyStep Allocations'!H19</f>
        <v>4878380.7872068342</v>
      </c>
      <c r="I28" s="74">
        <f>'2019-20 StepbyStep Allocations'!BG19</f>
        <v>-82</v>
      </c>
      <c r="J28" s="75">
        <f>'2019-20 StepbyStep Allocations'!BH19</f>
        <v>-492000</v>
      </c>
      <c r="K28" s="75">
        <f>INDEX('2019-20 StepbyStep Allocations'!$BF$9:$BF$159,MATCH($C28,'2019-20 StepbyStep Allocations'!$C$9:$C$159,0))</f>
        <v>630240</v>
      </c>
      <c r="L28" s="73">
        <f t="shared" si="0"/>
        <v>66673506.161089927</v>
      </c>
      <c r="M28"/>
      <c r="N28"/>
      <c r="O28"/>
    </row>
    <row r="29" spans="2:15" s="44" customFormat="1" ht="15.4" x14ac:dyDescent="0.45">
      <c r="B29" s="76" t="s">
        <v>119</v>
      </c>
      <c r="C29" s="77">
        <v>823</v>
      </c>
      <c r="D29" s="78" t="s">
        <v>122</v>
      </c>
      <c r="E29" s="70">
        <f>'2019-20 StepbyStep Allocations'!BP20-'2019-20 StepbyStep Allocations'!BH20-'2019-20 StepbyStep Allocations'!H20-'2019-20 StepbyStep Allocations'!BF20</f>
        <v>24780623.228392109</v>
      </c>
      <c r="F29" s="71">
        <f>'2019-20 StepbyStep Allocations'!F20</f>
        <v>622</v>
      </c>
      <c r="G29" s="72">
        <f>'2019-20 StepbyStep Allocations'!G20</f>
        <v>4094.281045884884</v>
      </c>
      <c r="H29" s="73">
        <f>'2019-20 StepbyStep Allocations'!H20</f>
        <v>2546642.8105403977</v>
      </c>
      <c r="I29" s="74">
        <f>'2019-20 StepbyStep Allocations'!BG20</f>
        <v>27.5</v>
      </c>
      <c r="J29" s="75">
        <f>'2019-20 StepbyStep Allocations'!BH20</f>
        <v>165000</v>
      </c>
      <c r="K29" s="75">
        <f>INDEX('2019-20 StepbyStep Allocations'!$BF$9:$BF$159,MATCH($C29,'2019-20 StepbyStep Allocations'!$C$9:$C$159,0))</f>
        <v>669119.94999999995</v>
      </c>
      <c r="L29" s="73">
        <f t="shared" si="0"/>
        <v>28161385.988932505</v>
      </c>
      <c r="M29"/>
      <c r="N29"/>
      <c r="O29"/>
    </row>
    <row r="30" spans="2:15" s="44" customFormat="1" ht="15.4" x14ac:dyDescent="0.45">
      <c r="B30" s="76" t="s">
        <v>119</v>
      </c>
      <c r="C30" s="77">
        <v>881</v>
      </c>
      <c r="D30" s="78" t="s">
        <v>123</v>
      </c>
      <c r="E30" s="70">
        <f>'2019-20 StepbyStep Allocations'!BP21-'2019-20 StepbyStep Allocations'!BH21-'2019-20 StepbyStep Allocations'!H21-'2019-20 StepbyStep Allocations'!BF21</f>
        <v>127007658.18644279</v>
      </c>
      <c r="F30" s="71">
        <f>'2019-20 StepbyStep Allocations'!F21</f>
        <v>2839.5</v>
      </c>
      <c r="G30" s="72">
        <f>'2019-20 StepbyStep Allocations'!G21</f>
        <v>4075.7679184212261</v>
      </c>
      <c r="H30" s="73">
        <f>'2019-20 StepbyStep Allocations'!H21</f>
        <v>11573143.004357072</v>
      </c>
      <c r="I30" s="74">
        <f>'2019-20 StepbyStep Allocations'!BG21</f>
        <v>-167.5</v>
      </c>
      <c r="J30" s="75">
        <f>'2019-20 StepbyStep Allocations'!BH21</f>
        <v>-1005000</v>
      </c>
      <c r="K30" s="75">
        <f>INDEX('2019-20 StepbyStep Allocations'!$BF$9:$BF$159,MATCH($C30,'2019-20 StepbyStep Allocations'!$C$9:$C$159,0))</f>
        <v>0</v>
      </c>
      <c r="L30" s="73">
        <f t="shared" si="0"/>
        <v>137575801.19079986</v>
      </c>
      <c r="M30"/>
      <c r="N30"/>
      <c r="O30"/>
    </row>
    <row r="31" spans="2:15" s="44" customFormat="1" ht="15.4" x14ac:dyDescent="0.45">
      <c r="B31" s="76" t="s">
        <v>119</v>
      </c>
      <c r="C31" s="77">
        <v>919</v>
      </c>
      <c r="D31" s="78" t="s">
        <v>124</v>
      </c>
      <c r="E31" s="70">
        <f>'2019-20 StepbyStep Allocations'!BP22-'2019-20 StepbyStep Allocations'!BH22-'2019-20 StepbyStep Allocations'!H22-'2019-20 StepbyStep Allocations'!BF22</f>
        <v>99106727.200609028</v>
      </c>
      <c r="F31" s="71">
        <f>'2019-20 StepbyStep Allocations'!F22</f>
        <v>2329.5</v>
      </c>
      <c r="G31" s="72">
        <f>'2019-20 StepbyStep Allocations'!G22</f>
        <v>4210.1044686222058</v>
      </c>
      <c r="H31" s="73">
        <f>'2019-20 StepbyStep Allocations'!H22</f>
        <v>9807438.3596554287</v>
      </c>
      <c r="I31" s="74">
        <f>'2019-20 StepbyStep Allocations'!BG22</f>
        <v>143</v>
      </c>
      <c r="J31" s="75">
        <f>'2019-20 StepbyStep Allocations'!BH22</f>
        <v>858000</v>
      </c>
      <c r="K31" s="75">
        <f>INDEX('2019-20 StepbyStep Allocations'!$BF$9:$BF$159,MATCH($C31,'2019-20 StepbyStep Allocations'!$C$9:$C$159,0))</f>
        <v>1341843.58</v>
      </c>
      <c r="L31" s="73">
        <f t="shared" si="0"/>
        <v>111114009.14026445</v>
      </c>
      <c r="M31"/>
      <c r="N31"/>
      <c r="O31"/>
    </row>
    <row r="32" spans="2:15" s="44" customFormat="1" ht="15.4" x14ac:dyDescent="0.45">
      <c r="B32" s="76" t="s">
        <v>119</v>
      </c>
      <c r="C32" s="77">
        <v>821</v>
      </c>
      <c r="D32" s="78" t="s">
        <v>125</v>
      </c>
      <c r="E32" s="70">
        <f>'2019-20 StepbyStep Allocations'!BP23-'2019-20 StepbyStep Allocations'!BH23-'2019-20 StepbyStep Allocations'!H23-'2019-20 StepbyStep Allocations'!BF23</f>
        <v>26937600.60505458</v>
      </c>
      <c r="F32" s="71">
        <f>'2019-20 StepbyStep Allocations'!F23</f>
        <v>506</v>
      </c>
      <c r="G32" s="72">
        <f>'2019-20 StepbyStep Allocations'!G23</f>
        <v>4094.281045884884</v>
      </c>
      <c r="H32" s="73">
        <f>'2019-20 StepbyStep Allocations'!H23</f>
        <v>2071706.2092177512</v>
      </c>
      <c r="I32" s="74">
        <f>'2019-20 StepbyStep Allocations'!BG23</f>
        <v>-133</v>
      </c>
      <c r="J32" s="75">
        <f>'2019-20 StepbyStep Allocations'!BH23</f>
        <v>-798000</v>
      </c>
      <c r="K32" s="75">
        <f>INDEX('2019-20 StepbyStep Allocations'!$BF$9:$BF$159,MATCH($C32,'2019-20 StepbyStep Allocations'!$C$9:$C$159,0))</f>
        <v>55823.71</v>
      </c>
      <c r="L32" s="73">
        <f t="shared" si="0"/>
        <v>28267130.52427233</v>
      </c>
      <c r="M32"/>
      <c r="N32"/>
      <c r="O32"/>
    </row>
    <row r="33" spans="2:15" s="44" customFormat="1" ht="15.4" x14ac:dyDescent="0.45">
      <c r="B33" s="76" t="s">
        <v>119</v>
      </c>
      <c r="C33" s="77">
        <v>926</v>
      </c>
      <c r="D33" s="78" t="s">
        <v>126</v>
      </c>
      <c r="E33" s="70">
        <f>'2019-20 StepbyStep Allocations'!BP24-'2019-20 StepbyStep Allocations'!BH24-'2019-20 StepbyStep Allocations'!H24-'2019-20 StepbyStep Allocations'!BF24</f>
        <v>72378108.683520094</v>
      </c>
      <c r="F33" s="71">
        <f>'2019-20 StepbyStep Allocations'!F24</f>
        <v>1749.5</v>
      </c>
      <c r="G33" s="72">
        <f>'2019-20 StepbyStep Allocations'!G24</f>
        <v>4000</v>
      </c>
      <c r="H33" s="73">
        <f>'2019-20 StepbyStep Allocations'!H24</f>
        <v>6998000</v>
      </c>
      <c r="I33" s="74">
        <f>'2019-20 StepbyStep Allocations'!BG24</f>
        <v>-42.5</v>
      </c>
      <c r="J33" s="75">
        <f>'2019-20 StepbyStep Allocations'!BH24</f>
        <v>-255000</v>
      </c>
      <c r="K33" s="75">
        <f>INDEX('2019-20 StepbyStep Allocations'!$BF$9:$BF$159,MATCH($C33,'2019-20 StepbyStep Allocations'!$C$9:$C$159,0))</f>
        <v>0</v>
      </c>
      <c r="L33" s="73">
        <f t="shared" si="0"/>
        <v>79121108.683520094</v>
      </c>
      <c r="M33"/>
      <c r="N33"/>
      <c r="O33"/>
    </row>
    <row r="34" spans="2:15" s="44" customFormat="1" ht="15.4" x14ac:dyDescent="0.45">
      <c r="B34" s="76" t="s">
        <v>119</v>
      </c>
      <c r="C34" s="77">
        <v>874</v>
      </c>
      <c r="D34" s="78" t="s">
        <v>127</v>
      </c>
      <c r="E34" s="70">
        <f>'2019-20 StepbyStep Allocations'!BP25-'2019-20 StepbyStep Allocations'!BH25-'2019-20 StepbyStep Allocations'!H25-'2019-20 StepbyStep Allocations'!BF25</f>
        <v>25767986.894964453</v>
      </c>
      <c r="F34" s="71">
        <f>'2019-20 StepbyStep Allocations'!F25</f>
        <v>606</v>
      </c>
      <c r="G34" s="72">
        <f>'2019-20 StepbyStep Allocations'!G25</f>
        <v>4077.2091827888294</v>
      </c>
      <c r="H34" s="73">
        <f>'2019-20 StepbyStep Allocations'!H25</f>
        <v>2470788.7647700305</v>
      </c>
      <c r="I34" s="74">
        <f>'2019-20 StepbyStep Allocations'!BG25</f>
        <v>63</v>
      </c>
      <c r="J34" s="75">
        <f>'2019-20 StepbyStep Allocations'!BH25</f>
        <v>378000</v>
      </c>
      <c r="K34" s="75">
        <f>INDEX('2019-20 StepbyStep Allocations'!$BF$9:$BF$159,MATCH($C34,'2019-20 StepbyStep Allocations'!$C$9:$C$159,0))</f>
        <v>251490</v>
      </c>
      <c r="L34" s="73">
        <f t="shared" si="0"/>
        <v>28868265.659734484</v>
      </c>
      <c r="M34"/>
      <c r="N34"/>
      <c r="O34"/>
    </row>
    <row r="35" spans="2:15" s="44" customFormat="1" ht="15.4" x14ac:dyDescent="0.45">
      <c r="B35" s="76" t="s">
        <v>119</v>
      </c>
      <c r="C35" s="77">
        <v>882</v>
      </c>
      <c r="D35" s="78" t="s">
        <v>128</v>
      </c>
      <c r="E35" s="70">
        <f>'2019-20 StepbyStep Allocations'!BP26-'2019-20 StepbyStep Allocations'!BH26-'2019-20 StepbyStep Allocations'!H26-'2019-20 StepbyStep Allocations'!BF26</f>
        <v>16189304.020841524</v>
      </c>
      <c r="F35" s="71">
        <f>'2019-20 StepbyStep Allocations'!F26</f>
        <v>566</v>
      </c>
      <c r="G35" s="72">
        <f>'2019-20 StepbyStep Allocations'!G26</f>
        <v>4021.2951812572869</v>
      </c>
      <c r="H35" s="73">
        <f>'2019-20 StepbyStep Allocations'!H26</f>
        <v>2276053.0725916242</v>
      </c>
      <c r="I35" s="74">
        <f>'2019-20 StepbyStep Allocations'!BG26</f>
        <v>64</v>
      </c>
      <c r="J35" s="75">
        <f>'2019-20 StepbyStep Allocations'!BH26</f>
        <v>384000</v>
      </c>
      <c r="K35" s="75">
        <f>INDEX('2019-20 StepbyStep Allocations'!$BF$9:$BF$159,MATCH($C35,'2019-20 StepbyStep Allocations'!$C$9:$C$159,0))</f>
        <v>32320</v>
      </c>
      <c r="L35" s="73">
        <f t="shared" si="0"/>
        <v>18881677.093433149</v>
      </c>
      <c r="M35"/>
      <c r="N35"/>
      <c r="O35"/>
    </row>
    <row r="36" spans="2:15" s="44" customFormat="1" ht="15.4" x14ac:dyDescent="0.45">
      <c r="B36" s="76" t="s">
        <v>119</v>
      </c>
      <c r="C36" s="77">
        <v>935</v>
      </c>
      <c r="D36" s="78" t="s">
        <v>129</v>
      </c>
      <c r="E36" s="70">
        <f>'2019-20 StepbyStep Allocations'!BP27-'2019-20 StepbyStep Allocations'!BH27-'2019-20 StepbyStep Allocations'!H27-'2019-20 StepbyStep Allocations'!BF27</f>
        <v>56698211.625627473</v>
      </c>
      <c r="F36" s="71">
        <f>'2019-20 StepbyStep Allocations'!F27</f>
        <v>1208</v>
      </c>
      <c r="G36" s="72">
        <f>'2019-20 StepbyStep Allocations'!G27</f>
        <v>4000.1437308701757</v>
      </c>
      <c r="H36" s="73">
        <f>'2019-20 StepbyStep Allocations'!H27</f>
        <v>4832173.6268911725</v>
      </c>
      <c r="I36" s="74">
        <f>'2019-20 StepbyStep Allocations'!BG27</f>
        <v>14.5</v>
      </c>
      <c r="J36" s="75">
        <f>'2019-20 StepbyStep Allocations'!BH27</f>
        <v>87000</v>
      </c>
      <c r="K36" s="75">
        <f>INDEX('2019-20 StepbyStep Allocations'!$BF$9:$BF$159,MATCH($C36,'2019-20 StepbyStep Allocations'!$C$9:$C$159,0))</f>
        <v>121200</v>
      </c>
      <c r="L36" s="73">
        <f t="shared" si="0"/>
        <v>61738585.252518646</v>
      </c>
      <c r="M36"/>
      <c r="N36"/>
      <c r="O36"/>
    </row>
    <row r="37" spans="2:15" s="44" customFormat="1" ht="15.4" x14ac:dyDescent="0.45">
      <c r="B37" s="76" t="s">
        <v>119</v>
      </c>
      <c r="C37" s="77">
        <v>883</v>
      </c>
      <c r="D37" s="78" t="s">
        <v>130</v>
      </c>
      <c r="E37" s="70">
        <f>'2019-20 StepbyStep Allocations'!BP28-'2019-20 StepbyStep Allocations'!BH28-'2019-20 StepbyStep Allocations'!H28-'2019-20 StepbyStep Allocations'!BF28</f>
        <v>21555686.099935841</v>
      </c>
      <c r="F37" s="71">
        <f>'2019-20 StepbyStep Allocations'!F28</f>
        <v>379</v>
      </c>
      <c r="G37" s="72">
        <f>'2019-20 StepbyStep Allocations'!G28</f>
        <v>4181.0081434048579</v>
      </c>
      <c r="H37" s="73">
        <f>'2019-20 StepbyStep Allocations'!H28</f>
        <v>1584602.0863504412</v>
      </c>
      <c r="I37" s="74">
        <f>'2019-20 StepbyStep Allocations'!BG28</f>
        <v>-62.5</v>
      </c>
      <c r="J37" s="75">
        <f>'2019-20 StepbyStep Allocations'!BH28</f>
        <v>-375000</v>
      </c>
      <c r="K37" s="75">
        <f>INDEX('2019-20 StepbyStep Allocations'!$BF$9:$BF$159,MATCH($C37,'2019-20 StepbyStep Allocations'!$C$9:$C$159,0))</f>
        <v>0</v>
      </c>
      <c r="L37" s="73">
        <f t="shared" si="0"/>
        <v>22765288.186286282</v>
      </c>
      <c r="M37"/>
      <c r="N37"/>
      <c r="O37"/>
    </row>
    <row r="38" spans="2:15" s="44" customFormat="1" ht="15.4" x14ac:dyDescent="0.45">
      <c r="B38" s="76" t="s">
        <v>131</v>
      </c>
      <c r="C38" s="77">
        <v>202</v>
      </c>
      <c r="D38" s="78" t="s">
        <v>132</v>
      </c>
      <c r="E38" s="70">
        <f>'2019-20 StepbyStep Allocations'!BP29-'2019-20 StepbyStep Allocations'!BH29-'2019-20 StepbyStep Allocations'!H29-'2019-20 StepbyStep Allocations'!BF29</f>
        <v>30181878.542174894</v>
      </c>
      <c r="F38" s="71">
        <f>'2019-20 StepbyStep Allocations'!F29</f>
        <v>353</v>
      </c>
      <c r="G38" s="72">
        <f>'2019-20 StepbyStep Allocations'!G29</f>
        <v>4822.5315121095118</v>
      </c>
      <c r="H38" s="73">
        <f>'2019-20 StepbyStep Allocations'!H29</f>
        <v>1702353.6237746577</v>
      </c>
      <c r="I38" s="74">
        <f>'2019-20 StepbyStep Allocations'!BG29</f>
        <v>236.5</v>
      </c>
      <c r="J38" s="75">
        <f>'2019-20 StepbyStep Allocations'!BH29</f>
        <v>1419000</v>
      </c>
      <c r="K38" s="75">
        <f>INDEX('2019-20 StepbyStep Allocations'!$BF$9:$BF$159,MATCH($C38,'2019-20 StepbyStep Allocations'!$C$9:$C$159,0))</f>
        <v>2509673.2499999995</v>
      </c>
      <c r="L38" s="73">
        <f t="shared" si="0"/>
        <v>35812905.415949553</v>
      </c>
      <c r="M38"/>
      <c r="N38"/>
      <c r="O38"/>
    </row>
    <row r="39" spans="2:15" s="44" customFormat="1" ht="15.4" x14ac:dyDescent="0.45">
      <c r="B39" s="76" t="s">
        <v>131</v>
      </c>
      <c r="C39" s="77">
        <v>204</v>
      </c>
      <c r="D39" s="78" t="s">
        <v>133</v>
      </c>
      <c r="E39" s="70">
        <f>'2019-20 StepbyStep Allocations'!BP30-'2019-20 StepbyStep Allocations'!BH30-'2019-20 StepbyStep Allocations'!H30-'2019-20 StepbyStep Allocations'!BF30</f>
        <v>40549447.554048508</v>
      </c>
      <c r="F39" s="71">
        <f>'2019-20 StepbyStep Allocations'!F30</f>
        <v>620</v>
      </c>
      <c r="G39" s="72">
        <f>'2019-20 StepbyStep Allocations'!G30</f>
        <v>4822.5315121095118</v>
      </c>
      <c r="H39" s="73">
        <f>'2019-20 StepbyStep Allocations'!H30</f>
        <v>2989969.5375078972</v>
      </c>
      <c r="I39" s="74">
        <f>'2019-20 StepbyStep Allocations'!BG30</f>
        <v>-113</v>
      </c>
      <c r="J39" s="75">
        <f>'2019-20 StepbyStep Allocations'!BH30</f>
        <v>-678000</v>
      </c>
      <c r="K39" s="75">
        <f>INDEX('2019-20 StepbyStep Allocations'!$BF$9:$BF$159,MATCH($C39,'2019-20 StepbyStep Allocations'!$C$9:$C$159,0))</f>
        <v>0</v>
      </c>
      <c r="L39" s="73">
        <f t="shared" si="0"/>
        <v>42861417.091556408</v>
      </c>
      <c r="M39"/>
      <c r="N39"/>
      <c r="O39"/>
    </row>
    <row r="40" spans="2:15" s="44" customFormat="1" ht="15.4" x14ac:dyDescent="0.45">
      <c r="B40" s="76" t="s">
        <v>131</v>
      </c>
      <c r="C40" s="77">
        <v>205</v>
      </c>
      <c r="D40" s="78" t="s">
        <v>134</v>
      </c>
      <c r="E40" s="70">
        <f>'2019-20 StepbyStep Allocations'!BP31-'2019-20 StepbyStep Allocations'!BH31-'2019-20 StepbyStep Allocations'!H31-'2019-20 StepbyStep Allocations'!BF31</f>
        <v>17072731.417409066</v>
      </c>
      <c r="F40" s="71">
        <f>'2019-20 StepbyStep Allocations'!F31</f>
        <v>481</v>
      </c>
      <c r="G40" s="72">
        <f>'2019-20 StepbyStep Allocations'!G31</f>
        <v>4822.5315121095118</v>
      </c>
      <c r="H40" s="73">
        <f>'2019-20 StepbyStep Allocations'!H31</f>
        <v>2319637.657324675</v>
      </c>
      <c r="I40" s="74">
        <f>'2019-20 StepbyStep Allocations'!BG31</f>
        <v>343</v>
      </c>
      <c r="J40" s="75">
        <f>'2019-20 StepbyStep Allocations'!BH31</f>
        <v>2058000</v>
      </c>
      <c r="K40" s="75">
        <f>INDEX('2019-20 StepbyStep Allocations'!$BF$9:$BF$159,MATCH($C40,'2019-20 StepbyStep Allocations'!$C$9:$C$159,0))</f>
        <v>303000</v>
      </c>
      <c r="L40" s="73">
        <f t="shared" si="0"/>
        <v>21753369.074733742</v>
      </c>
      <c r="M40"/>
      <c r="N40"/>
      <c r="O40"/>
    </row>
    <row r="41" spans="2:15" s="44" customFormat="1" ht="15.4" x14ac:dyDescent="0.45">
      <c r="B41" s="76" t="s">
        <v>131</v>
      </c>
      <c r="C41" s="77">
        <v>309</v>
      </c>
      <c r="D41" s="78" t="s">
        <v>135</v>
      </c>
      <c r="E41" s="70">
        <f>'2019-20 StepbyStep Allocations'!BP32-'2019-20 StepbyStep Allocations'!BH32-'2019-20 StepbyStep Allocations'!H32-'2019-20 StepbyStep Allocations'!BF32</f>
        <v>33629054.884460375</v>
      </c>
      <c r="F41" s="71">
        <f>'2019-20 StepbyStep Allocations'!F32</f>
        <v>393</v>
      </c>
      <c r="G41" s="72">
        <f>'2019-20 StepbyStep Allocations'!G32</f>
        <v>4497.4310399362021</v>
      </c>
      <c r="H41" s="73">
        <f>'2019-20 StepbyStep Allocations'!H32</f>
        <v>1767490.3986949273</v>
      </c>
      <c r="I41" s="74">
        <f>'2019-20 StepbyStep Allocations'!BG32</f>
        <v>-86.5</v>
      </c>
      <c r="J41" s="75">
        <f>'2019-20 StepbyStep Allocations'!BH32</f>
        <v>-519000</v>
      </c>
      <c r="K41" s="75">
        <f>INDEX('2019-20 StepbyStep Allocations'!$BF$9:$BF$159,MATCH($C41,'2019-20 StepbyStep Allocations'!$C$9:$C$159,0))</f>
        <v>323200</v>
      </c>
      <c r="L41" s="73">
        <f t="shared" si="0"/>
        <v>35200745.2831553</v>
      </c>
      <c r="M41"/>
      <c r="N41"/>
      <c r="O41"/>
    </row>
    <row r="42" spans="2:15" s="44" customFormat="1" ht="15.4" x14ac:dyDescent="0.45">
      <c r="B42" s="76" t="s">
        <v>131</v>
      </c>
      <c r="C42" s="77">
        <v>206</v>
      </c>
      <c r="D42" s="78" t="s">
        <v>136</v>
      </c>
      <c r="E42" s="70">
        <f>'2019-20 StepbyStep Allocations'!BP33-'2019-20 StepbyStep Allocations'!BH33-'2019-20 StepbyStep Allocations'!H33-'2019-20 StepbyStep Allocations'!BF33</f>
        <v>26716757.062753163</v>
      </c>
      <c r="F42" s="71">
        <f>'2019-20 StepbyStep Allocations'!F33</f>
        <v>382.5</v>
      </c>
      <c r="G42" s="72">
        <f>'2019-20 StepbyStep Allocations'!G33</f>
        <v>4822.5315121095118</v>
      </c>
      <c r="H42" s="73">
        <f>'2019-20 StepbyStep Allocations'!H33</f>
        <v>1844618.3033818882</v>
      </c>
      <c r="I42" s="74">
        <f>'2019-20 StepbyStep Allocations'!BG33</f>
        <v>-40</v>
      </c>
      <c r="J42" s="75">
        <f>'2019-20 StepbyStep Allocations'!BH33</f>
        <v>-240000</v>
      </c>
      <c r="K42" s="75">
        <f>INDEX('2019-20 StepbyStep Allocations'!$BF$9:$BF$159,MATCH($C42,'2019-20 StepbyStep Allocations'!$C$9:$C$159,0))</f>
        <v>0</v>
      </c>
      <c r="L42" s="73">
        <f t="shared" si="0"/>
        <v>28321375.366135053</v>
      </c>
      <c r="M42"/>
      <c r="N42"/>
      <c r="O42"/>
    </row>
    <row r="43" spans="2:15" s="44" customFormat="1" ht="15.4" x14ac:dyDescent="0.45">
      <c r="B43" s="76" t="s">
        <v>131</v>
      </c>
      <c r="C43" s="77">
        <v>207</v>
      </c>
      <c r="D43" s="78" t="s">
        <v>137</v>
      </c>
      <c r="E43" s="70">
        <f>'2019-20 StepbyStep Allocations'!BP34-'2019-20 StepbyStep Allocations'!BH34-'2019-20 StepbyStep Allocations'!H34-'2019-20 StepbyStep Allocations'!BF34</f>
        <v>13739371.04725684</v>
      </c>
      <c r="F43" s="71">
        <f>'2019-20 StepbyStep Allocations'!F34</f>
        <v>151</v>
      </c>
      <c r="G43" s="72">
        <f>'2019-20 StepbyStep Allocations'!G34</f>
        <v>4822.5315121095118</v>
      </c>
      <c r="H43" s="73">
        <f>'2019-20 StepbyStep Allocations'!H34</f>
        <v>728202.25832853629</v>
      </c>
      <c r="I43" s="74">
        <f>'2019-20 StepbyStep Allocations'!BG34</f>
        <v>67.5</v>
      </c>
      <c r="J43" s="75">
        <f>'2019-20 StepbyStep Allocations'!BH34</f>
        <v>405000</v>
      </c>
      <c r="K43" s="75">
        <f>INDEX('2019-20 StepbyStep Allocations'!$BF$9:$BF$159,MATCH($C43,'2019-20 StepbyStep Allocations'!$C$9:$C$159,0))</f>
        <v>1479650</v>
      </c>
      <c r="L43" s="73">
        <f t="shared" si="0"/>
        <v>16352223.305585377</v>
      </c>
      <c r="M43"/>
      <c r="N43"/>
      <c r="O43"/>
    </row>
    <row r="44" spans="2:15" s="44" customFormat="1" ht="15.4" x14ac:dyDescent="0.45">
      <c r="B44" s="76" t="s">
        <v>131</v>
      </c>
      <c r="C44" s="77">
        <v>208</v>
      </c>
      <c r="D44" s="78" t="s">
        <v>138</v>
      </c>
      <c r="E44" s="70">
        <f>'2019-20 StepbyStep Allocations'!BP35-'2019-20 StepbyStep Allocations'!BH35-'2019-20 StepbyStep Allocations'!H35-'2019-20 StepbyStep Allocations'!BF35</f>
        <v>39662434.520527765</v>
      </c>
      <c r="F44" s="71">
        <f>'2019-20 StepbyStep Allocations'!F35</f>
        <v>494</v>
      </c>
      <c r="G44" s="72">
        <f>'2019-20 StepbyStep Allocations'!G35</f>
        <v>4822.5315121095118</v>
      </c>
      <c r="H44" s="73">
        <f>'2019-20 StepbyStep Allocations'!H35</f>
        <v>2382330.5669820989</v>
      </c>
      <c r="I44" s="74">
        <f>'2019-20 StepbyStep Allocations'!BG35</f>
        <v>-34</v>
      </c>
      <c r="J44" s="75">
        <f>'2019-20 StepbyStep Allocations'!BH35</f>
        <v>-204000</v>
      </c>
      <c r="K44" s="75">
        <f>INDEX('2019-20 StepbyStep Allocations'!$BF$9:$BF$159,MATCH($C44,'2019-20 StepbyStep Allocations'!$C$9:$C$159,0))</f>
        <v>0</v>
      </c>
      <c r="L44" s="73">
        <f t="shared" si="0"/>
        <v>41840765.087509863</v>
      </c>
      <c r="M44"/>
      <c r="N44"/>
      <c r="O44"/>
    </row>
    <row r="45" spans="2:15" s="44" customFormat="1" ht="15.4" x14ac:dyDescent="0.45">
      <c r="B45" s="76" t="s">
        <v>131</v>
      </c>
      <c r="C45" s="77">
        <v>209</v>
      </c>
      <c r="D45" s="78" t="s">
        <v>139</v>
      </c>
      <c r="E45" s="70">
        <f>'2019-20 StepbyStep Allocations'!BP36-'2019-20 StepbyStep Allocations'!BH36-'2019-20 StepbyStep Allocations'!H36-'2019-20 StepbyStep Allocations'!BF36</f>
        <v>49084477.180619873</v>
      </c>
      <c r="F45" s="71">
        <f>'2019-20 StepbyStep Allocations'!F36</f>
        <v>669</v>
      </c>
      <c r="G45" s="72">
        <f>'2019-20 StepbyStep Allocations'!G36</f>
        <v>4822.5315121095118</v>
      </c>
      <c r="H45" s="73">
        <f>'2019-20 StepbyStep Allocations'!H36</f>
        <v>3226273.5816012635</v>
      </c>
      <c r="I45" s="74">
        <f>'2019-20 StepbyStep Allocations'!BG36</f>
        <v>-328</v>
      </c>
      <c r="J45" s="75">
        <f>'2019-20 StepbyStep Allocations'!BH36</f>
        <v>-1968000</v>
      </c>
      <c r="K45" s="75">
        <f>INDEX('2019-20 StepbyStep Allocations'!$BF$9:$BF$159,MATCH($C45,'2019-20 StepbyStep Allocations'!$C$9:$C$159,0))</f>
        <v>176105.4496209588</v>
      </c>
      <c r="L45" s="73">
        <f t="shared" si="0"/>
        <v>50518856.211842097</v>
      </c>
      <c r="M45"/>
      <c r="N45"/>
      <c r="O45"/>
    </row>
    <row r="46" spans="2:15" s="44" customFormat="1" ht="15.4" x14ac:dyDescent="0.45">
      <c r="B46" s="76" t="s">
        <v>131</v>
      </c>
      <c r="C46" s="77">
        <v>316</v>
      </c>
      <c r="D46" s="78" t="s">
        <v>140</v>
      </c>
      <c r="E46" s="70">
        <f>'2019-20 StepbyStep Allocations'!BP37-'2019-20 StepbyStep Allocations'!BH37-'2019-20 StepbyStep Allocations'!H37-'2019-20 StepbyStep Allocations'!BF37</f>
        <v>47075848.110632315</v>
      </c>
      <c r="F46" s="71">
        <f>'2019-20 StepbyStep Allocations'!F37</f>
        <v>146.5</v>
      </c>
      <c r="G46" s="72">
        <f>'2019-20 StepbyStep Allocations'!G37</f>
        <v>4497.4310399362021</v>
      </c>
      <c r="H46" s="73">
        <f>'2019-20 StepbyStep Allocations'!H37</f>
        <v>658873.64735065366</v>
      </c>
      <c r="I46" s="74">
        <f>'2019-20 StepbyStep Allocations'!BG37</f>
        <v>-61</v>
      </c>
      <c r="J46" s="75">
        <f>'2019-20 StepbyStep Allocations'!BH37</f>
        <v>-366000</v>
      </c>
      <c r="K46" s="75">
        <f>INDEX('2019-20 StepbyStep Allocations'!$BF$9:$BF$159,MATCH($C46,'2019-20 StepbyStep Allocations'!$C$9:$C$159,0))</f>
        <v>0</v>
      </c>
      <c r="L46" s="73">
        <f t="shared" si="0"/>
        <v>47368721.757982969</v>
      </c>
      <c r="M46"/>
      <c r="N46"/>
      <c r="O46"/>
    </row>
    <row r="47" spans="2:15" s="44" customFormat="1" ht="15.4" x14ac:dyDescent="0.45">
      <c r="B47" s="76" t="s">
        <v>131</v>
      </c>
      <c r="C47" s="77">
        <v>210</v>
      </c>
      <c r="D47" s="78" t="s">
        <v>141</v>
      </c>
      <c r="E47" s="70">
        <f>'2019-20 StepbyStep Allocations'!BP38-'2019-20 StepbyStep Allocations'!BH38-'2019-20 StepbyStep Allocations'!H38-'2019-20 StepbyStep Allocations'!BF38</f>
        <v>39671853.460417092</v>
      </c>
      <c r="F47" s="71">
        <f>'2019-20 StepbyStep Allocations'!F38</f>
        <v>570.5</v>
      </c>
      <c r="G47" s="72">
        <f>'2019-20 StepbyStep Allocations'!G38</f>
        <v>4822.5315121095118</v>
      </c>
      <c r="H47" s="73">
        <f>'2019-20 StepbyStep Allocations'!H38</f>
        <v>2751254.2276584767</v>
      </c>
      <c r="I47" s="74">
        <f>'2019-20 StepbyStep Allocations'!BG38</f>
        <v>-247</v>
      </c>
      <c r="J47" s="75">
        <f>'2019-20 StepbyStep Allocations'!BH38</f>
        <v>-1482000</v>
      </c>
      <c r="K47" s="75">
        <f>INDEX('2019-20 StepbyStep Allocations'!$BF$9:$BF$159,MATCH($C47,'2019-20 StepbyStep Allocations'!$C$9:$C$159,0))</f>
        <v>2578491.4700000007</v>
      </c>
      <c r="L47" s="73">
        <f t="shared" si="0"/>
        <v>43519599.158075571</v>
      </c>
      <c r="M47"/>
      <c r="N47"/>
      <c r="O47"/>
    </row>
    <row r="48" spans="2:15" s="44" customFormat="1" ht="15.4" x14ac:dyDescent="0.45">
      <c r="B48" s="76" t="s">
        <v>131</v>
      </c>
      <c r="C48" s="77">
        <v>211</v>
      </c>
      <c r="D48" s="78" t="s">
        <v>142</v>
      </c>
      <c r="E48" s="70">
        <f>'2019-20 StepbyStep Allocations'!BP39-'2019-20 StepbyStep Allocations'!BH39-'2019-20 StepbyStep Allocations'!H39-'2019-20 StepbyStep Allocations'!BF39</f>
        <v>44979643.986705594</v>
      </c>
      <c r="F48" s="71">
        <f>'2019-20 StepbyStep Allocations'!F39</f>
        <v>602.5</v>
      </c>
      <c r="G48" s="72">
        <f>'2019-20 StepbyStep Allocations'!G39</f>
        <v>4822.5315121095118</v>
      </c>
      <c r="H48" s="73">
        <f>'2019-20 StepbyStep Allocations'!H39</f>
        <v>2905575.2360459808</v>
      </c>
      <c r="I48" s="74">
        <f>'2019-20 StepbyStep Allocations'!BG39</f>
        <v>204</v>
      </c>
      <c r="J48" s="75">
        <f>'2019-20 StepbyStep Allocations'!BH39</f>
        <v>1224000</v>
      </c>
      <c r="K48" s="75">
        <f>INDEX('2019-20 StepbyStep Allocations'!$BF$9:$BF$159,MATCH($C48,'2019-20 StepbyStep Allocations'!$C$9:$C$159,0))</f>
        <v>464600</v>
      </c>
      <c r="L48" s="73">
        <f t="shared" si="0"/>
        <v>49573819.222751573</v>
      </c>
      <c r="M48"/>
      <c r="N48"/>
      <c r="O48"/>
    </row>
    <row r="49" spans="2:15" s="44" customFormat="1" ht="15.4" x14ac:dyDescent="0.45">
      <c r="B49" s="76" t="s">
        <v>131</v>
      </c>
      <c r="C49" s="77">
        <v>212</v>
      </c>
      <c r="D49" s="78" t="s">
        <v>143</v>
      </c>
      <c r="E49" s="70">
        <f>'2019-20 StepbyStep Allocations'!BP40-'2019-20 StepbyStep Allocations'!BH40-'2019-20 StepbyStep Allocations'!H40-'2019-20 StepbyStep Allocations'!BF40</f>
        <v>36948009.312207952</v>
      </c>
      <c r="F49" s="71">
        <f>'2019-20 StepbyStep Allocations'!F40</f>
        <v>889</v>
      </c>
      <c r="G49" s="72">
        <f>'2019-20 StepbyStep Allocations'!G40</f>
        <v>4822.5315121095118</v>
      </c>
      <c r="H49" s="73">
        <f>'2019-20 StepbyStep Allocations'!H40</f>
        <v>4287230.5142653557</v>
      </c>
      <c r="I49" s="74">
        <f>'2019-20 StepbyStep Allocations'!BG40</f>
        <v>176.66666699999996</v>
      </c>
      <c r="J49" s="75">
        <f>'2019-20 StepbyStep Allocations'!BH40</f>
        <v>1060000.0019999999</v>
      </c>
      <c r="K49" s="75">
        <f>INDEX('2019-20 StepbyStep Allocations'!$BF$9:$BF$159,MATCH($C49,'2019-20 StepbyStep Allocations'!$C$9:$C$159,0))</f>
        <v>834236.77</v>
      </c>
      <c r="L49" s="73">
        <f t="shared" si="0"/>
        <v>43129476.59847331</v>
      </c>
      <c r="M49"/>
      <c r="N49"/>
      <c r="O49"/>
    </row>
    <row r="50" spans="2:15" s="44" customFormat="1" ht="15.4" x14ac:dyDescent="0.45">
      <c r="B50" s="76" t="s">
        <v>131</v>
      </c>
      <c r="C50" s="77">
        <v>213</v>
      </c>
      <c r="D50" s="78" t="s">
        <v>144</v>
      </c>
      <c r="E50" s="70">
        <f>'2019-20 StepbyStep Allocations'!BP41-'2019-20 StepbyStep Allocations'!BH41-'2019-20 StepbyStep Allocations'!H41-'2019-20 StepbyStep Allocations'!BF41</f>
        <v>23955044.351793669</v>
      </c>
      <c r="F50" s="71">
        <f>'2019-20 StepbyStep Allocations'!F41</f>
        <v>222</v>
      </c>
      <c r="G50" s="72">
        <f>'2019-20 StepbyStep Allocations'!G41</f>
        <v>4822.5315121095118</v>
      </c>
      <c r="H50" s="73">
        <f>'2019-20 StepbyStep Allocations'!H41</f>
        <v>1070601.9956883115</v>
      </c>
      <c r="I50" s="74">
        <f>'2019-20 StepbyStep Allocations'!BG41</f>
        <v>20</v>
      </c>
      <c r="J50" s="75">
        <f>'2019-20 StepbyStep Allocations'!BH41</f>
        <v>120000</v>
      </c>
      <c r="K50" s="75">
        <f>INDEX('2019-20 StepbyStep Allocations'!$BF$9:$BF$159,MATCH($C50,'2019-20 StepbyStep Allocations'!$C$9:$C$159,0))</f>
        <v>451470</v>
      </c>
      <c r="L50" s="73">
        <f t="shared" si="0"/>
        <v>25597116.347481981</v>
      </c>
      <c r="M50"/>
      <c r="N50"/>
      <c r="O50"/>
    </row>
    <row r="51" spans="2:15" s="44" customFormat="1" ht="15.4" x14ac:dyDescent="0.45">
      <c r="B51" s="76" t="s">
        <v>145</v>
      </c>
      <c r="C51" s="77">
        <v>841</v>
      </c>
      <c r="D51" s="78" t="s">
        <v>146</v>
      </c>
      <c r="E51" s="70">
        <f>'2019-20 StepbyStep Allocations'!BP42-'2019-20 StepbyStep Allocations'!BH42-'2019-20 StepbyStep Allocations'!H42-'2019-20 StepbyStep Allocations'!BF42</f>
        <v>10773186.928556895</v>
      </c>
      <c r="F51" s="71">
        <f>'2019-20 StepbyStep Allocations'!F42</f>
        <v>285</v>
      </c>
      <c r="G51" s="72">
        <f>'2019-20 StepbyStep Allocations'!G42</f>
        <v>4000</v>
      </c>
      <c r="H51" s="73">
        <f>'2019-20 StepbyStep Allocations'!H42</f>
        <v>1140000</v>
      </c>
      <c r="I51" s="74">
        <f>'2019-20 StepbyStep Allocations'!BG42</f>
        <v>14</v>
      </c>
      <c r="J51" s="75">
        <f>'2019-20 StepbyStep Allocations'!BH42</f>
        <v>84000</v>
      </c>
      <c r="K51" s="75">
        <f>INDEX('2019-20 StepbyStep Allocations'!$BF$9:$BF$159,MATCH($C51,'2019-20 StepbyStep Allocations'!$C$9:$C$159,0))</f>
        <v>101505</v>
      </c>
      <c r="L51" s="73">
        <f t="shared" si="0"/>
        <v>12098691.928556895</v>
      </c>
      <c r="M51"/>
      <c r="N51"/>
      <c r="O51"/>
    </row>
    <row r="52" spans="2:15" s="44" customFormat="1" ht="15.4" x14ac:dyDescent="0.45">
      <c r="B52" s="76" t="s">
        <v>145</v>
      </c>
      <c r="C52" s="77">
        <v>840</v>
      </c>
      <c r="D52" s="78" t="s">
        <v>147</v>
      </c>
      <c r="E52" s="70">
        <f>'2019-20 StepbyStep Allocations'!BP43-'2019-20 StepbyStep Allocations'!BH43-'2019-20 StepbyStep Allocations'!H43-'2019-20 StepbyStep Allocations'!BF43</f>
        <v>45756186.634630695</v>
      </c>
      <c r="F52" s="71">
        <f>'2019-20 StepbyStep Allocations'!F43</f>
        <v>1375</v>
      </c>
      <c r="G52" s="72">
        <f>'2019-20 StepbyStep Allocations'!G43</f>
        <v>4000</v>
      </c>
      <c r="H52" s="73">
        <f>'2019-20 StepbyStep Allocations'!H43</f>
        <v>5500000</v>
      </c>
      <c r="I52" s="74">
        <f>'2019-20 StepbyStep Allocations'!BG43</f>
        <v>-122</v>
      </c>
      <c r="J52" s="75">
        <f>'2019-20 StepbyStep Allocations'!BH43</f>
        <v>-732000</v>
      </c>
      <c r="K52" s="75">
        <f>INDEX('2019-20 StepbyStep Allocations'!$BF$9:$BF$159,MATCH($C52,'2019-20 StepbyStep Allocations'!$C$9:$C$159,0))</f>
        <v>975660</v>
      </c>
      <c r="L52" s="73">
        <f t="shared" si="0"/>
        <v>51499846.634630695</v>
      </c>
      <c r="M52"/>
      <c r="N52"/>
      <c r="O52"/>
    </row>
    <row r="53" spans="2:15" s="44" customFormat="1" ht="15.4" x14ac:dyDescent="0.45">
      <c r="B53" s="76" t="s">
        <v>145</v>
      </c>
      <c r="C53" s="77">
        <v>390</v>
      </c>
      <c r="D53" s="78" t="s">
        <v>148</v>
      </c>
      <c r="E53" s="70">
        <f>'2019-20 StepbyStep Allocations'!BP44-'2019-20 StepbyStep Allocations'!BH44-'2019-20 StepbyStep Allocations'!H44-'2019-20 StepbyStep Allocations'!BF44</f>
        <v>19766671.241485</v>
      </c>
      <c r="F53" s="71">
        <f>'2019-20 StepbyStep Allocations'!F44</f>
        <v>630</v>
      </c>
      <c r="G53" s="72">
        <f>'2019-20 StepbyStep Allocations'!G44</f>
        <v>4000</v>
      </c>
      <c r="H53" s="73">
        <f>'2019-20 StepbyStep Allocations'!H44</f>
        <v>2520000</v>
      </c>
      <c r="I53" s="74">
        <f>'2019-20 StepbyStep Allocations'!BG44</f>
        <v>8</v>
      </c>
      <c r="J53" s="75">
        <f>'2019-20 StepbyStep Allocations'!BH44</f>
        <v>48000</v>
      </c>
      <c r="K53" s="75">
        <f>INDEX('2019-20 StepbyStep Allocations'!$BF$9:$BF$159,MATCH($C53,'2019-20 StepbyStep Allocations'!$C$9:$C$159,0))</f>
        <v>0</v>
      </c>
      <c r="L53" s="73">
        <f t="shared" si="0"/>
        <v>22334671.241485</v>
      </c>
      <c r="M53"/>
      <c r="N53"/>
      <c r="O53"/>
    </row>
    <row r="54" spans="2:15" s="44" customFormat="1" ht="15.4" x14ac:dyDescent="0.45">
      <c r="B54" s="76" t="s">
        <v>145</v>
      </c>
      <c r="C54" s="77">
        <v>805</v>
      </c>
      <c r="D54" s="78" t="s">
        <v>149</v>
      </c>
      <c r="E54" s="70">
        <f>'2019-20 StepbyStep Allocations'!BP45-'2019-20 StepbyStep Allocations'!BH45-'2019-20 StepbyStep Allocations'!H45-'2019-20 StepbyStep Allocations'!BF45</f>
        <v>9959144.3684201054</v>
      </c>
      <c r="F54" s="71">
        <f>'2019-20 StepbyStep Allocations'!F45</f>
        <v>246</v>
      </c>
      <c r="G54" s="72">
        <f>'2019-20 StepbyStep Allocations'!G45</f>
        <v>4000</v>
      </c>
      <c r="H54" s="73">
        <f>'2019-20 StepbyStep Allocations'!H45</f>
        <v>984000</v>
      </c>
      <c r="I54" s="74">
        <f>'2019-20 StepbyStep Allocations'!BG45</f>
        <v>-2</v>
      </c>
      <c r="J54" s="75">
        <f>'2019-20 StepbyStep Allocations'!BH45</f>
        <v>-12000</v>
      </c>
      <c r="K54" s="75">
        <f>INDEX('2019-20 StepbyStep Allocations'!$BF$9:$BF$159,MATCH($C54,'2019-20 StepbyStep Allocations'!$C$9:$C$159,0))</f>
        <v>0</v>
      </c>
      <c r="L54" s="73">
        <f t="shared" si="0"/>
        <v>10931144.368420105</v>
      </c>
      <c r="M54"/>
      <c r="N54"/>
      <c r="O54"/>
    </row>
    <row r="55" spans="2:15" s="44" customFormat="1" ht="15.4" x14ac:dyDescent="0.45">
      <c r="B55" s="76" t="s">
        <v>145</v>
      </c>
      <c r="C55" s="77">
        <v>806</v>
      </c>
      <c r="D55" s="78" t="s">
        <v>150</v>
      </c>
      <c r="E55" s="70">
        <f>'2019-20 StepbyStep Allocations'!BP46-'2019-20 StepbyStep Allocations'!BH46-'2019-20 StepbyStep Allocations'!H46-'2019-20 StepbyStep Allocations'!BF46</f>
        <v>18882909.046181172</v>
      </c>
      <c r="F55" s="71">
        <f>'2019-20 StepbyStep Allocations'!F46</f>
        <v>534</v>
      </c>
      <c r="G55" s="72">
        <f>'2019-20 StepbyStep Allocations'!G46</f>
        <v>4000</v>
      </c>
      <c r="H55" s="73">
        <f>'2019-20 StepbyStep Allocations'!H46</f>
        <v>2136000</v>
      </c>
      <c r="I55" s="74">
        <f>'2019-20 StepbyStep Allocations'!BG46</f>
        <v>93.5</v>
      </c>
      <c r="J55" s="75">
        <f>'2019-20 StepbyStep Allocations'!BH46</f>
        <v>561000</v>
      </c>
      <c r="K55" s="75">
        <f>INDEX('2019-20 StepbyStep Allocations'!$BF$9:$BF$159,MATCH($C55,'2019-20 StepbyStep Allocations'!$C$9:$C$159,0))</f>
        <v>1178670</v>
      </c>
      <c r="L55" s="73">
        <f t="shared" si="0"/>
        <v>22758579.046181172</v>
      </c>
      <c r="M55"/>
      <c r="N55"/>
      <c r="O55"/>
    </row>
    <row r="56" spans="2:15" s="44" customFormat="1" ht="15.4" x14ac:dyDescent="0.45">
      <c r="B56" s="76" t="s">
        <v>145</v>
      </c>
      <c r="C56" s="77">
        <v>391</v>
      </c>
      <c r="D56" s="78" t="s">
        <v>151</v>
      </c>
      <c r="E56" s="70">
        <f>'2019-20 StepbyStep Allocations'!BP47-'2019-20 StepbyStep Allocations'!BH47-'2019-20 StepbyStep Allocations'!H47-'2019-20 StepbyStep Allocations'!BF47</f>
        <v>31557510.19103761</v>
      </c>
      <c r="F56" s="71">
        <f>'2019-20 StepbyStep Allocations'!F47</f>
        <v>688.5</v>
      </c>
      <c r="G56" s="72">
        <f>'2019-20 StepbyStep Allocations'!G47</f>
        <v>4000</v>
      </c>
      <c r="H56" s="73">
        <f>'2019-20 StepbyStep Allocations'!H47</f>
        <v>2754000</v>
      </c>
      <c r="I56" s="74">
        <f>'2019-20 StepbyStep Allocations'!BG47</f>
        <v>290.5</v>
      </c>
      <c r="J56" s="75">
        <f>'2019-20 StepbyStep Allocations'!BH47</f>
        <v>1743000</v>
      </c>
      <c r="K56" s="75">
        <f>INDEX('2019-20 StepbyStep Allocations'!$BF$9:$BF$159,MATCH($C56,'2019-20 StepbyStep Allocations'!$C$9:$C$159,0))</f>
        <v>1984650.0000000005</v>
      </c>
      <c r="L56" s="73">
        <f t="shared" si="0"/>
        <v>38039160.19103761</v>
      </c>
      <c r="M56"/>
      <c r="N56"/>
      <c r="O56"/>
    </row>
    <row r="57" spans="2:15" s="44" customFormat="1" ht="15.4" x14ac:dyDescent="0.45">
      <c r="B57" s="76" t="s">
        <v>145</v>
      </c>
      <c r="C57" s="77">
        <v>392</v>
      </c>
      <c r="D57" s="78" t="s">
        <v>152</v>
      </c>
      <c r="E57" s="70">
        <f>'2019-20 StepbyStep Allocations'!BP48-'2019-20 StepbyStep Allocations'!BH48-'2019-20 StepbyStep Allocations'!H48-'2019-20 StepbyStep Allocations'!BF48</f>
        <v>18092508.013427936</v>
      </c>
      <c r="F57" s="71">
        <f>'2019-20 StepbyStep Allocations'!F48</f>
        <v>542.5</v>
      </c>
      <c r="G57" s="72">
        <f>'2019-20 StepbyStep Allocations'!G48</f>
        <v>4000</v>
      </c>
      <c r="H57" s="73">
        <f>'2019-20 StepbyStep Allocations'!H48</f>
        <v>2170000</v>
      </c>
      <c r="I57" s="74">
        <f>'2019-20 StepbyStep Allocations'!BG48</f>
        <v>-80</v>
      </c>
      <c r="J57" s="75">
        <f>'2019-20 StepbyStep Allocations'!BH48</f>
        <v>-480000</v>
      </c>
      <c r="K57" s="75">
        <f>INDEX('2019-20 StepbyStep Allocations'!$BF$9:$BF$159,MATCH($C57,'2019-20 StepbyStep Allocations'!$C$9:$C$159,0))</f>
        <v>0</v>
      </c>
      <c r="L57" s="73">
        <f t="shared" si="0"/>
        <v>19782508.013427936</v>
      </c>
      <c r="M57"/>
      <c r="N57"/>
      <c r="O57"/>
    </row>
    <row r="58" spans="2:15" s="44" customFormat="1" ht="15.4" x14ac:dyDescent="0.45">
      <c r="B58" s="76" t="s">
        <v>145</v>
      </c>
      <c r="C58" s="77">
        <v>929</v>
      </c>
      <c r="D58" s="78" t="s">
        <v>153</v>
      </c>
      <c r="E58" s="70">
        <f>'2019-20 StepbyStep Allocations'!BP49-'2019-20 StepbyStep Allocations'!BH49-'2019-20 StepbyStep Allocations'!H49-'2019-20 StepbyStep Allocations'!BF49</f>
        <v>29837134.276961636</v>
      </c>
      <c r="F58" s="71">
        <f>'2019-20 StepbyStep Allocations'!F49</f>
        <v>767</v>
      </c>
      <c r="G58" s="72">
        <f>'2019-20 StepbyStep Allocations'!G49</f>
        <v>4000</v>
      </c>
      <c r="H58" s="73">
        <f>'2019-20 StepbyStep Allocations'!H49</f>
        <v>3068000</v>
      </c>
      <c r="I58" s="74">
        <f>'2019-20 StepbyStep Allocations'!BG49</f>
        <v>-150</v>
      </c>
      <c r="J58" s="75">
        <f>'2019-20 StepbyStep Allocations'!BH49</f>
        <v>-900000</v>
      </c>
      <c r="K58" s="75">
        <f>INDEX('2019-20 StepbyStep Allocations'!$BF$9:$BF$159,MATCH($C58,'2019-20 StepbyStep Allocations'!$C$9:$C$159,0))</f>
        <v>0</v>
      </c>
      <c r="L58" s="73">
        <f t="shared" si="0"/>
        <v>32005134.276961636</v>
      </c>
      <c r="M58"/>
      <c r="N58"/>
      <c r="O58"/>
    </row>
    <row r="59" spans="2:15" s="44" customFormat="1" ht="15.4" x14ac:dyDescent="0.45">
      <c r="B59" s="76" t="s">
        <v>145</v>
      </c>
      <c r="C59" s="77">
        <v>807</v>
      </c>
      <c r="D59" s="78" t="s">
        <v>154</v>
      </c>
      <c r="E59" s="70">
        <f>'2019-20 StepbyStep Allocations'!BP50-'2019-20 StepbyStep Allocations'!BH50-'2019-20 StepbyStep Allocations'!H50-'2019-20 StepbyStep Allocations'!BF50</f>
        <v>14628848.586729383</v>
      </c>
      <c r="F59" s="71">
        <f>'2019-20 StepbyStep Allocations'!F50</f>
        <v>389</v>
      </c>
      <c r="G59" s="72">
        <f>'2019-20 StepbyStep Allocations'!G50</f>
        <v>4000</v>
      </c>
      <c r="H59" s="73">
        <f>'2019-20 StepbyStep Allocations'!H50</f>
        <v>1556000</v>
      </c>
      <c r="I59" s="74">
        <f>'2019-20 StepbyStep Allocations'!BG50</f>
        <v>-20</v>
      </c>
      <c r="J59" s="75">
        <f>'2019-20 StepbyStep Allocations'!BH50</f>
        <v>-120000</v>
      </c>
      <c r="K59" s="75">
        <f>INDEX('2019-20 StepbyStep Allocations'!$BF$9:$BF$159,MATCH($C59,'2019-20 StepbyStep Allocations'!$C$9:$C$159,0))</f>
        <v>135340</v>
      </c>
      <c r="L59" s="73">
        <f t="shared" si="0"/>
        <v>16200188.586729383</v>
      </c>
      <c r="M59"/>
      <c r="N59"/>
      <c r="O59"/>
    </row>
    <row r="60" spans="2:15" s="44" customFormat="1" ht="15.4" x14ac:dyDescent="0.45">
      <c r="B60" s="76" t="s">
        <v>145</v>
      </c>
      <c r="C60" s="77">
        <v>393</v>
      </c>
      <c r="D60" s="78" t="s">
        <v>155</v>
      </c>
      <c r="E60" s="70">
        <f>'2019-20 StepbyStep Allocations'!BP51-'2019-20 StepbyStep Allocations'!BH51-'2019-20 StepbyStep Allocations'!H51-'2019-20 StepbyStep Allocations'!BF51</f>
        <v>15105622.344262131</v>
      </c>
      <c r="F60" s="71">
        <f>'2019-20 StepbyStep Allocations'!F51</f>
        <v>498</v>
      </c>
      <c r="G60" s="72">
        <f>'2019-20 StepbyStep Allocations'!G51</f>
        <v>4000</v>
      </c>
      <c r="H60" s="73">
        <f>'2019-20 StepbyStep Allocations'!H51</f>
        <v>1992000</v>
      </c>
      <c r="I60" s="74">
        <f>'2019-20 StepbyStep Allocations'!BG51</f>
        <v>29</v>
      </c>
      <c r="J60" s="75">
        <f>'2019-20 StepbyStep Allocations'!BH51</f>
        <v>174000</v>
      </c>
      <c r="K60" s="75">
        <f>INDEX('2019-20 StepbyStep Allocations'!$BF$9:$BF$159,MATCH($C60,'2019-20 StepbyStep Allocations'!$C$9:$C$159,0))</f>
        <v>0</v>
      </c>
      <c r="L60" s="73">
        <f t="shared" si="0"/>
        <v>17271622.344262131</v>
      </c>
      <c r="M60"/>
      <c r="N60"/>
      <c r="O60"/>
    </row>
    <row r="61" spans="2:15" s="44" customFormat="1" ht="15.4" x14ac:dyDescent="0.45">
      <c r="B61" s="76" t="s">
        <v>145</v>
      </c>
      <c r="C61" s="77">
        <v>808</v>
      </c>
      <c r="D61" s="78" t="s">
        <v>156</v>
      </c>
      <c r="E61" s="70">
        <f>'2019-20 StepbyStep Allocations'!BP52-'2019-20 StepbyStep Allocations'!BH52-'2019-20 StepbyStep Allocations'!H52-'2019-20 StepbyStep Allocations'!BF52</f>
        <v>22614387.659843668</v>
      </c>
      <c r="F61" s="71">
        <f>'2019-20 StepbyStep Allocations'!F52</f>
        <v>555</v>
      </c>
      <c r="G61" s="72">
        <f>'2019-20 StepbyStep Allocations'!G52</f>
        <v>4000</v>
      </c>
      <c r="H61" s="73">
        <f>'2019-20 StepbyStep Allocations'!H52</f>
        <v>2220000</v>
      </c>
      <c r="I61" s="74">
        <f>'2019-20 StepbyStep Allocations'!BG52</f>
        <v>-134.5</v>
      </c>
      <c r="J61" s="75">
        <f>'2019-20 StepbyStep Allocations'!BH52</f>
        <v>-807000</v>
      </c>
      <c r="K61" s="75">
        <f>INDEX('2019-20 StepbyStep Allocations'!$BF$9:$BF$159,MATCH($C61,'2019-20 StepbyStep Allocations'!$C$9:$C$159,0))</f>
        <v>25250</v>
      </c>
      <c r="L61" s="73">
        <f t="shared" si="0"/>
        <v>24052637.659843668</v>
      </c>
      <c r="M61"/>
      <c r="N61"/>
      <c r="O61"/>
    </row>
    <row r="62" spans="2:15" s="44" customFormat="1" ht="15.4" x14ac:dyDescent="0.45">
      <c r="B62" s="76" t="s">
        <v>145</v>
      </c>
      <c r="C62" s="77">
        <v>394</v>
      </c>
      <c r="D62" s="78" t="s">
        <v>157</v>
      </c>
      <c r="E62" s="70">
        <f>'2019-20 StepbyStep Allocations'!BP53-'2019-20 StepbyStep Allocations'!BH53-'2019-20 StepbyStep Allocations'!H53-'2019-20 StepbyStep Allocations'!BF53</f>
        <v>21073764.220287275</v>
      </c>
      <c r="F62" s="71">
        <f>'2019-20 StepbyStep Allocations'!F53</f>
        <v>653</v>
      </c>
      <c r="G62" s="72">
        <f>'2019-20 StepbyStep Allocations'!G53</f>
        <v>4000</v>
      </c>
      <c r="H62" s="73">
        <f>'2019-20 StepbyStep Allocations'!H53</f>
        <v>2612000</v>
      </c>
      <c r="I62" s="74">
        <f>'2019-20 StepbyStep Allocations'!BG53</f>
        <v>-64.5</v>
      </c>
      <c r="J62" s="75">
        <f>'2019-20 StepbyStep Allocations'!BH53</f>
        <v>-387000</v>
      </c>
      <c r="K62" s="75">
        <f>INDEX('2019-20 StepbyStep Allocations'!$BF$9:$BF$159,MATCH($C62,'2019-20 StepbyStep Allocations'!$C$9:$C$159,0))</f>
        <v>0</v>
      </c>
      <c r="L62" s="73">
        <f t="shared" si="0"/>
        <v>23298764.220287275</v>
      </c>
      <c r="M62"/>
      <c r="N62"/>
      <c r="O62"/>
    </row>
    <row r="63" spans="2:15" s="44" customFormat="1" ht="15.4" x14ac:dyDescent="0.45">
      <c r="B63" s="76" t="s">
        <v>158</v>
      </c>
      <c r="C63" s="77">
        <v>889</v>
      </c>
      <c r="D63" s="78" t="s">
        <v>159</v>
      </c>
      <c r="E63" s="70">
        <f>'2019-20 StepbyStep Allocations'!BP54-'2019-20 StepbyStep Allocations'!BH54-'2019-20 StepbyStep Allocations'!H54-'2019-20 StepbyStep Allocations'!BF54</f>
        <v>17621864.465893377</v>
      </c>
      <c r="F63" s="71">
        <f>'2019-20 StepbyStep Allocations'!F54</f>
        <v>264</v>
      </c>
      <c r="G63" s="72">
        <f>'2019-20 StepbyStep Allocations'!G54</f>
        <v>4000</v>
      </c>
      <c r="H63" s="73">
        <f>'2019-20 StepbyStep Allocations'!H54</f>
        <v>1056000</v>
      </c>
      <c r="I63" s="74">
        <f>'2019-20 StepbyStep Allocations'!BG54</f>
        <v>-10</v>
      </c>
      <c r="J63" s="75">
        <f>'2019-20 StepbyStep Allocations'!BH54</f>
        <v>-60000</v>
      </c>
      <c r="K63" s="75">
        <f>INDEX('2019-20 StepbyStep Allocations'!$BF$9:$BF$159,MATCH($C63,'2019-20 StepbyStep Allocations'!$C$9:$C$159,0))</f>
        <v>364004.00000000006</v>
      </c>
      <c r="L63" s="73">
        <f t="shared" si="0"/>
        <v>18981868.465893377</v>
      </c>
      <c r="M63"/>
      <c r="N63"/>
      <c r="O63"/>
    </row>
    <row r="64" spans="2:15" s="44" customFormat="1" ht="15.4" x14ac:dyDescent="0.45">
      <c r="B64" s="76" t="s">
        <v>158</v>
      </c>
      <c r="C64" s="77">
        <v>890</v>
      </c>
      <c r="D64" s="78" t="s">
        <v>160</v>
      </c>
      <c r="E64" s="70">
        <f>'2019-20 StepbyStep Allocations'!BP55-'2019-20 StepbyStep Allocations'!BH55-'2019-20 StepbyStep Allocations'!H55-'2019-20 StepbyStep Allocations'!BF55</f>
        <v>15642635.249588788</v>
      </c>
      <c r="F64" s="71">
        <f>'2019-20 StepbyStep Allocations'!F55</f>
        <v>460</v>
      </c>
      <c r="G64" s="72">
        <f>'2019-20 StepbyStep Allocations'!G55</f>
        <v>4000</v>
      </c>
      <c r="H64" s="73">
        <f>'2019-20 StepbyStep Allocations'!H55</f>
        <v>1840000</v>
      </c>
      <c r="I64" s="74">
        <f>'2019-20 StepbyStep Allocations'!BG55</f>
        <v>47</v>
      </c>
      <c r="J64" s="75">
        <f>'2019-20 StepbyStep Allocations'!BH55</f>
        <v>282000</v>
      </c>
      <c r="K64" s="75">
        <f>INDEX('2019-20 StepbyStep Allocations'!$BF$9:$BF$159,MATCH($C64,'2019-20 StepbyStep Allocations'!$C$9:$C$159,0))</f>
        <v>1143320</v>
      </c>
      <c r="L64" s="73">
        <f t="shared" si="0"/>
        <v>18907955.249588788</v>
      </c>
      <c r="M64"/>
      <c r="N64"/>
      <c r="O64"/>
    </row>
    <row r="65" spans="2:15" s="44" customFormat="1" ht="15.4" x14ac:dyDescent="0.45">
      <c r="B65" s="76" t="s">
        <v>158</v>
      </c>
      <c r="C65" s="77">
        <v>350</v>
      </c>
      <c r="D65" s="78" t="s">
        <v>161</v>
      </c>
      <c r="E65" s="70">
        <f>'2019-20 StepbyStep Allocations'!BP56-'2019-20 StepbyStep Allocations'!BH56-'2019-20 StepbyStep Allocations'!H56-'2019-20 StepbyStep Allocations'!BF56</f>
        <v>31768108.695128039</v>
      </c>
      <c r="F65" s="71">
        <f>'2019-20 StepbyStep Allocations'!F56</f>
        <v>743</v>
      </c>
      <c r="G65" s="72">
        <f>'2019-20 StepbyStep Allocations'!G56</f>
        <v>4032.8290670850829</v>
      </c>
      <c r="H65" s="73">
        <f>'2019-20 StepbyStep Allocations'!H56</f>
        <v>2996391.9968442167</v>
      </c>
      <c r="I65" s="74">
        <f>'2019-20 StepbyStep Allocations'!BG56</f>
        <v>-80</v>
      </c>
      <c r="J65" s="75">
        <f>'2019-20 StepbyStep Allocations'!BH56</f>
        <v>-480000</v>
      </c>
      <c r="K65" s="75">
        <f>INDEX('2019-20 StepbyStep Allocations'!$BF$9:$BF$159,MATCH($C65,'2019-20 StepbyStep Allocations'!$C$9:$C$159,0))</f>
        <v>0</v>
      </c>
      <c r="L65" s="73">
        <f t="shared" si="0"/>
        <v>34284500.691972256</v>
      </c>
      <c r="M65"/>
      <c r="N65"/>
      <c r="O65"/>
    </row>
    <row r="66" spans="2:15" s="29" customFormat="1" ht="15.4" x14ac:dyDescent="0.45">
      <c r="B66" s="76" t="s">
        <v>158</v>
      </c>
      <c r="C66" s="77">
        <v>351</v>
      </c>
      <c r="D66" s="78" t="s">
        <v>162</v>
      </c>
      <c r="E66" s="70">
        <f>'2019-20 StepbyStep Allocations'!BP57-'2019-20 StepbyStep Allocations'!BH57-'2019-20 StepbyStep Allocations'!H57-'2019-20 StepbyStep Allocations'!BF57</f>
        <v>27947280.014178336</v>
      </c>
      <c r="F66" s="71">
        <f>'2019-20 StepbyStep Allocations'!F57</f>
        <v>438</v>
      </c>
      <c r="G66" s="72">
        <f>'2019-20 StepbyStep Allocations'!G57</f>
        <v>4032.8290670850829</v>
      </c>
      <c r="H66" s="73">
        <f>'2019-20 StepbyStep Allocations'!H57</f>
        <v>1766379.1313832663</v>
      </c>
      <c r="I66" s="74">
        <f>'2019-20 StepbyStep Allocations'!BG57</f>
        <v>4</v>
      </c>
      <c r="J66" s="75">
        <f>'2019-20 StepbyStep Allocations'!BH57</f>
        <v>24000</v>
      </c>
      <c r="K66" s="75">
        <f>INDEX('2019-20 StepbyStep Allocations'!$BF$9:$BF$159,MATCH($C66,'2019-20 StepbyStep Allocations'!$C$9:$C$159,0))</f>
        <v>169292.16</v>
      </c>
      <c r="L66" s="73">
        <f t="shared" si="0"/>
        <v>29906951.305561602</v>
      </c>
      <c r="M66"/>
      <c r="N66"/>
      <c r="O66"/>
    </row>
    <row r="67" spans="2:15" s="29" customFormat="1" ht="15.4" x14ac:dyDescent="0.45">
      <c r="B67" s="76" t="s">
        <v>158</v>
      </c>
      <c r="C67" s="77">
        <v>895</v>
      </c>
      <c r="D67" s="78" t="s">
        <v>163</v>
      </c>
      <c r="E67" s="70">
        <f>'2019-20 StepbyStep Allocations'!BP58-'2019-20 StepbyStep Allocations'!BH58-'2019-20 StepbyStep Allocations'!H58-'2019-20 StepbyStep Allocations'!BF58</f>
        <v>33616558.329985924</v>
      </c>
      <c r="F67" s="71">
        <f>'2019-20 StepbyStep Allocations'!F58</f>
        <v>406</v>
      </c>
      <c r="G67" s="72">
        <f>'2019-20 StepbyStep Allocations'!G58</f>
        <v>4021.8192050631415</v>
      </c>
      <c r="H67" s="73">
        <f>'2019-20 StepbyStep Allocations'!H58</f>
        <v>1632858.5972556355</v>
      </c>
      <c r="I67" s="74">
        <f>'2019-20 StepbyStep Allocations'!BG58</f>
        <v>-123</v>
      </c>
      <c r="J67" s="75">
        <f>'2019-20 StepbyStep Allocations'!BH58</f>
        <v>-738000</v>
      </c>
      <c r="K67" s="75">
        <f>INDEX('2019-20 StepbyStep Allocations'!$BF$9:$BF$159,MATCH($C67,'2019-20 StepbyStep Allocations'!$C$9:$C$159,0))</f>
        <v>0</v>
      </c>
      <c r="L67" s="73">
        <f t="shared" si="0"/>
        <v>34511416.927241556</v>
      </c>
      <c r="M67"/>
      <c r="N67"/>
      <c r="O67"/>
    </row>
    <row r="68" spans="2:15" s="29" customFormat="1" ht="15.4" x14ac:dyDescent="0.45">
      <c r="B68" s="76" t="s">
        <v>158</v>
      </c>
      <c r="C68" s="77">
        <v>896</v>
      </c>
      <c r="D68" s="78" t="s">
        <v>164</v>
      </c>
      <c r="E68" s="70">
        <f>'2019-20 StepbyStep Allocations'!BP59-'2019-20 StepbyStep Allocations'!BH59-'2019-20 StepbyStep Allocations'!H59-'2019-20 StepbyStep Allocations'!BF59</f>
        <v>33243997.200531207</v>
      </c>
      <c r="F68" s="71">
        <f>'2019-20 StepbyStep Allocations'!F59</f>
        <v>974</v>
      </c>
      <c r="G68" s="72">
        <f>'2019-20 StepbyStep Allocations'!G59</f>
        <v>4021.8192050631415</v>
      </c>
      <c r="H68" s="73">
        <f>'2019-20 StepbyStep Allocations'!H59</f>
        <v>3917251.9057314997</v>
      </c>
      <c r="I68" s="74">
        <f>'2019-20 StepbyStep Allocations'!BG59</f>
        <v>10</v>
      </c>
      <c r="J68" s="75">
        <f>'2019-20 StepbyStep Allocations'!BH59</f>
        <v>60000</v>
      </c>
      <c r="K68" s="75">
        <f>INDEX('2019-20 StepbyStep Allocations'!$BF$9:$BF$159,MATCH($C68,'2019-20 StepbyStep Allocations'!$C$9:$C$159,0))</f>
        <v>531144.8600000001</v>
      </c>
      <c r="L68" s="73">
        <f t="shared" si="0"/>
        <v>37752393.966262706</v>
      </c>
      <c r="M68"/>
      <c r="N68"/>
      <c r="O68"/>
    </row>
    <row r="69" spans="2:15" s="29" customFormat="1" ht="15.4" x14ac:dyDescent="0.45">
      <c r="B69" s="76" t="s">
        <v>158</v>
      </c>
      <c r="C69" s="77">
        <v>909</v>
      </c>
      <c r="D69" s="78" t="s">
        <v>165</v>
      </c>
      <c r="E69" s="70">
        <f>'2019-20 StepbyStep Allocations'!BP60-'2019-20 StepbyStep Allocations'!BH60-'2019-20 StepbyStep Allocations'!H60-'2019-20 StepbyStep Allocations'!BF60</f>
        <v>39730167.563827068</v>
      </c>
      <c r="F69" s="71">
        <f>'2019-20 StepbyStep Allocations'!F60</f>
        <v>579.5</v>
      </c>
      <c r="G69" s="72">
        <f>'2019-20 StepbyStep Allocations'!G60</f>
        <v>4000</v>
      </c>
      <c r="H69" s="73">
        <f>'2019-20 StepbyStep Allocations'!H60</f>
        <v>2318000</v>
      </c>
      <c r="I69" s="74">
        <f>'2019-20 StepbyStep Allocations'!BG60</f>
        <v>-128</v>
      </c>
      <c r="J69" s="75">
        <f>'2019-20 StepbyStep Allocations'!BH60</f>
        <v>-768000</v>
      </c>
      <c r="K69" s="75">
        <f>INDEX('2019-20 StepbyStep Allocations'!$BF$9:$BF$159,MATCH($C69,'2019-20 StepbyStep Allocations'!$C$9:$C$159,0))</f>
        <v>810663.37</v>
      </c>
      <c r="L69" s="73">
        <f t="shared" si="0"/>
        <v>42090830.933827065</v>
      </c>
      <c r="M69"/>
      <c r="N69"/>
      <c r="O69"/>
    </row>
    <row r="70" spans="2:15" s="29" customFormat="1" ht="15.4" x14ac:dyDescent="0.45">
      <c r="B70" s="76" t="s">
        <v>158</v>
      </c>
      <c r="C70" s="77">
        <v>876</v>
      </c>
      <c r="D70" s="78" t="s">
        <v>166</v>
      </c>
      <c r="E70" s="70">
        <f>'2019-20 StepbyStep Allocations'!BP61-'2019-20 StepbyStep Allocations'!BH61-'2019-20 StepbyStep Allocations'!H61-'2019-20 StepbyStep Allocations'!BF61</f>
        <v>14927713.378225131</v>
      </c>
      <c r="F70" s="71">
        <f>'2019-20 StepbyStep Allocations'!F61</f>
        <v>362.5</v>
      </c>
      <c r="G70" s="72">
        <f>'2019-20 StepbyStep Allocations'!G61</f>
        <v>4021.8192050631415</v>
      </c>
      <c r="H70" s="73">
        <f>'2019-20 StepbyStep Allocations'!H61</f>
        <v>1457909.4618353888</v>
      </c>
      <c r="I70" s="74">
        <f>'2019-20 StepbyStep Allocations'!BG61</f>
        <v>-6</v>
      </c>
      <c r="J70" s="75">
        <f>'2019-20 StepbyStep Allocations'!BH61</f>
        <v>-36000</v>
      </c>
      <c r="K70" s="75">
        <f>INDEX('2019-20 StepbyStep Allocations'!$BF$9:$BF$159,MATCH($C70,'2019-20 StepbyStep Allocations'!$C$9:$C$159,0))</f>
        <v>0</v>
      </c>
      <c r="L70" s="73">
        <f t="shared" si="0"/>
        <v>16349622.840060519</v>
      </c>
      <c r="M70"/>
      <c r="N70"/>
      <c r="O70"/>
    </row>
    <row r="71" spans="2:15" s="29" customFormat="1" ht="15.4" x14ac:dyDescent="0.45">
      <c r="B71" s="76" t="s">
        <v>158</v>
      </c>
      <c r="C71" s="77">
        <v>340</v>
      </c>
      <c r="D71" s="78" t="s">
        <v>167</v>
      </c>
      <c r="E71" s="70">
        <f>'2019-20 StepbyStep Allocations'!BP62-'2019-20 StepbyStep Allocations'!BH62-'2019-20 StepbyStep Allocations'!H62-'2019-20 StepbyStep Allocations'!BF62</f>
        <v>18730243.786180161</v>
      </c>
      <c r="F71" s="71">
        <f>'2019-20 StepbyStep Allocations'!F62</f>
        <v>508</v>
      </c>
      <c r="G71" s="72">
        <f>'2019-20 StepbyStep Allocations'!G62</f>
        <v>4006.7388730235834</v>
      </c>
      <c r="H71" s="73">
        <f>'2019-20 StepbyStep Allocations'!H62</f>
        <v>2035423.3474959803</v>
      </c>
      <c r="I71" s="74">
        <f>'2019-20 StepbyStep Allocations'!BG62</f>
        <v>-198</v>
      </c>
      <c r="J71" s="75">
        <f>'2019-20 StepbyStep Allocations'!BH62</f>
        <v>-1188000</v>
      </c>
      <c r="K71" s="75">
        <f>INDEX('2019-20 StepbyStep Allocations'!$BF$9:$BF$159,MATCH($C71,'2019-20 StepbyStep Allocations'!$C$9:$C$159,0))</f>
        <v>114663.28</v>
      </c>
      <c r="L71" s="73">
        <f t="shared" si="0"/>
        <v>19692330.413676143</v>
      </c>
      <c r="M71"/>
      <c r="N71"/>
      <c r="O71"/>
    </row>
    <row r="72" spans="2:15" s="29" customFormat="1" ht="15.4" x14ac:dyDescent="0.45">
      <c r="B72" s="76" t="s">
        <v>158</v>
      </c>
      <c r="C72" s="77">
        <v>888</v>
      </c>
      <c r="D72" s="78" t="s">
        <v>168</v>
      </c>
      <c r="E72" s="70">
        <f>'2019-20 StepbyStep Allocations'!BP63-'2019-20 StepbyStep Allocations'!BH63-'2019-20 StepbyStep Allocations'!H63-'2019-20 StepbyStep Allocations'!BF63</f>
        <v>102819672.52560939</v>
      </c>
      <c r="F72" s="71">
        <f>'2019-20 StepbyStep Allocations'!F63</f>
        <v>2997.5</v>
      </c>
      <c r="G72" s="72">
        <f>'2019-20 StepbyStep Allocations'!G63</f>
        <v>4000</v>
      </c>
      <c r="H72" s="73">
        <f>'2019-20 StepbyStep Allocations'!H63</f>
        <v>11990000</v>
      </c>
      <c r="I72" s="74">
        <f>'2019-20 StepbyStep Allocations'!BG63</f>
        <v>-181</v>
      </c>
      <c r="J72" s="75">
        <f>'2019-20 StepbyStep Allocations'!BH63</f>
        <v>-1086000</v>
      </c>
      <c r="K72" s="75">
        <f>INDEX('2019-20 StepbyStep Allocations'!$BF$9:$BF$159,MATCH($C72,'2019-20 StepbyStep Allocations'!$C$9:$C$159,0))</f>
        <v>616100</v>
      </c>
      <c r="L72" s="73">
        <f t="shared" si="0"/>
        <v>114339772.52560939</v>
      </c>
      <c r="M72"/>
      <c r="N72"/>
      <c r="O72"/>
    </row>
    <row r="73" spans="2:15" s="29" customFormat="1" ht="15.4" x14ac:dyDescent="0.45">
      <c r="B73" s="76" t="s">
        <v>158</v>
      </c>
      <c r="C73" s="77">
        <v>341</v>
      </c>
      <c r="D73" s="78" t="s">
        <v>169</v>
      </c>
      <c r="E73" s="70">
        <f>'2019-20 StepbyStep Allocations'!BP64-'2019-20 StepbyStep Allocations'!BH64-'2019-20 StepbyStep Allocations'!H64-'2019-20 StepbyStep Allocations'!BF64</f>
        <v>42547105.240360528</v>
      </c>
      <c r="F73" s="71">
        <f>'2019-20 StepbyStep Allocations'!F64</f>
        <v>1406</v>
      </c>
      <c r="G73" s="72">
        <f>'2019-20 StepbyStep Allocations'!G64</f>
        <v>4006.7388730235834</v>
      </c>
      <c r="H73" s="73">
        <f>'2019-20 StepbyStep Allocations'!H64</f>
        <v>5633474.8554711584</v>
      </c>
      <c r="I73" s="74">
        <f>'2019-20 StepbyStep Allocations'!BG64</f>
        <v>-46.5</v>
      </c>
      <c r="J73" s="75">
        <f>'2019-20 StepbyStep Allocations'!BH64</f>
        <v>-279000</v>
      </c>
      <c r="K73" s="75">
        <f>INDEX('2019-20 StepbyStep Allocations'!$BF$9:$BF$159,MATCH($C73,'2019-20 StepbyStep Allocations'!$C$9:$C$159,0))</f>
        <v>618488.65</v>
      </c>
      <c r="L73" s="73">
        <f t="shared" si="0"/>
        <v>48520068.745831683</v>
      </c>
      <c r="M73"/>
      <c r="N73"/>
      <c r="O73"/>
    </row>
    <row r="74" spans="2:15" s="29" customFormat="1" ht="15.4" x14ac:dyDescent="0.45">
      <c r="B74" s="76" t="s">
        <v>158</v>
      </c>
      <c r="C74" s="77">
        <v>352</v>
      </c>
      <c r="D74" s="78" t="s">
        <v>170</v>
      </c>
      <c r="E74" s="70">
        <f>'2019-20 StepbyStep Allocations'!BP65-'2019-20 StepbyStep Allocations'!BH65-'2019-20 StepbyStep Allocations'!H65-'2019-20 StepbyStep Allocations'!BF65</f>
        <v>67389999.70003137</v>
      </c>
      <c r="F74" s="71">
        <f>'2019-20 StepbyStep Allocations'!F65</f>
        <v>1463</v>
      </c>
      <c r="G74" s="72">
        <f>'2019-20 StepbyStep Allocations'!G65</f>
        <v>4032.8290670850829</v>
      </c>
      <c r="H74" s="73">
        <f>'2019-20 StepbyStep Allocations'!H65</f>
        <v>5900028.9251454761</v>
      </c>
      <c r="I74" s="74">
        <f>'2019-20 StepbyStep Allocations'!BG65</f>
        <v>-77.333333000000039</v>
      </c>
      <c r="J74" s="75">
        <f>'2019-20 StepbyStep Allocations'!BH65</f>
        <v>-463999.99800000025</v>
      </c>
      <c r="K74" s="75">
        <f>INDEX('2019-20 StepbyStep Allocations'!$BF$9:$BF$159,MATCH($C74,'2019-20 StepbyStep Allocations'!$C$9:$C$159,0))</f>
        <v>1901342.5</v>
      </c>
      <c r="L74" s="73">
        <f t="shared" si="0"/>
        <v>74727371.127176851</v>
      </c>
      <c r="M74"/>
      <c r="N74"/>
      <c r="O74"/>
    </row>
    <row r="75" spans="2:15" s="29" customFormat="1" ht="15.4" x14ac:dyDescent="0.45">
      <c r="B75" s="76" t="s">
        <v>158</v>
      </c>
      <c r="C75" s="77">
        <v>353</v>
      </c>
      <c r="D75" s="78" t="s">
        <v>171</v>
      </c>
      <c r="E75" s="70">
        <f>'2019-20 StepbyStep Allocations'!BP66-'2019-20 StepbyStep Allocations'!BH66-'2019-20 StepbyStep Allocations'!H66-'2019-20 StepbyStep Allocations'!BF66</f>
        <v>28087814.567903705</v>
      </c>
      <c r="F75" s="71">
        <f>'2019-20 StepbyStep Allocations'!F66</f>
        <v>832.83333300000004</v>
      </c>
      <c r="G75" s="72">
        <f>'2019-20 StepbyStep Allocations'!G66</f>
        <v>4032.8290670850829</v>
      </c>
      <c r="H75" s="73">
        <f>'2019-20 StepbyStep Allocations'!H66</f>
        <v>3358674.4733597501</v>
      </c>
      <c r="I75" s="74">
        <f>'2019-20 StepbyStep Allocations'!BG66</f>
        <v>9.3333330000000387</v>
      </c>
      <c r="J75" s="75">
        <f>'2019-20 StepbyStep Allocations'!BH66</f>
        <v>55999.998000000232</v>
      </c>
      <c r="K75" s="75">
        <f>INDEX('2019-20 StepbyStep Allocations'!$BF$9:$BF$159,MATCH($C75,'2019-20 StepbyStep Allocations'!$C$9:$C$159,0))</f>
        <v>449837.84</v>
      </c>
      <c r="L75" s="73">
        <f t="shared" si="0"/>
        <v>31952326.879263453</v>
      </c>
      <c r="M75"/>
      <c r="N75"/>
      <c r="O75"/>
    </row>
    <row r="76" spans="2:15" s="29" customFormat="1" ht="15.4" x14ac:dyDescent="0.45">
      <c r="B76" s="76" t="s">
        <v>158</v>
      </c>
      <c r="C76" s="77">
        <v>354</v>
      </c>
      <c r="D76" s="78" t="s">
        <v>172</v>
      </c>
      <c r="E76" s="70">
        <f>'2019-20 StepbyStep Allocations'!BP67-'2019-20 StepbyStep Allocations'!BH67-'2019-20 StepbyStep Allocations'!H67-'2019-20 StepbyStep Allocations'!BF67</f>
        <v>21244072.111616306</v>
      </c>
      <c r="F76" s="71">
        <f>'2019-20 StepbyStep Allocations'!F67</f>
        <v>571.5</v>
      </c>
      <c r="G76" s="72">
        <f>'2019-20 StepbyStep Allocations'!G67</f>
        <v>4032.8290670850829</v>
      </c>
      <c r="H76" s="73">
        <f>'2019-20 StepbyStep Allocations'!H67</f>
        <v>2304761.8118391247</v>
      </c>
      <c r="I76" s="74">
        <f>'2019-20 StepbyStep Allocations'!BG67</f>
        <v>-62</v>
      </c>
      <c r="J76" s="75">
        <f>'2019-20 StepbyStep Allocations'!BH67</f>
        <v>-372000</v>
      </c>
      <c r="K76" s="75">
        <f>INDEX('2019-20 StepbyStep Allocations'!$BF$9:$BF$159,MATCH($C76,'2019-20 StepbyStep Allocations'!$C$9:$C$159,0))</f>
        <v>0</v>
      </c>
      <c r="L76" s="73">
        <f t="shared" si="0"/>
        <v>23176833.923455432</v>
      </c>
      <c r="M76"/>
      <c r="N76"/>
      <c r="O76"/>
    </row>
    <row r="77" spans="2:15" s="29" customFormat="1" ht="15.4" x14ac:dyDescent="0.45">
      <c r="B77" s="76" t="s">
        <v>158</v>
      </c>
      <c r="C77" s="77">
        <v>355</v>
      </c>
      <c r="D77" s="78" t="s">
        <v>173</v>
      </c>
      <c r="E77" s="70">
        <f>'2019-20 StepbyStep Allocations'!BP68-'2019-20 StepbyStep Allocations'!BH68-'2019-20 StepbyStep Allocations'!H68-'2019-20 StepbyStep Allocations'!BF68</f>
        <v>29881328.178950664</v>
      </c>
      <c r="F77" s="71">
        <f>'2019-20 StepbyStep Allocations'!F68</f>
        <v>651</v>
      </c>
      <c r="G77" s="72">
        <f>'2019-20 StepbyStep Allocations'!G68</f>
        <v>4032.8290670850829</v>
      </c>
      <c r="H77" s="73">
        <f>'2019-20 StepbyStep Allocations'!H68</f>
        <v>2625371.7226723889</v>
      </c>
      <c r="I77" s="74">
        <f>'2019-20 StepbyStep Allocations'!BG68</f>
        <v>-87.5</v>
      </c>
      <c r="J77" s="75">
        <f>'2019-20 StepbyStep Allocations'!BH68</f>
        <v>-525000</v>
      </c>
      <c r="K77" s="75">
        <f>INDEX('2019-20 StepbyStep Allocations'!$BF$9:$BF$159,MATCH($C77,'2019-20 StepbyStep Allocations'!$C$9:$C$159,0))</f>
        <v>0</v>
      </c>
      <c r="L77" s="73">
        <f t="shared" si="0"/>
        <v>31981699.901623052</v>
      </c>
      <c r="M77"/>
      <c r="N77"/>
      <c r="O77"/>
    </row>
    <row r="78" spans="2:15" s="29" customFormat="1" ht="15.4" x14ac:dyDescent="0.45">
      <c r="B78" s="76" t="s">
        <v>158</v>
      </c>
      <c r="C78" s="77">
        <v>343</v>
      </c>
      <c r="D78" s="78" t="s">
        <v>174</v>
      </c>
      <c r="E78" s="70">
        <f>'2019-20 StepbyStep Allocations'!BP69-'2019-20 StepbyStep Allocations'!BH69-'2019-20 StepbyStep Allocations'!H69-'2019-20 StepbyStep Allocations'!BF69</f>
        <v>25082413.381290969</v>
      </c>
      <c r="F78" s="71">
        <f>'2019-20 StepbyStep Allocations'!F69</f>
        <v>611</v>
      </c>
      <c r="G78" s="72">
        <f>'2019-20 StepbyStep Allocations'!G69</f>
        <v>4006.7388730235834</v>
      </c>
      <c r="H78" s="73">
        <f>'2019-20 StepbyStep Allocations'!H69</f>
        <v>2448117.4514174093</v>
      </c>
      <c r="I78" s="74">
        <f>'2019-20 StepbyStep Allocations'!BG69</f>
        <v>-20</v>
      </c>
      <c r="J78" s="75">
        <f>'2019-20 StepbyStep Allocations'!BH69</f>
        <v>-120000</v>
      </c>
      <c r="K78" s="75">
        <f>INDEX('2019-20 StepbyStep Allocations'!$BF$9:$BF$159,MATCH($C78,'2019-20 StepbyStep Allocations'!$C$9:$C$159,0))</f>
        <v>0</v>
      </c>
      <c r="L78" s="73">
        <f t="shared" si="0"/>
        <v>27410530.832708377</v>
      </c>
      <c r="M78"/>
      <c r="N78"/>
      <c r="O78"/>
    </row>
    <row r="79" spans="2:15" s="29" customFormat="1" ht="15.4" x14ac:dyDescent="0.45">
      <c r="B79" s="76" t="s">
        <v>158</v>
      </c>
      <c r="C79" s="77">
        <v>342</v>
      </c>
      <c r="D79" s="78" t="s">
        <v>175</v>
      </c>
      <c r="E79" s="70">
        <f>'2019-20 StepbyStep Allocations'!BP70-'2019-20 StepbyStep Allocations'!BH70-'2019-20 StepbyStep Allocations'!H70-'2019-20 StepbyStep Allocations'!BF70</f>
        <v>20122791.492805615</v>
      </c>
      <c r="F79" s="71">
        <f>'2019-20 StepbyStep Allocations'!F70</f>
        <v>397</v>
      </c>
      <c r="G79" s="72">
        <f>'2019-20 StepbyStep Allocations'!G70</f>
        <v>4006.7388730235834</v>
      </c>
      <c r="H79" s="73">
        <f>'2019-20 StepbyStep Allocations'!H70</f>
        <v>1590675.3325903625</v>
      </c>
      <c r="I79" s="74">
        <f>'2019-20 StepbyStep Allocations'!BG70</f>
        <v>77.5</v>
      </c>
      <c r="J79" s="75">
        <f>'2019-20 StepbyStep Allocations'!BH70</f>
        <v>465000</v>
      </c>
      <c r="K79" s="75">
        <f>INDEX('2019-20 StepbyStep Allocations'!$BF$9:$BF$159,MATCH($C79,'2019-20 StepbyStep Allocations'!$C$9:$C$159,0))</f>
        <v>0</v>
      </c>
      <c r="L79" s="73">
        <f t="shared" si="0"/>
        <v>22178466.825395979</v>
      </c>
      <c r="M79"/>
      <c r="N79"/>
      <c r="O79"/>
    </row>
    <row r="80" spans="2:15" s="29" customFormat="1" ht="15.4" x14ac:dyDescent="0.45">
      <c r="B80" s="76" t="s">
        <v>158</v>
      </c>
      <c r="C80" s="77">
        <v>356</v>
      </c>
      <c r="D80" s="78" t="s">
        <v>176</v>
      </c>
      <c r="E80" s="70">
        <f>'2019-20 StepbyStep Allocations'!BP71-'2019-20 StepbyStep Allocations'!BH71-'2019-20 StepbyStep Allocations'!H71-'2019-20 StepbyStep Allocations'!BF71</f>
        <v>28236895.99600688</v>
      </c>
      <c r="F80" s="71">
        <f>'2019-20 StepbyStep Allocations'!F71</f>
        <v>610</v>
      </c>
      <c r="G80" s="72">
        <f>'2019-20 StepbyStep Allocations'!G71</f>
        <v>4032.8290670850829</v>
      </c>
      <c r="H80" s="73">
        <f>'2019-20 StepbyStep Allocations'!H71</f>
        <v>2460025.7309219004</v>
      </c>
      <c r="I80" s="74">
        <f>'2019-20 StepbyStep Allocations'!BG71</f>
        <v>-65</v>
      </c>
      <c r="J80" s="75">
        <f>'2019-20 StepbyStep Allocations'!BH71</f>
        <v>-390000</v>
      </c>
      <c r="K80" s="75">
        <f>INDEX('2019-20 StepbyStep Allocations'!$BF$9:$BF$159,MATCH($C80,'2019-20 StepbyStep Allocations'!$C$9:$C$159,0))</f>
        <v>50500</v>
      </c>
      <c r="L80" s="73">
        <f t="shared" si="0"/>
        <v>30357421.726928782</v>
      </c>
      <c r="M80"/>
      <c r="N80"/>
      <c r="O80"/>
    </row>
    <row r="81" spans="2:15" s="29" customFormat="1" ht="15.4" x14ac:dyDescent="0.45">
      <c r="B81" s="76" t="s">
        <v>158</v>
      </c>
      <c r="C81" s="77">
        <v>357</v>
      </c>
      <c r="D81" s="78" t="s">
        <v>177</v>
      </c>
      <c r="E81" s="70">
        <f>'2019-20 StepbyStep Allocations'!BP72-'2019-20 StepbyStep Allocations'!BH72-'2019-20 StepbyStep Allocations'!H72-'2019-20 StepbyStep Allocations'!BF72</f>
        <v>18602057.945829</v>
      </c>
      <c r="F81" s="71">
        <f>'2019-20 StepbyStep Allocations'!F72</f>
        <v>437</v>
      </c>
      <c r="G81" s="72">
        <f>'2019-20 StepbyStep Allocations'!G72</f>
        <v>4032.8290670850829</v>
      </c>
      <c r="H81" s="73">
        <f>'2019-20 StepbyStep Allocations'!H72</f>
        <v>1762346.3023161811</v>
      </c>
      <c r="I81" s="74">
        <f>'2019-20 StepbyStep Allocations'!BG72</f>
        <v>-68</v>
      </c>
      <c r="J81" s="75">
        <f>'2019-20 StepbyStep Allocations'!BH72</f>
        <v>-408000</v>
      </c>
      <c r="K81" s="75">
        <f>INDEX('2019-20 StepbyStep Allocations'!$BF$9:$BF$159,MATCH($C81,'2019-20 StepbyStep Allocations'!$C$9:$C$159,0))</f>
        <v>75750</v>
      </c>
      <c r="L81" s="73">
        <f t="shared" si="0"/>
        <v>20032154.248145182</v>
      </c>
      <c r="M81"/>
      <c r="N81"/>
      <c r="O81"/>
    </row>
    <row r="82" spans="2:15" s="29" customFormat="1" ht="15.4" x14ac:dyDescent="0.45">
      <c r="B82" s="76" t="s">
        <v>158</v>
      </c>
      <c r="C82" s="77">
        <v>358</v>
      </c>
      <c r="D82" s="78" t="s">
        <v>178</v>
      </c>
      <c r="E82" s="70">
        <f>'2019-20 StepbyStep Allocations'!BP73-'2019-20 StepbyStep Allocations'!BH73-'2019-20 StepbyStep Allocations'!H73-'2019-20 StepbyStep Allocations'!BF73</f>
        <v>23618100.467000723</v>
      </c>
      <c r="F82" s="71">
        <f>'2019-20 StepbyStep Allocations'!F73</f>
        <v>614</v>
      </c>
      <c r="G82" s="72">
        <f>'2019-20 StepbyStep Allocations'!G73</f>
        <v>4032.8290670850829</v>
      </c>
      <c r="H82" s="73">
        <f>'2019-20 StepbyStep Allocations'!H73</f>
        <v>2476157.047190241</v>
      </c>
      <c r="I82" s="74">
        <f>'2019-20 StepbyStep Allocations'!BG73</f>
        <v>-94.5</v>
      </c>
      <c r="J82" s="75">
        <f>'2019-20 StepbyStep Allocations'!BH73</f>
        <v>-567000</v>
      </c>
      <c r="K82" s="75">
        <f>INDEX('2019-20 StepbyStep Allocations'!$BF$9:$BF$159,MATCH($C82,'2019-20 StepbyStep Allocations'!$C$9:$C$159,0))</f>
        <v>0</v>
      </c>
      <c r="L82" s="73">
        <f t="shared" si="0"/>
        <v>25527257.514190964</v>
      </c>
      <c r="M82"/>
      <c r="N82"/>
      <c r="O82"/>
    </row>
    <row r="83" spans="2:15" s="29" customFormat="1" ht="15.4" x14ac:dyDescent="0.45">
      <c r="B83" s="76" t="s">
        <v>158</v>
      </c>
      <c r="C83" s="77">
        <v>877</v>
      </c>
      <c r="D83" s="78" t="s">
        <v>179</v>
      </c>
      <c r="E83" s="70">
        <f>'2019-20 StepbyStep Allocations'!BP74-'2019-20 StepbyStep Allocations'!BH74-'2019-20 StepbyStep Allocations'!H74-'2019-20 StepbyStep Allocations'!BF74</f>
        <v>18322796.730882972</v>
      </c>
      <c r="F83" s="71">
        <f>'2019-20 StepbyStep Allocations'!F74</f>
        <v>403</v>
      </c>
      <c r="G83" s="72">
        <f>'2019-20 StepbyStep Allocations'!G74</f>
        <v>4021.8192050631415</v>
      </c>
      <c r="H83" s="73">
        <f>'2019-20 StepbyStep Allocations'!H74</f>
        <v>1620793.1396404461</v>
      </c>
      <c r="I83" s="74">
        <f>'2019-20 StepbyStep Allocations'!BG74</f>
        <v>-82</v>
      </c>
      <c r="J83" s="75">
        <f>'2019-20 StepbyStep Allocations'!BH74</f>
        <v>-492000</v>
      </c>
      <c r="K83" s="75">
        <f>INDEX('2019-20 StepbyStep Allocations'!$BF$9:$BF$159,MATCH($C83,'2019-20 StepbyStep Allocations'!$C$9:$C$159,0))</f>
        <v>314640.25</v>
      </c>
      <c r="L83" s="73">
        <f t="shared" ref="L83:L146" si="1">E83+H83+J83+K83</f>
        <v>19766230.120523419</v>
      </c>
      <c r="M83"/>
      <c r="N83"/>
      <c r="O83"/>
    </row>
    <row r="84" spans="2:15" s="29" customFormat="1" ht="15.4" x14ac:dyDescent="0.45">
      <c r="B84" s="76" t="s">
        <v>158</v>
      </c>
      <c r="C84" s="77">
        <v>359</v>
      </c>
      <c r="D84" s="78" t="s">
        <v>180</v>
      </c>
      <c r="E84" s="70">
        <f>'2019-20 StepbyStep Allocations'!BP75-'2019-20 StepbyStep Allocations'!BH75-'2019-20 StepbyStep Allocations'!H75-'2019-20 StepbyStep Allocations'!BF75</f>
        <v>26631937.541660428</v>
      </c>
      <c r="F84" s="71">
        <f>'2019-20 StepbyStep Allocations'!F75</f>
        <v>726</v>
      </c>
      <c r="G84" s="72">
        <f>'2019-20 StepbyStep Allocations'!G75</f>
        <v>4032.8290670850829</v>
      </c>
      <c r="H84" s="73">
        <f>'2019-20 StepbyStep Allocations'!H75</f>
        <v>2927833.90270377</v>
      </c>
      <c r="I84" s="74">
        <f>'2019-20 StepbyStep Allocations'!BG75</f>
        <v>-94</v>
      </c>
      <c r="J84" s="75">
        <f>'2019-20 StepbyStep Allocations'!BH75</f>
        <v>-564000</v>
      </c>
      <c r="K84" s="75">
        <f>INDEX('2019-20 StepbyStep Allocations'!$BF$9:$BF$159,MATCH($C84,'2019-20 StepbyStep Allocations'!$C$9:$C$159,0))</f>
        <v>30300</v>
      </c>
      <c r="L84" s="73">
        <f t="shared" si="1"/>
        <v>29026071.444364198</v>
      </c>
      <c r="M84"/>
      <c r="N84"/>
      <c r="O84"/>
    </row>
    <row r="85" spans="2:15" s="29" customFormat="1" ht="15.4" x14ac:dyDescent="0.45">
      <c r="B85" s="76" t="s">
        <v>158</v>
      </c>
      <c r="C85" s="77">
        <v>344</v>
      </c>
      <c r="D85" s="78" t="s">
        <v>181</v>
      </c>
      <c r="E85" s="70">
        <f>'2019-20 StepbyStep Allocations'!BP76-'2019-20 StepbyStep Allocations'!BH76-'2019-20 StepbyStep Allocations'!H76-'2019-20 StepbyStep Allocations'!BF76</f>
        <v>30998173.02459754</v>
      </c>
      <c r="F85" s="71">
        <f>'2019-20 StepbyStep Allocations'!F76</f>
        <v>1056</v>
      </c>
      <c r="G85" s="72">
        <f>'2019-20 StepbyStep Allocations'!G76</f>
        <v>4006.7388730235834</v>
      </c>
      <c r="H85" s="73">
        <f>'2019-20 StepbyStep Allocations'!H76</f>
        <v>4231116.2499129046</v>
      </c>
      <c r="I85" s="74">
        <f>'2019-20 StepbyStep Allocations'!BG76</f>
        <v>-80</v>
      </c>
      <c r="J85" s="75">
        <f>'2019-20 StepbyStep Allocations'!BH76</f>
        <v>-480000</v>
      </c>
      <c r="K85" s="75">
        <f>INDEX('2019-20 StepbyStep Allocations'!$BF$9:$BF$159,MATCH($C85,'2019-20 StepbyStep Allocations'!$C$9:$C$159,0))</f>
        <v>1372691</v>
      </c>
      <c r="L85" s="73">
        <f t="shared" si="1"/>
        <v>36121980.274510443</v>
      </c>
      <c r="M85"/>
      <c r="N85"/>
      <c r="O85"/>
    </row>
    <row r="86" spans="2:15" s="29" customFormat="1" ht="15.4" x14ac:dyDescent="0.45">
      <c r="B86" s="76" t="s">
        <v>182</v>
      </c>
      <c r="C86" s="77">
        <v>301</v>
      </c>
      <c r="D86" s="78" t="s">
        <v>183</v>
      </c>
      <c r="E86" s="70">
        <f>'2019-20 StepbyStep Allocations'!BP77-'2019-20 StepbyStep Allocations'!BH77-'2019-20 StepbyStep Allocations'!H77-'2019-20 StepbyStep Allocations'!BF77</f>
        <v>27898563.484926663</v>
      </c>
      <c r="F86" s="71">
        <f>'2019-20 StepbyStep Allocations'!F77</f>
        <v>320</v>
      </c>
      <c r="G86" s="72">
        <f>'2019-20 StepbyStep Allocations'!G77</f>
        <v>4497.4310399362021</v>
      </c>
      <c r="H86" s="73">
        <f>'2019-20 StepbyStep Allocations'!H77</f>
        <v>1439177.9327795845</v>
      </c>
      <c r="I86" s="74">
        <f>'2019-20 StepbyStep Allocations'!BG77</f>
        <v>48</v>
      </c>
      <c r="J86" s="75">
        <f>'2019-20 StepbyStep Allocations'!BH77</f>
        <v>288000</v>
      </c>
      <c r="K86" s="75">
        <f>INDEX('2019-20 StepbyStep Allocations'!$BF$9:$BF$159,MATCH($C86,'2019-20 StepbyStep Allocations'!$C$9:$C$159,0))</f>
        <v>0</v>
      </c>
      <c r="L86" s="73">
        <f t="shared" si="1"/>
        <v>29625741.417706247</v>
      </c>
      <c r="M86"/>
      <c r="N86"/>
      <c r="O86"/>
    </row>
    <row r="87" spans="2:15" s="29" customFormat="1" ht="15.4" x14ac:dyDescent="0.45">
      <c r="B87" s="76" t="s">
        <v>182</v>
      </c>
      <c r="C87" s="77">
        <v>302</v>
      </c>
      <c r="D87" s="78" t="s">
        <v>184</v>
      </c>
      <c r="E87" s="70">
        <f>'2019-20 StepbyStep Allocations'!BP78-'2019-20 StepbyStep Allocations'!BH78-'2019-20 StepbyStep Allocations'!H78-'2019-20 StepbyStep Allocations'!BF78</f>
        <v>44926815.936242476</v>
      </c>
      <c r="F87" s="71">
        <f>'2019-20 StepbyStep Allocations'!F78</f>
        <v>667</v>
      </c>
      <c r="G87" s="72">
        <f>'2019-20 StepbyStep Allocations'!G78</f>
        <v>4446.4542472141338</v>
      </c>
      <c r="H87" s="73">
        <f>'2019-20 StepbyStep Allocations'!H78</f>
        <v>2965784.9828918274</v>
      </c>
      <c r="I87" s="74">
        <f>'2019-20 StepbyStep Allocations'!BG78</f>
        <v>63.5</v>
      </c>
      <c r="J87" s="75">
        <f>'2019-20 StepbyStep Allocations'!BH78</f>
        <v>381000</v>
      </c>
      <c r="K87" s="75">
        <f>INDEX('2019-20 StepbyStep Allocations'!$BF$9:$BF$159,MATCH($C87,'2019-20 StepbyStep Allocations'!$C$9:$C$159,0))</f>
        <v>546557.46</v>
      </c>
      <c r="L87" s="73">
        <f t="shared" si="1"/>
        <v>48820158.379134305</v>
      </c>
      <c r="M87"/>
      <c r="N87"/>
      <c r="O87"/>
    </row>
    <row r="88" spans="2:15" s="29" customFormat="1" ht="15.4" x14ac:dyDescent="0.45">
      <c r="B88" s="76" t="s">
        <v>182</v>
      </c>
      <c r="C88" s="77">
        <v>303</v>
      </c>
      <c r="D88" s="78" t="s">
        <v>185</v>
      </c>
      <c r="E88" s="70">
        <f>'2019-20 StepbyStep Allocations'!BP79-'2019-20 StepbyStep Allocations'!BH79-'2019-20 StepbyStep Allocations'!H79-'2019-20 StepbyStep Allocations'!BF79</f>
        <v>30468582.315739345</v>
      </c>
      <c r="F88" s="71">
        <f>'2019-20 StepbyStep Allocations'!F79</f>
        <v>597</v>
      </c>
      <c r="G88" s="72">
        <f>'2019-20 StepbyStep Allocations'!G79</f>
        <v>4348.3304649124002</v>
      </c>
      <c r="H88" s="73">
        <f>'2019-20 StepbyStep Allocations'!H79</f>
        <v>2595953.2875527027</v>
      </c>
      <c r="I88" s="74">
        <f>'2019-20 StepbyStep Allocations'!BG79</f>
        <v>-217.5</v>
      </c>
      <c r="J88" s="75">
        <f>'2019-20 StepbyStep Allocations'!BH79</f>
        <v>-1305000</v>
      </c>
      <c r="K88" s="75">
        <f>INDEX('2019-20 StepbyStep Allocations'!$BF$9:$BF$159,MATCH($C88,'2019-20 StepbyStep Allocations'!$C$9:$C$159,0))</f>
        <v>297950</v>
      </c>
      <c r="L88" s="73">
        <f t="shared" si="1"/>
        <v>32057485.603292048</v>
      </c>
      <c r="M88"/>
      <c r="N88"/>
      <c r="O88"/>
    </row>
    <row r="89" spans="2:15" s="29" customFormat="1" ht="15.4" x14ac:dyDescent="0.45">
      <c r="B89" s="76" t="s">
        <v>182</v>
      </c>
      <c r="C89" s="77">
        <v>304</v>
      </c>
      <c r="D89" s="78" t="s">
        <v>186</v>
      </c>
      <c r="E89" s="70">
        <f>'2019-20 StepbyStep Allocations'!BP80-'2019-20 StepbyStep Allocations'!BH80-'2019-20 StepbyStep Allocations'!H80-'2019-20 StepbyStep Allocations'!BF80</f>
        <v>53581135.642710552</v>
      </c>
      <c r="F89" s="71">
        <f>'2019-20 StepbyStep Allocations'!F80</f>
        <v>803</v>
      </c>
      <c r="G89" s="72">
        <f>'2019-20 StepbyStep Allocations'!G80</f>
        <v>4595.5548222379357</v>
      </c>
      <c r="H89" s="73">
        <f>'2019-20 StepbyStep Allocations'!H80</f>
        <v>3690230.5222570621</v>
      </c>
      <c r="I89" s="74">
        <f>'2019-20 StepbyStep Allocations'!BG80</f>
        <v>-344.5</v>
      </c>
      <c r="J89" s="75">
        <f>'2019-20 StepbyStep Allocations'!BH80</f>
        <v>-2067000</v>
      </c>
      <c r="K89" s="75">
        <f>INDEX('2019-20 StepbyStep Allocations'!$BF$9:$BF$159,MATCH($C89,'2019-20 StepbyStep Allocations'!$C$9:$C$159,0))</f>
        <v>0</v>
      </c>
      <c r="L89" s="73">
        <f t="shared" si="1"/>
        <v>55204366.164967611</v>
      </c>
      <c r="M89"/>
      <c r="N89"/>
      <c r="O89"/>
    </row>
    <row r="90" spans="2:15" s="29" customFormat="1" ht="15.4" x14ac:dyDescent="0.45">
      <c r="B90" s="76" t="s">
        <v>182</v>
      </c>
      <c r="C90" s="77">
        <v>305</v>
      </c>
      <c r="D90" s="78" t="s">
        <v>187</v>
      </c>
      <c r="E90" s="70">
        <f>'2019-20 StepbyStep Allocations'!BP81-'2019-20 StepbyStep Allocations'!BH81-'2019-20 StepbyStep Allocations'!H81-'2019-20 StepbyStep Allocations'!BF81</f>
        <v>43116068.401153162</v>
      </c>
      <c r="F90" s="71">
        <f>'2019-20 StepbyStep Allocations'!F81</f>
        <v>827.5</v>
      </c>
      <c r="G90" s="72">
        <f>'2019-20 StepbyStep Allocations'!G81</f>
        <v>4348.3304649124002</v>
      </c>
      <c r="H90" s="73">
        <f>'2019-20 StepbyStep Allocations'!H81</f>
        <v>3598243.4597150111</v>
      </c>
      <c r="I90" s="74">
        <f>'2019-20 StepbyStep Allocations'!BG81</f>
        <v>80.5</v>
      </c>
      <c r="J90" s="75">
        <f>'2019-20 StepbyStep Allocations'!BH81</f>
        <v>483000</v>
      </c>
      <c r="K90" s="75">
        <f>INDEX('2019-20 StepbyStep Allocations'!$BF$9:$BF$159,MATCH($C90,'2019-20 StepbyStep Allocations'!$C$9:$C$159,0))</f>
        <v>707000</v>
      </c>
      <c r="L90" s="73">
        <f t="shared" si="1"/>
        <v>47904311.860868171</v>
      </c>
      <c r="M90"/>
      <c r="N90"/>
      <c r="O90"/>
    </row>
    <row r="91" spans="2:15" s="29" customFormat="1" ht="15.4" x14ac:dyDescent="0.45">
      <c r="B91" s="76" t="s">
        <v>182</v>
      </c>
      <c r="C91" s="77">
        <v>306</v>
      </c>
      <c r="D91" s="78" t="s">
        <v>188</v>
      </c>
      <c r="E91" s="70">
        <f>'2019-20 StepbyStep Allocations'!BP82-'2019-20 StepbyStep Allocations'!BH82-'2019-20 StepbyStep Allocations'!H82-'2019-20 StepbyStep Allocations'!BF82</f>
        <v>56610989.983914249</v>
      </c>
      <c r="F91" s="71">
        <f>'2019-20 StepbyStep Allocations'!F82</f>
        <v>1104</v>
      </c>
      <c r="G91" s="72">
        <f>'2019-20 StepbyStep Allocations'!G82</f>
        <v>4348.3304649124002</v>
      </c>
      <c r="H91" s="73">
        <f>'2019-20 StepbyStep Allocations'!H82</f>
        <v>4800556.8332632901</v>
      </c>
      <c r="I91" s="74">
        <f>'2019-20 StepbyStep Allocations'!BG82</f>
        <v>-273</v>
      </c>
      <c r="J91" s="75">
        <f>'2019-20 StepbyStep Allocations'!BH82</f>
        <v>-1638000</v>
      </c>
      <c r="K91" s="75">
        <f>INDEX('2019-20 StepbyStep Allocations'!$BF$9:$BF$159,MATCH($C91,'2019-20 StepbyStep Allocations'!$C$9:$C$159,0))</f>
        <v>388850</v>
      </c>
      <c r="L91" s="73">
        <f t="shared" si="1"/>
        <v>60162396.817177542</v>
      </c>
      <c r="M91"/>
      <c r="N91"/>
      <c r="O91"/>
    </row>
    <row r="92" spans="2:15" s="29" customFormat="1" ht="15.4" x14ac:dyDescent="0.45">
      <c r="B92" s="76" t="s">
        <v>182</v>
      </c>
      <c r="C92" s="77">
        <v>307</v>
      </c>
      <c r="D92" s="78" t="s">
        <v>189</v>
      </c>
      <c r="E92" s="70">
        <f>'2019-20 StepbyStep Allocations'!BP83-'2019-20 StepbyStep Allocations'!BH83-'2019-20 StepbyStep Allocations'!H83-'2019-20 StepbyStep Allocations'!BF83</f>
        <v>50411625.674916595</v>
      </c>
      <c r="F92" s="71">
        <f>'2019-20 StepbyStep Allocations'!F83</f>
        <v>857</v>
      </c>
      <c r="G92" s="72">
        <f>'2019-20 StepbyStep Allocations'!G83</f>
        <v>4595.5548222379357</v>
      </c>
      <c r="H92" s="73">
        <f>'2019-20 StepbyStep Allocations'!H83</f>
        <v>3938390.4826579108</v>
      </c>
      <c r="I92" s="74">
        <f>'2019-20 StepbyStep Allocations'!BG83</f>
        <v>-177.5</v>
      </c>
      <c r="J92" s="75">
        <f>'2019-20 StepbyStep Allocations'!BH83</f>
        <v>-1065000</v>
      </c>
      <c r="K92" s="75">
        <f>INDEX('2019-20 StepbyStep Allocations'!$BF$9:$BF$159,MATCH($C92,'2019-20 StepbyStep Allocations'!$C$9:$C$159,0))</f>
        <v>0</v>
      </c>
      <c r="L92" s="73">
        <f t="shared" si="1"/>
        <v>53285016.157574505</v>
      </c>
      <c r="M92"/>
      <c r="N92"/>
      <c r="O92"/>
    </row>
    <row r="93" spans="2:15" s="29" customFormat="1" ht="15.4" x14ac:dyDescent="0.45">
      <c r="B93" s="76" t="s">
        <v>182</v>
      </c>
      <c r="C93" s="77">
        <v>308</v>
      </c>
      <c r="D93" s="78" t="s">
        <v>190</v>
      </c>
      <c r="E93" s="70">
        <f>'2019-20 StepbyStep Allocations'!BP84-'2019-20 StepbyStep Allocations'!BH84-'2019-20 StepbyStep Allocations'!H84-'2019-20 StepbyStep Allocations'!BF84</f>
        <v>43969756.819375806</v>
      </c>
      <c r="F93" s="71">
        <f>'2019-20 StepbyStep Allocations'!F84</f>
        <v>764.5</v>
      </c>
      <c r="G93" s="72">
        <f>'2019-20 StepbyStep Allocations'!G84</f>
        <v>4348.3304649124002</v>
      </c>
      <c r="H93" s="73">
        <f>'2019-20 StepbyStep Allocations'!H84</f>
        <v>3324298.6404255298</v>
      </c>
      <c r="I93" s="74">
        <f>'2019-20 StepbyStep Allocations'!BG84</f>
        <v>-261</v>
      </c>
      <c r="J93" s="75">
        <f>'2019-20 StepbyStep Allocations'!BH84</f>
        <v>-1566000</v>
      </c>
      <c r="K93" s="75">
        <f>INDEX('2019-20 StepbyStep Allocations'!$BF$9:$BF$159,MATCH($C93,'2019-20 StepbyStep Allocations'!$C$9:$C$159,0))</f>
        <v>392738.5</v>
      </c>
      <c r="L93" s="73">
        <f t="shared" si="1"/>
        <v>46120793.959801339</v>
      </c>
      <c r="M93"/>
      <c r="N93"/>
      <c r="O93"/>
    </row>
    <row r="94" spans="2:15" s="29" customFormat="1" ht="15.4" x14ac:dyDescent="0.45">
      <c r="B94" s="76" t="s">
        <v>182</v>
      </c>
      <c r="C94" s="77">
        <v>203</v>
      </c>
      <c r="D94" s="78" t="s">
        <v>191</v>
      </c>
      <c r="E94" s="70">
        <f>'2019-20 StepbyStep Allocations'!BP85-'2019-20 StepbyStep Allocations'!BH85-'2019-20 StepbyStep Allocations'!H85-'2019-20 StepbyStep Allocations'!BF85</f>
        <v>43356793.503122613</v>
      </c>
      <c r="F94" s="71">
        <f>'2019-20 StepbyStep Allocations'!F85</f>
        <v>533</v>
      </c>
      <c r="G94" s="72">
        <f>'2019-20 StepbyStep Allocations'!G85</f>
        <v>4822.5315121095118</v>
      </c>
      <c r="H94" s="73">
        <f>'2019-20 StepbyStep Allocations'!H85</f>
        <v>2570409.2959543699</v>
      </c>
      <c r="I94" s="74">
        <f>'2019-20 StepbyStep Allocations'!BG85</f>
        <v>1</v>
      </c>
      <c r="J94" s="75">
        <f>'2019-20 StepbyStep Allocations'!BH85</f>
        <v>6000</v>
      </c>
      <c r="K94" s="75">
        <f>INDEX('2019-20 StepbyStep Allocations'!$BF$9:$BF$159,MATCH($C94,'2019-20 StepbyStep Allocations'!$C$9:$C$159,0))</f>
        <v>468065.31</v>
      </c>
      <c r="L94" s="73">
        <f t="shared" si="1"/>
        <v>46401268.109076984</v>
      </c>
      <c r="M94"/>
      <c r="N94"/>
      <c r="O94"/>
    </row>
    <row r="95" spans="2:15" s="29" customFormat="1" ht="15.4" x14ac:dyDescent="0.45">
      <c r="B95" s="76" t="s">
        <v>182</v>
      </c>
      <c r="C95" s="77">
        <v>310</v>
      </c>
      <c r="D95" s="78" t="s">
        <v>192</v>
      </c>
      <c r="E95" s="70">
        <f>'2019-20 StepbyStep Allocations'!BP86-'2019-20 StepbyStep Allocations'!BH86-'2019-20 StepbyStep Allocations'!H86-'2019-20 StepbyStep Allocations'!BF86</f>
        <v>30273467.09296805</v>
      </c>
      <c r="F95" s="71">
        <f>'2019-20 StepbyStep Allocations'!F86</f>
        <v>533</v>
      </c>
      <c r="G95" s="72">
        <f>'2019-20 StepbyStep Allocations'!G86</f>
        <v>4446.4542472141338</v>
      </c>
      <c r="H95" s="73">
        <f>'2019-20 StepbyStep Allocations'!H86</f>
        <v>2369960.1137651335</v>
      </c>
      <c r="I95" s="74">
        <f>'2019-20 StepbyStep Allocations'!BG86</f>
        <v>-246.5</v>
      </c>
      <c r="J95" s="75">
        <f>'2019-20 StepbyStep Allocations'!BH86</f>
        <v>-1479000</v>
      </c>
      <c r="K95" s="75">
        <f>INDEX('2019-20 StepbyStep Allocations'!$BF$9:$BF$159,MATCH($C95,'2019-20 StepbyStep Allocations'!$C$9:$C$159,0))</f>
        <v>168974.38</v>
      </c>
      <c r="L95" s="73">
        <f t="shared" si="1"/>
        <v>31333401.586733181</v>
      </c>
      <c r="M95"/>
      <c r="N95"/>
      <c r="O95"/>
    </row>
    <row r="96" spans="2:15" s="29" customFormat="1" ht="15.4" x14ac:dyDescent="0.45">
      <c r="B96" s="76" t="s">
        <v>182</v>
      </c>
      <c r="C96" s="77">
        <v>311</v>
      </c>
      <c r="D96" s="78" t="s">
        <v>193</v>
      </c>
      <c r="E96" s="70">
        <f>'2019-20 StepbyStep Allocations'!BP87-'2019-20 StepbyStep Allocations'!BH87-'2019-20 StepbyStep Allocations'!H87-'2019-20 StepbyStep Allocations'!BF87</f>
        <v>23570348.289976116</v>
      </c>
      <c r="F96" s="71">
        <f>'2019-20 StepbyStep Allocations'!F87</f>
        <v>343</v>
      </c>
      <c r="G96" s="72">
        <f>'2019-20 StepbyStep Allocations'!G87</f>
        <v>4348.3304649124002</v>
      </c>
      <c r="H96" s="73">
        <f>'2019-20 StepbyStep Allocations'!H87</f>
        <v>1491477.3494649532</v>
      </c>
      <c r="I96" s="74">
        <f>'2019-20 StepbyStep Allocations'!BG87</f>
        <v>-86</v>
      </c>
      <c r="J96" s="75">
        <f>'2019-20 StepbyStep Allocations'!BH87</f>
        <v>-516000</v>
      </c>
      <c r="K96" s="75">
        <f>INDEX('2019-20 StepbyStep Allocations'!$BF$9:$BF$159,MATCH($C96,'2019-20 StepbyStep Allocations'!$C$9:$C$159,0))</f>
        <v>78931.5</v>
      </c>
      <c r="L96" s="73">
        <f t="shared" si="1"/>
        <v>24624757.139441069</v>
      </c>
      <c r="M96"/>
      <c r="N96"/>
      <c r="O96"/>
    </row>
    <row r="97" spans="2:15" s="29" customFormat="1" ht="15.4" x14ac:dyDescent="0.45">
      <c r="B97" s="76" t="s">
        <v>182</v>
      </c>
      <c r="C97" s="77">
        <v>312</v>
      </c>
      <c r="D97" s="78" t="s">
        <v>194</v>
      </c>
      <c r="E97" s="70">
        <f>'2019-20 StepbyStep Allocations'!BP88-'2019-20 StepbyStep Allocations'!BH88-'2019-20 StepbyStep Allocations'!H88-'2019-20 StepbyStep Allocations'!BF88</f>
        <v>33757043.758990295</v>
      </c>
      <c r="F97" s="71">
        <f>'2019-20 StepbyStep Allocations'!F88</f>
        <v>720.5</v>
      </c>
      <c r="G97" s="72">
        <f>'2019-20 StepbyStep Allocations'!G88</f>
        <v>4446.4542472141338</v>
      </c>
      <c r="H97" s="73">
        <f>'2019-20 StepbyStep Allocations'!H88</f>
        <v>3203670.2851177836</v>
      </c>
      <c r="I97" s="74">
        <f>'2019-20 StepbyStep Allocations'!BG88</f>
        <v>163</v>
      </c>
      <c r="J97" s="75">
        <f>'2019-20 StepbyStep Allocations'!BH88</f>
        <v>978000</v>
      </c>
      <c r="K97" s="75">
        <f>INDEX('2019-20 StepbyStep Allocations'!$BF$9:$BF$159,MATCH($C97,'2019-20 StepbyStep Allocations'!$C$9:$C$159,0))</f>
        <v>75750</v>
      </c>
      <c r="L97" s="73">
        <f t="shared" si="1"/>
        <v>38014464.044108078</v>
      </c>
      <c r="M97"/>
      <c r="N97"/>
      <c r="O97"/>
    </row>
    <row r="98" spans="2:15" s="29" customFormat="1" ht="15.4" x14ac:dyDescent="0.45">
      <c r="B98" s="76" t="s">
        <v>182</v>
      </c>
      <c r="C98" s="77">
        <v>313</v>
      </c>
      <c r="D98" s="78" t="s">
        <v>195</v>
      </c>
      <c r="E98" s="70">
        <f>'2019-20 StepbyStep Allocations'!BP89-'2019-20 StepbyStep Allocations'!BH89-'2019-20 StepbyStep Allocations'!H89-'2019-20 StepbyStep Allocations'!BF89</f>
        <v>43913182.147786833</v>
      </c>
      <c r="F98" s="71">
        <f>'2019-20 StepbyStep Allocations'!F89</f>
        <v>648</v>
      </c>
      <c r="G98" s="72">
        <f>'2019-20 StepbyStep Allocations'!G89</f>
        <v>4446.4542472141338</v>
      </c>
      <c r="H98" s="73">
        <f>'2019-20 StepbyStep Allocations'!H89</f>
        <v>2881302.3521947586</v>
      </c>
      <c r="I98" s="74">
        <f>'2019-20 StepbyStep Allocations'!BG89</f>
        <v>-171.5</v>
      </c>
      <c r="J98" s="75">
        <f>'2019-20 StepbyStep Allocations'!BH89</f>
        <v>-1029000</v>
      </c>
      <c r="K98" s="75">
        <f>INDEX('2019-20 StepbyStep Allocations'!$BF$9:$BF$159,MATCH($C98,'2019-20 StepbyStep Allocations'!$C$9:$C$159,0))</f>
        <v>1171600</v>
      </c>
      <c r="L98" s="73">
        <f t="shared" si="1"/>
        <v>46937084.49998159</v>
      </c>
      <c r="M98"/>
      <c r="N98"/>
      <c r="O98"/>
    </row>
    <row r="99" spans="2:15" s="29" customFormat="1" ht="15.4" x14ac:dyDescent="0.45">
      <c r="B99" s="76" t="s">
        <v>182</v>
      </c>
      <c r="C99" s="77">
        <v>314</v>
      </c>
      <c r="D99" s="78" t="s">
        <v>196</v>
      </c>
      <c r="E99" s="70">
        <f>'2019-20 StepbyStep Allocations'!BP90-'2019-20 StepbyStep Allocations'!BH90-'2019-20 StepbyStep Allocations'!H90-'2019-20 StepbyStep Allocations'!BF90</f>
        <v>18830120.069607396</v>
      </c>
      <c r="F99" s="71">
        <f>'2019-20 StepbyStep Allocations'!F90</f>
        <v>458.5</v>
      </c>
      <c r="G99" s="72">
        <f>'2019-20 StepbyStep Allocations'!G90</f>
        <v>4446.4542472141338</v>
      </c>
      <c r="H99" s="73">
        <f>'2019-20 StepbyStep Allocations'!H90</f>
        <v>2038699.2723476803</v>
      </c>
      <c r="I99" s="74">
        <f>'2019-20 StepbyStep Allocations'!BG90</f>
        <v>228</v>
      </c>
      <c r="J99" s="75">
        <f>'2019-20 StepbyStep Allocations'!BH90</f>
        <v>1368000</v>
      </c>
      <c r="K99" s="75">
        <f>INDEX('2019-20 StepbyStep Allocations'!$BF$9:$BF$159,MATCH($C99,'2019-20 StepbyStep Allocations'!$C$9:$C$159,0))</f>
        <v>0</v>
      </c>
      <c r="L99" s="73">
        <f t="shared" si="1"/>
        <v>22236819.341955077</v>
      </c>
      <c r="M99"/>
      <c r="N99"/>
      <c r="O99"/>
    </row>
    <row r="100" spans="2:15" s="29" customFormat="1" ht="15.4" x14ac:dyDescent="0.45">
      <c r="B100" s="76" t="s">
        <v>182</v>
      </c>
      <c r="C100" s="77">
        <v>315</v>
      </c>
      <c r="D100" s="78" t="s">
        <v>197</v>
      </c>
      <c r="E100" s="70">
        <f>'2019-20 StepbyStep Allocations'!BP91-'2019-20 StepbyStep Allocations'!BH91-'2019-20 StepbyStep Allocations'!H91-'2019-20 StepbyStep Allocations'!BF91</f>
        <v>31640642.708466347</v>
      </c>
      <c r="F100" s="71">
        <f>'2019-20 StepbyStep Allocations'!F91</f>
        <v>448</v>
      </c>
      <c r="G100" s="72">
        <f>'2019-20 StepbyStep Allocations'!G91</f>
        <v>4595.5548222379357</v>
      </c>
      <c r="H100" s="73">
        <f>'2019-20 StepbyStep Allocations'!H91</f>
        <v>2058808.5603625951</v>
      </c>
      <c r="I100" s="74">
        <f>'2019-20 StepbyStep Allocations'!BG91</f>
        <v>-196</v>
      </c>
      <c r="J100" s="75">
        <f>'2019-20 StepbyStep Allocations'!BH91</f>
        <v>-1176000</v>
      </c>
      <c r="K100" s="75">
        <f>INDEX('2019-20 StepbyStep Allocations'!$BF$9:$BF$159,MATCH($C100,'2019-20 StepbyStep Allocations'!$C$9:$C$159,0))</f>
        <v>50500</v>
      </c>
      <c r="L100" s="73">
        <f t="shared" si="1"/>
        <v>32573951.268828943</v>
      </c>
      <c r="M100"/>
      <c r="N100"/>
      <c r="O100"/>
    </row>
    <row r="101" spans="2:15" s="29" customFormat="1" ht="15.4" x14ac:dyDescent="0.45">
      <c r="B101" s="76" t="s">
        <v>182</v>
      </c>
      <c r="C101" s="77">
        <v>317</v>
      </c>
      <c r="D101" s="78" t="s">
        <v>198</v>
      </c>
      <c r="E101" s="70">
        <f>'2019-20 StepbyStep Allocations'!BP92-'2019-20 StepbyStep Allocations'!BH92-'2019-20 StepbyStep Allocations'!H92-'2019-20 StepbyStep Allocations'!BF92</f>
        <v>41194233.735133901</v>
      </c>
      <c r="F101" s="71">
        <f>'2019-20 StepbyStep Allocations'!F92</f>
        <v>574</v>
      </c>
      <c r="G101" s="72">
        <f>'2019-20 StepbyStep Allocations'!G92</f>
        <v>4348.3304649124002</v>
      </c>
      <c r="H101" s="73">
        <f>'2019-20 StepbyStep Allocations'!H92</f>
        <v>2495941.6868597176</v>
      </c>
      <c r="I101" s="74">
        <f>'2019-20 StepbyStep Allocations'!BG92</f>
        <v>-246.5</v>
      </c>
      <c r="J101" s="75">
        <f>'2019-20 StepbyStep Allocations'!BH92</f>
        <v>-1479000</v>
      </c>
      <c r="K101" s="75">
        <f>INDEX('2019-20 StepbyStep Allocations'!$BF$9:$BF$159,MATCH($C101,'2019-20 StepbyStep Allocations'!$C$9:$C$159,0))</f>
        <v>0</v>
      </c>
      <c r="L101" s="73">
        <f t="shared" si="1"/>
        <v>42211175.421993621</v>
      </c>
      <c r="M101"/>
      <c r="N101"/>
      <c r="O101"/>
    </row>
    <row r="102" spans="2:15" s="29" customFormat="1" ht="15.4" x14ac:dyDescent="0.45">
      <c r="B102" s="76" t="s">
        <v>182</v>
      </c>
      <c r="C102" s="77">
        <v>318</v>
      </c>
      <c r="D102" s="78" t="s">
        <v>199</v>
      </c>
      <c r="E102" s="70">
        <f>'2019-20 StepbyStep Allocations'!BP93-'2019-20 StepbyStep Allocations'!BH93-'2019-20 StepbyStep Allocations'!H93-'2019-20 StepbyStep Allocations'!BF93</f>
        <v>23136559.346752834</v>
      </c>
      <c r="F102" s="71">
        <f>'2019-20 StepbyStep Allocations'!F93</f>
        <v>370.5</v>
      </c>
      <c r="G102" s="72">
        <f>'2019-20 StepbyStep Allocations'!G93</f>
        <v>4446.4542472141338</v>
      </c>
      <c r="H102" s="73">
        <f>'2019-20 StepbyStep Allocations'!H93</f>
        <v>1647411.2985928366</v>
      </c>
      <c r="I102" s="74">
        <f>'2019-20 StepbyStep Allocations'!BG93</f>
        <v>53</v>
      </c>
      <c r="J102" s="75">
        <f>'2019-20 StepbyStep Allocations'!BH93</f>
        <v>318000</v>
      </c>
      <c r="K102" s="75">
        <f>INDEX('2019-20 StepbyStep Allocations'!$BF$9:$BF$159,MATCH($C102,'2019-20 StepbyStep Allocations'!$C$9:$C$159,0))</f>
        <v>0</v>
      </c>
      <c r="L102" s="73">
        <f t="shared" si="1"/>
        <v>25101970.645345669</v>
      </c>
      <c r="M102"/>
      <c r="N102"/>
      <c r="O102"/>
    </row>
    <row r="103" spans="2:15" s="29" customFormat="1" ht="15.4" x14ac:dyDescent="0.45">
      <c r="B103" s="76" t="s">
        <v>182</v>
      </c>
      <c r="C103" s="77">
        <v>319</v>
      </c>
      <c r="D103" s="78" t="s">
        <v>200</v>
      </c>
      <c r="E103" s="70">
        <f>'2019-20 StepbyStep Allocations'!BP94-'2019-20 StepbyStep Allocations'!BH94-'2019-20 StepbyStep Allocations'!H94-'2019-20 StepbyStep Allocations'!BF94</f>
        <v>35172471.503785767</v>
      </c>
      <c r="F103" s="71">
        <f>'2019-20 StepbyStep Allocations'!F94</f>
        <v>560.5</v>
      </c>
      <c r="G103" s="72">
        <f>'2019-20 StepbyStep Allocations'!G94</f>
        <v>4446.4542472141338</v>
      </c>
      <c r="H103" s="73">
        <f>'2019-20 StepbyStep Allocations'!H94</f>
        <v>2492237.6055635219</v>
      </c>
      <c r="I103" s="74">
        <f>'2019-20 StepbyStep Allocations'!BG94</f>
        <v>3</v>
      </c>
      <c r="J103" s="75">
        <f>'2019-20 StepbyStep Allocations'!BH94</f>
        <v>18000</v>
      </c>
      <c r="K103" s="75">
        <f>INDEX('2019-20 StepbyStep Allocations'!$BF$9:$BF$159,MATCH($C103,'2019-20 StepbyStep Allocations'!$C$9:$C$159,0))</f>
        <v>268660</v>
      </c>
      <c r="L103" s="73">
        <f t="shared" si="1"/>
        <v>37951369.109349288</v>
      </c>
      <c r="M103"/>
      <c r="N103"/>
      <c r="O103"/>
    </row>
    <row r="104" spans="2:15" s="29" customFormat="1" ht="15.4" x14ac:dyDescent="0.45">
      <c r="B104" s="76" t="s">
        <v>182</v>
      </c>
      <c r="C104" s="77">
        <v>320</v>
      </c>
      <c r="D104" s="78" t="s">
        <v>201</v>
      </c>
      <c r="E104" s="70">
        <f>'2019-20 StepbyStep Allocations'!BP95-'2019-20 StepbyStep Allocations'!BH95-'2019-20 StepbyStep Allocations'!H95-'2019-20 StepbyStep Allocations'!BF95</f>
        <v>32435201.894304086</v>
      </c>
      <c r="F104" s="71">
        <f>'2019-20 StepbyStep Allocations'!F95</f>
        <v>750</v>
      </c>
      <c r="G104" s="72">
        <f>'2019-20 StepbyStep Allocations'!G95</f>
        <v>4348.3304649124002</v>
      </c>
      <c r="H104" s="73">
        <f>'2019-20 StepbyStep Allocations'!H95</f>
        <v>3261247.8486843002</v>
      </c>
      <c r="I104" s="74">
        <f>'2019-20 StepbyStep Allocations'!BG95</f>
        <v>67.5</v>
      </c>
      <c r="J104" s="75">
        <f>'2019-20 StepbyStep Allocations'!BH95</f>
        <v>405000</v>
      </c>
      <c r="K104" s="75">
        <f>INDEX('2019-20 StepbyStep Allocations'!$BF$9:$BF$159,MATCH($C104,'2019-20 StepbyStep Allocations'!$C$9:$C$159,0))</f>
        <v>366630</v>
      </c>
      <c r="L104" s="73">
        <f t="shared" si="1"/>
        <v>36468079.742988385</v>
      </c>
      <c r="M104"/>
      <c r="N104"/>
      <c r="O104"/>
    </row>
    <row r="105" spans="2:15" s="29" customFormat="1" ht="15.4" x14ac:dyDescent="0.45">
      <c r="B105" s="76" t="s">
        <v>202</v>
      </c>
      <c r="C105" s="77">
        <v>867</v>
      </c>
      <c r="D105" s="78" t="s">
        <v>203</v>
      </c>
      <c r="E105" s="70">
        <f>'2019-20 StepbyStep Allocations'!BP96-'2019-20 StepbyStep Allocations'!BH96-'2019-20 StepbyStep Allocations'!H96-'2019-20 StepbyStep Allocations'!BF96</f>
        <v>15592629.279396212</v>
      </c>
      <c r="F105" s="71">
        <f>'2019-20 StepbyStep Allocations'!F96</f>
        <v>209</v>
      </c>
      <c r="G105" s="72">
        <f>'2019-20 StepbyStep Allocations'!G96</f>
        <v>4297.7374200459808</v>
      </c>
      <c r="H105" s="73">
        <f>'2019-20 StepbyStep Allocations'!H96</f>
        <v>898227.12078960997</v>
      </c>
      <c r="I105" s="74">
        <f>'2019-20 StepbyStep Allocations'!BG96</f>
        <v>-72</v>
      </c>
      <c r="J105" s="75">
        <f>'2019-20 StepbyStep Allocations'!BH96</f>
        <v>-432000</v>
      </c>
      <c r="K105" s="75">
        <f>INDEX('2019-20 StepbyStep Allocations'!$BF$9:$BF$159,MATCH($C105,'2019-20 StepbyStep Allocations'!$C$9:$C$159,0))</f>
        <v>20200</v>
      </c>
      <c r="L105" s="73">
        <f t="shared" si="1"/>
        <v>16079056.400185822</v>
      </c>
      <c r="M105"/>
      <c r="N105"/>
      <c r="O105"/>
    </row>
    <row r="106" spans="2:15" s="29" customFormat="1" ht="15.4" x14ac:dyDescent="0.45">
      <c r="B106" s="76" t="s">
        <v>202</v>
      </c>
      <c r="C106" s="77">
        <v>846</v>
      </c>
      <c r="D106" s="78" t="s">
        <v>204</v>
      </c>
      <c r="E106" s="70">
        <f>'2019-20 StepbyStep Allocations'!BP97-'2019-20 StepbyStep Allocations'!BH97-'2019-20 StepbyStep Allocations'!H97-'2019-20 StepbyStep Allocations'!BF97</f>
        <v>23295445.885440677</v>
      </c>
      <c r="F106" s="71">
        <f>'2019-20 StepbyStep Allocations'!F97</f>
        <v>478</v>
      </c>
      <c r="G106" s="72">
        <f>'2019-20 StepbyStep Allocations'!G97</f>
        <v>4010.1752554010536</v>
      </c>
      <c r="H106" s="73">
        <f>'2019-20 StepbyStep Allocations'!H97</f>
        <v>1916863.7720817036</v>
      </c>
      <c r="I106" s="74">
        <f>'2019-20 StepbyStep Allocations'!BG97</f>
        <v>-48.5</v>
      </c>
      <c r="J106" s="75">
        <f>'2019-20 StepbyStep Allocations'!BH97</f>
        <v>-291000</v>
      </c>
      <c r="K106" s="75">
        <f>INDEX('2019-20 StepbyStep Allocations'!$BF$9:$BF$159,MATCH($C106,'2019-20 StepbyStep Allocations'!$C$9:$C$159,0))</f>
        <v>0</v>
      </c>
      <c r="L106" s="73">
        <f t="shared" si="1"/>
        <v>24921309.65752238</v>
      </c>
      <c r="M106"/>
      <c r="N106"/>
      <c r="O106"/>
    </row>
    <row r="107" spans="2:15" s="29" customFormat="1" ht="15.4" x14ac:dyDescent="0.45">
      <c r="B107" s="76" t="s">
        <v>202</v>
      </c>
      <c r="C107" s="77">
        <v>825</v>
      </c>
      <c r="D107" s="78" t="s">
        <v>205</v>
      </c>
      <c r="E107" s="70">
        <f>'2019-20 StepbyStep Allocations'!BP98-'2019-20 StepbyStep Allocations'!BH98-'2019-20 StepbyStep Allocations'!H98-'2019-20 StepbyStep Allocations'!BF98</f>
        <v>76038519.516824782</v>
      </c>
      <c r="F107" s="71">
        <f>'2019-20 StepbyStep Allocations'!F98</f>
        <v>1492</v>
      </c>
      <c r="G107" s="72">
        <f>'2019-20 StepbyStep Allocations'!G98</f>
        <v>4192.1498377397002</v>
      </c>
      <c r="H107" s="73">
        <f>'2019-20 StepbyStep Allocations'!H98</f>
        <v>6254687.5579076326</v>
      </c>
      <c r="I107" s="74">
        <f>'2019-20 StepbyStep Allocations'!BG98</f>
        <v>-235</v>
      </c>
      <c r="J107" s="75">
        <f>'2019-20 StepbyStep Allocations'!BH98</f>
        <v>-1410000</v>
      </c>
      <c r="K107" s="75">
        <f>INDEX('2019-20 StepbyStep Allocations'!$BF$9:$BF$159,MATCH($C107,'2019-20 StepbyStep Allocations'!$C$9:$C$159,0))</f>
        <v>239864.9</v>
      </c>
      <c r="L107" s="73">
        <f t="shared" si="1"/>
        <v>81123071.974732414</v>
      </c>
      <c r="M107"/>
      <c r="N107"/>
      <c r="O107"/>
    </row>
    <row r="108" spans="2:15" s="29" customFormat="1" ht="15.4" x14ac:dyDescent="0.45">
      <c r="B108" s="76" t="s">
        <v>202</v>
      </c>
      <c r="C108" s="77">
        <v>845</v>
      </c>
      <c r="D108" s="78" t="s">
        <v>206</v>
      </c>
      <c r="E108" s="70">
        <f>'2019-20 StepbyStep Allocations'!BP99-'2019-20 StepbyStep Allocations'!BH99-'2019-20 StepbyStep Allocations'!H99-'2019-20 StepbyStep Allocations'!BF99</f>
        <v>47482159.32903102</v>
      </c>
      <c r="F108" s="71">
        <f>'2019-20 StepbyStep Allocations'!F99</f>
        <v>1068.5</v>
      </c>
      <c r="G108" s="72">
        <f>'2019-20 StepbyStep Allocations'!G99</f>
        <v>4010.1752554010536</v>
      </c>
      <c r="H108" s="73">
        <f>'2019-20 StepbyStep Allocations'!H99</f>
        <v>4284872.2603960261</v>
      </c>
      <c r="I108" s="74">
        <f>'2019-20 StepbyStep Allocations'!BG99</f>
        <v>-108</v>
      </c>
      <c r="J108" s="75">
        <f>'2019-20 StepbyStep Allocations'!BH99</f>
        <v>-648000</v>
      </c>
      <c r="K108" s="75">
        <f>INDEX('2019-20 StepbyStep Allocations'!$BF$9:$BF$159,MATCH($C108,'2019-20 StepbyStep Allocations'!$C$9:$C$159,0))</f>
        <v>0</v>
      </c>
      <c r="L108" s="73">
        <f t="shared" si="1"/>
        <v>51119031.589427046</v>
      </c>
      <c r="M108"/>
      <c r="N108"/>
      <c r="O108"/>
    </row>
    <row r="109" spans="2:15" s="29" customFormat="1" ht="15.4" x14ac:dyDescent="0.45">
      <c r="B109" s="76" t="s">
        <v>202</v>
      </c>
      <c r="C109" s="77">
        <v>850</v>
      </c>
      <c r="D109" s="78" t="s">
        <v>207</v>
      </c>
      <c r="E109" s="70">
        <f>'2019-20 StepbyStep Allocations'!BP100-'2019-20 StepbyStep Allocations'!BH100-'2019-20 StepbyStep Allocations'!H100-'2019-20 StepbyStep Allocations'!BF100</f>
        <v>98164398.906515509</v>
      </c>
      <c r="F109" s="71">
        <f>'2019-20 StepbyStep Allocations'!F100</f>
        <v>2965.5</v>
      </c>
      <c r="G109" s="72">
        <f>'2019-20 StepbyStep Allocations'!G100</f>
        <v>4085.3041981545957</v>
      </c>
      <c r="H109" s="73">
        <f>'2019-20 StepbyStep Allocations'!H100</f>
        <v>12114969.599627454</v>
      </c>
      <c r="I109" s="74">
        <f>'2019-20 StepbyStep Allocations'!BG100</f>
        <v>-217.5</v>
      </c>
      <c r="J109" s="75">
        <f>'2019-20 StepbyStep Allocations'!BH100</f>
        <v>-1305000</v>
      </c>
      <c r="K109" s="75">
        <f>INDEX('2019-20 StepbyStep Allocations'!$BF$9:$BF$159,MATCH($C109,'2019-20 StepbyStep Allocations'!$C$9:$C$159,0))</f>
        <v>2800730</v>
      </c>
      <c r="L109" s="73">
        <f t="shared" si="1"/>
        <v>111775098.50614296</v>
      </c>
      <c r="M109"/>
      <c r="N109"/>
      <c r="O109"/>
    </row>
    <row r="110" spans="2:15" s="29" customFormat="1" ht="15.4" x14ac:dyDescent="0.45">
      <c r="B110" s="76" t="s">
        <v>202</v>
      </c>
      <c r="C110" s="77">
        <v>921</v>
      </c>
      <c r="D110" s="78" t="s">
        <v>208</v>
      </c>
      <c r="E110" s="70">
        <f>'2019-20 StepbyStep Allocations'!BP101-'2019-20 StepbyStep Allocations'!BH101-'2019-20 StepbyStep Allocations'!H101-'2019-20 StepbyStep Allocations'!BF101</f>
        <v>13926343.243363295</v>
      </c>
      <c r="F110" s="71">
        <f>'2019-20 StepbyStep Allocations'!F101</f>
        <v>258.5</v>
      </c>
      <c r="G110" s="72">
        <f>'2019-20 StepbyStep Allocations'!G101</f>
        <v>4085.3041981545957</v>
      </c>
      <c r="H110" s="73">
        <f>'2019-20 StepbyStep Allocations'!H101</f>
        <v>1056051.1352229631</v>
      </c>
      <c r="I110" s="74">
        <f>'2019-20 StepbyStep Allocations'!BG101</f>
        <v>-30.5</v>
      </c>
      <c r="J110" s="75">
        <f>'2019-20 StepbyStep Allocations'!BH101</f>
        <v>-183000</v>
      </c>
      <c r="K110" s="75">
        <f>INDEX('2019-20 StepbyStep Allocations'!$BF$9:$BF$159,MATCH($C110,'2019-20 StepbyStep Allocations'!$C$9:$C$159,0))</f>
        <v>12120</v>
      </c>
      <c r="L110" s="73">
        <f t="shared" si="1"/>
        <v>14811514.378586259</v>
      </c>
      <c r="M110"/>
      <c r="N110"/>
      <c r="O110"/>
    </row>
    <row r="111" spans="2:15" s="29" customFormat="1" ht="15.4" x14ac:dyDescent="0.45">
      <c r="B111" s="76" t="s">
        <v>202</v>
      </c>
      <c r="C111" s="77">
        <v>886</v>
      </c>
      <c r="D111" s="78" t="s">
        <v>209</v>
      </c>
      <c r="E111" s="70">
        <f>'2019-20 StepbyStep Allocations'!BP102-'2019-20 StepbyStep Allocations'!BH102-'2019-20 StepbyStep Allocations'!H102-'2019-20 StepbyStep Allocations'!BF102</f>
        <v>180307923.67456317</v>
      </c>
      <c r="F111" s="71">
        <f>'2019-20 StepbyStep Allocations'!F102</f>
        <v>4475</v>
      </c>
      <c r="G111" s="72">
        <f>'2019-20 StepbyStep Allocations'!G102</f>
        <v>4030.8057178353893</v>
      </c>
      <c r="H111" s="73">
        <f>'2019-20 StepbyStep Allocations'!H102</f>
        <v>18037855.587313365</v>
      </c>
      <c r="I111" s="74">
        <f>'2019-20 StepbyStep Allocations'!BG102</f>
        <v>-269.5</v>
      </c>
      <c r="J111" s="75">
        <f>'2019-20 StepbyStep Allocations'!BH102</f>
        <v>-1617000</v>
      </c>
      <c r="K111" s="75">
        <f>INDEX('2019-20 StepbyStep Allocations'!$BF$9:$BF$159,MATCH($C111,'2019-20 StepbyStep Allocations'!$C$9:$C$159,0))</f>
        <v>3002481.54</v>
      </c>
      <c r="L111" s="73">
        <f t="shared" si="1"/>
        <v>199731260.80187652</v>
      </c>
      <c r="M111"/>
      <c r="N111"/>
      <c r="O111"/>
    </row>
    <row r="112" spans="2:15" s="29" customFormat="1" ht="15.4" x14ac:dyDescent="0.45">
      <c r="B112" s="76" t="s">
        <v>202</v>
      </c>
      <c r="C112" s="77">
        <v>887</v>
      </c>
      <c r="D112" s="78" t="s">
        <v>210</v>
      </c>
      <c r="E112" s="70">
        <f>'2019-20 StepbyStep Allocations'!BP103-'2019-20 StepbyStep Allocations'!BH103-'2019-20 StepbyStep Allocations'!H103-'2019-20 StepbyStep Allocations'!BF103</f>
        <v>33323151.928538647</v>
      </c>
      <c r="F112" s="71">
        <f>'2019-20 StepbyStep Allocations'!F103</f>
        <v>842.5</v>
      </c>
      <c r="G112" s="72">
        <f>'2019-20 StepbyStep Allocations'!G103</f>
        <v>4004.2463035487053</v>
      </c>
      <c r="H112" s="73">
        <f>'2019-20 StepbyStep Allocations'!H103</f>
        <v>3373577.5107397842</v>
      </c>
      <c r="I112" s="74">
        <f>'2019-20 StepbyStep Allocations'!BG103</f>
        <v>40</v>
      </c>
      <c r="J112" s="75">
        <f>'2019-20 StepbyStep Allocations'!BH103</f>
        <v>240000</v>
      </c>
      <c r="K112" s="75">
        <f>INDEX('2019-20 StepbyStep Allocations'!$BF$9:$BF$159,MATCH($C112,'2019-20 StepbyStep Allocations'!$C$9:$C$159,0))</f>
        <v>0</v>
      </c>
      <c r="L112" s="73">
        <f t="shared" si="1"/>
        <v>36936729.439278431</v>
      </c>
      <c r="M112"/>
      <c r="N112"/>
      <c r="O112"/>
    </row>
    <row r="113" spans="2:15" s="29" customFormat="1" ht="15.4" x14ac:dyDescent="0.45">
      <c r="B113" s="76" t="s">
        <v>202</v>
      </c>
      <c r="C113" s="77">
        <v>826</v>
      </c>
      <c r="D113" s="78" t="s">
        <v>211</v>
      </c>
      <c r="E113" s="70">
        <f>'2019-20 StepbyStep Allocations'!BP104-'2019-20 StepbyStep Allocations'!BH104-'2019-20 StepbyStep Allocations'!H104-'2019-20 StepbyStep Allocations'!BF104</f>
        <v>36474389.157461107</v>
      </c>
      <c r="F113" s="71">
        <f>'2019-20 StepbyStep Allocations'!F104</f>
        <v>845</v>
      </c>
      <c r="G113" s="72">
        <f>'2019-20 StepbyStep Allocations'!G104</f>
        <v>4172.4825785401272</v>
      </c>
      <c r="H113" s="73">
        <f>'2019-20 StepbyStep Allocations'!H104</f>
        <v>3525747.7788664075</v>
      </c>
      <c r="I113" s="74">
        <f>'2019-20 StepbyStep Allocations'!BG104</f>
        <v>-6</v>
      </c>
      <c r="J113" s="75">
        <f>'2019-20 StepbyStep Allocations'!BH104</f>
        <v>-36000</v>
      </c>
      <c r="K113" s="75">
        <f>INDEX('2019-20 StepbyStep Allocations'!$BF$9:$BF$159,MATCH($C113,'2019-20 StepbyStep Allocations'!$C$9:$C$159,0))</f>
        <v>0</v>
      </c>
      <c r="L113" s="73">
        <f t="shared" si="1"/>
        <v>39964136.936327517</v>
      </c>
      <c r="M113"/>
      <c r="N113"/>
      <c r="O113"/>
    </row>
    <row r="114" spans="2:15" s="29" customFormat="1" ht="15.4" x14ac:dyDescent="0.45">
      <c r="B114" s="76" t="s">
        <v>202</v>
      </c>
      <c r="C114" s="77">
        <v>931</v>
      </c>
      <c r="D114" s="78" t="s">
        <v>212</v>
      </c>
      <c r="E114" s="70">
        <f>'2019-20 StepbyStep Allocations'!BP105-'2019-20 StepbyStep Allocations'!BH105-'2019-20 StepbyStep Allocations'!H105-'2019-20 StepbyStep Allocations'!BF105</f>
        <v>53526023.578108445</v>
      </c>
      <c r="F114" s="71">
        <f>'2019-20 StepbyStep Allocations'!F105</f>
        <v>1178</v>
      </c>
      <c r="G114" s="72">
        <f>'2019-20 StepbyStep Allocations'!G105</f>
        <v>4133.4756673283837</v>
      </c>
      <c r="H114" s="73">
        <f>'2019-20 StepbyStep Allocations'!H105</f>
        <v>4869234.3361128364</v>
      </c>
      <c r="I114" s="74">
        <f>'2019-20 StepbyStep Allocations'!BG105</f>
        <v>191</v>
      </c>
      <c r="J114" s="75">
        <f>'2019-20 StepbyStep Allocations'!BH105</f>
        <v>1146000</v>
      </c>
      <c r="K114" s="75">
        <f>INDEX('2019-20 StepbyStep Allocations'!$BF$9:$BF$159,MATCH($C114,'2019-20 StepbyStep Allocations'!$C$9:$C$159,0))</f>
        <v>1623070</v>
      </c>
      <c r="L114" s="73">
        <f t="shared" si="1"/>
        <v>61164327.914221279</v>
      </c>
      <c r="M114"/>
      <c r="N114"/>
      <c r="O114"/>
    </row>
    <row r="115" spans="2:15" s="29" customFormat="1" ht="15.4" x14ac:dyDescent="0.45">
      <c r="B115" s="76" t="s">
        <v>202</v>
      </c>
      <c r="C115" s="77">
        <v>851</v>
      </c>
      <c r="D115" s="78" t="s">
        <v>213</v>
      </c>
      <c r="E115" s="70">
        <f>'2019-20 StepbyStep Allocations'!BP106-'2019-20 StepbyStep Allocations'!BH106-'2019-20 StepbyStep Allocations'!H106-'2019-20 StepbyStep Allocations'!BF106</f>
        <v>17640844.490434915</v>
      </c>
      <c r="F115" s="71">
        <f>'2019-20 StepbyStep Allocations'!F106</f>
        <v>536.5</v>
      </c>
      <c r="G115" s="72">
        <f>'2019-20 StepbyStep Allocations'!G106</f>
        <v>4085.3041981545957</v>
      </c>
      <c r="H115" s="73">
        <f>'2019-20 StepbyStep Allocations'!H106</f>
        <v>2191765.7023099405</v>
      </c>
      <c r="I115" s="74">
        <f>'2019-20 StepbyStep Allocations'!BG106</f>
        <v>-5.5</v>
      </c>
      <c r="J115" s="75">
        <f>'2019-20 StepbyStep Allocations'!BH106</f>
        <v>-33000</v>
      </c>
      <c r="K115" s="75">
        <f>INDEX('2019-20 StepbyStep Allocations'!$BF$9:$BF$159,MATCH($C115,'2019-20 StepbyStep Allocations'!$C$9:$C$159,0))</f>
        <v>666600</v>
      </c>
      <c r="L115" s="73">
        <f t="shared" si="1"/>
        <v>20466210.192744855</v>
      </c>
      <c r="M115"/>
      <c r="N115"/>
      <c r="O115"/>
    </row>
    <row r="116" spans="2:15" s="29" customFormat="1" ht="15.4" x14ac:dyDescent="0.45">
      <c r="B116" s="76" t="s">
        <v>202</v>
      </c>
      <c r="C116" s="77">
        <v>870</v>
      </c>
      <c r="D116" s="78" t="s">
        <v>214</v>
      </c>
      <c r="E116" s="70">
        <f>'2019-20 StepbyStep Allocations'!BP107-'2019-20 StepbyStep Allocations'!BH107-'2019-20 StepbyStep Allocations'!H107-'2019-20 StepbyStep Allocations'!BF107</f>
        <v>20321342.259425644</v>
      </c>
      <c r="F116" s="71">
        <f>'2019-20 StepbyStep Allocations'!F107</f>
        <v>256</v>
      </c>
      <c r="G116" s="72">
        <f>'2019-20 StepbyStep Allocations'!G107</f>
        <v>4208.9424214735864</v>
      </c>
      <c r="H116" s="73">
        <f>'2019-20 StepbyStep Allocations'!H107</f>
        <v>1077489.2598972381</v>
      </c>
      <c r="I116" s="74">
        <f>'2019-20 StepbyStep Allocations'!BG107</f>
        <v>-351</v>
      </c>
      <c r="J116" s="75">
        <f>'2019-20 StepbyStep Allocations'!BH107</f>
        <v>-2106000</v>
      </c>
      <c r="K116" s="75">
        <f>INDEX('2019-20 StepbyStep Allocations'!$BF$9:$BF$159,MATCH($C116,'2019-20 StepbyStep Allocations'!$C$9:$C$159,0))</f>
        <v>182810</v>
      </c>
      <c r="L116" s="73">
        <f t="shared" si="1"/>
        <v>19475641.519322883</v>
      </c>
      <c r="M116"/>
      <c r="N116"/>
      <c r="O116"/>
    </row>
    <row r="117" spans="2:15" s="29" customFormat="1" ht="15.4" x14ac:dyDescent="0.45">
      <c r="B117" s="76" t="s">
        <v>202</v>
      </c>
      <c r="C117" s="77">
        <v>871</v>
      </c>
      <c r="D117" s="78" t="s">
        <v>215</v>
      </c>
      <c r="E117" s="70">
        <f>'2019-20 StepbyStep Allocations'!BP108-'2019-20 StepbyStep Allocations'!BH108-'2019-20 StepbyStep Allocations'!H108-'2019-20 StepbyStep Allocations'!BF108</f>
        <v>21808871.639774822</v>
      </c>
      <c r="F117" s="71">
        <f>'2019-20 StepbyStep Allocations'!F108</f>
        <v>322</v>
      </c>
      <c r="G117" s="72">
        <f>'2019-20 StepbyStep Allocations'!G108</f>
        <v>4297.7374200459808</v>
      </c>
      <c r="H117" s="73">
        <f>'2019-20 StepbyStep Allocations'!H108</f>
        <v>1383871.4492548059</v>
      </c>
      <c r="I117" s="74">
        <f>'2019-20 StepbyStep Allocations'!BG108</f>
        <v>-38</v>
      </c>
      <c r="J117" s="75">
        <f>'2019-20 StepbyStep Allocations'!BH108</f>
        <v>-228000</v>
      </c>
      <c r="K117" s="75">
        <f>INDEX('2019-20 StepbyStep Allocations'!$BF$9:$BF$159,MATCH($C117,'2019-20 StepbyStep Allocations'!$C$9:$C$159,0))</f>
        <v>121200</v>
      </c>
      <c r="L117" s="73">
        <f t="shared" si="1"/>
        <v>23085943.089029629</v>
      </c>
      <c r="M117"/>
      <c r="N117"/>
      <c r="O117"/>
    </row>
    <row r="118" spans="2:15" s="29" customFormat="1" ht="15.4" x14ac:dyDescent="0.45">
      <c r="B118" s="76" t="s">
        <v>202</v>
      </c>
      <c r="C118" s="77">
        <v>852</v>
      </c>
      <c r="D118" s="78" t="s">
        <v>216</v>
      </c>
      <c r="E118" s="70">
        <f>'2019-20 StepbyStep Allocations'!BP109-'2019-20 StepbyStep Allocations'!BH109-'2019-20 StepbyStep Allocations'!H109-'2019-20 StepbyStep Allocations'!BF109</f>
        <v>22091197.365648501</v>
      </c>
      <c r="F118" s="71">
        <f>'2019-20 StepbyStep Allocations'!F109</f>
        <v>570</v>
      </c>
      <c r="G118" s="72">
        <f>'2019-20 StepbyStep Allocations'!G109</f>
        <v>4085.3041981545957</v>
      </c>
      <c r="H118" s="73">
        <f>'2019-20 StepbyStep Allocations'!H109</f>
        <v>2328623.3929481194</v>
      </c>
      <c r="I118" s="74">
        <f>'2019-20 StepbyStep Allocations'!BG109</f>
        <v>-31</v>
      </c>
      <c r="J118" s="75">
        <f>'2019-20 StepbyStep Allocations'!BH109</f>
        <v>-186000</v>
      </c>
      <c r="K118" s="75">
        <f>INDEX('2019-20 StepbyStep Allocations'!$BF$9:$BF$159,MATCH($C118,'2019-20 StepbyStep Allocations'!$C$9:$C$159,0))</f>
        <v>0</v>
      </c>
      <c r="L118" s="73">
        <f t="shared" si="1"/>
        <v>24233820.758596621</v>
      </c>
      <c r="M118"/>
      <c r="N118"/>
      <c r="O118"/>
    </row>
    <row r="119" spans="2:15" s="29" customFormat="1" ht="15.4" x14ac:dyDescent="0.45">
      <c r="B119" s="76" t="s">
        <v>202</v>
      </c>
      <c r="C119" s="77">
        <v>936</v>
      </c>
      <c r="D119" s="78" t="s">
        <v>217</v>
      </c>
      <c r="E119" s="70">
        <f>'2019-20 StepbyStep Allocations'!BP110-'2019-20 StepbyStep Allocations'!BH110-'2019-20 StepbyStep Allocations'!H110-'2019-20 StepbyStep Allocations'!BF110</f>
        <v>132407855.92680515</v>
      </c>
      <c r="F119" s="71">
        <f>'2019-20 StepbyStep Allocations'!F110</f>
        <v>2697.5</v>
      </c>
      <c r="G119" s="72">
        <f>'2019-20 StepbyStep Allocations'!G110</f>
        <v>4297.7374200459808</v>
      </c>
      <c r="H119" s="73">
        <f>'2019-20 StepbyStep Allocations'!H110</f>
        <v>11593146.690574033</v>
      </c>
      <c r="I119" s="74">
        <f>'2019-20 StepbyStep Allocations'!BG110</f>
        <v>-102.5</v>
      </c>
      <c r="J119" s="75">
        <f>'2019-20 StepbyStep Allocations'!BH110</f>
        <v>-615000</v>
      </c>
      <c r="K119" s="75">
        <f>INDEX('2019-20 StepbyStep Allocations'!$BF$9:$BF$159,MATCH($C119,'2019-20 StepbyStep Allocations'!$C$9:$C$159,0))</f>
        <v>640340</v>
      </c>
      <c r="L119" s="73">
        <f t="shared" si="1"/>
        <v>144026342.61737919</v>
      </c>
      <c r="M119"/>
      <c r="N119"/>
      <c r="O119"/>
    </row>
    <row r="120" spans="2:15" s="29" customFormat="1" ht="15.4" x14ac:dyDescent="0.45">
      <c r="B120" s="76" t="s">
        <v>202</v>
      </c>
      <c r="C120" s="77">
        <v>869</v>
      </c>
      <c r="D120" s="78" t="s">
        <v>218</v>
      </c>
      <c r="E120" s="70">
        <f>'2019-20 StepbyStep Allocations'!BP111-'2019-20 StepbyStep Allocations'!BH111-'2019-20 StepbyStep Allocations'!H111-'2019-20 StepbyStep Allocations'!BF111</f>
        <v>17057596.11889739</v>
      </c>
      <c r="F120" s="71">
        <f>'2019-20 StepbyStep Allocations'!F111</f>
        <v>429</v>
      </c>
      <c r="G120" s="72">
        <f>'2019-20 StepbyStep Allocations'!G111</f>
        <v>4208.9424214735864</v>
      </c>
      <c r="H120" s="73">
        <f>'2019-20 StepbyStep Allocations'!H111</f>
        <v>1805636.2988121687</v>
      </c>
      <c r="I120" s="74">
        <f>'2019-20 StepbyStep Allocations'!BG111</f>
        <v>128</v>
      </c>
      <c r="J120" s="75">
        <f>'2019-20 StepbyStep Allocations'!BH111</f>
        <v>768000</v>
      </c>
      <c r="K120" s="75">
        <f>INDEX('2019-20 StepbyStep Allocations'!$BF$9:$BF$159,MATCH($C120,'2019-20 StepbyStep Allocations'!$C$9:$C$159,0))</f>
        <v>45450</v>
      </c>
      <c r="L120" s="73">
        <f t="shared" si="1"/>
        <v>19676682.417709559</v>
      </c>
      <c r="M120"/>
      <c r="N120"/>
      <c r="O120"/>
    </row>
    <row r="121" spans="2:15" s="29" customFormat="1" ht="15.4" x14ac:dyDescent="0.45">
      <c r="B121" s="76" t="s">
        <v>202</v>
      </c>
      <c r="C121" s="77">
        <v>938</v>
      </c>
      <c r="D121" s="78" t="s">
        <v>219</v>
      </c>
      <c r="E121" s="70">
        <f>'2019-20 StepbyStep Allocations'!BP112-'2019-20 StepbyStep Allocations'!BH112-'2019-20 StepbyStep Allocations'!H112-'2019-20 StepbyStep Allocations'!BF112</f>
        <v>71291348.372738227</v>
      </c>
      <c r="F121" s="71">
        <f>'2019-20 StepbyStep Allocations'!F112</f>
        <v>1901</v>
      </c>
      <c r="G121" s="72">
        <f>'2019-20 StepbyStep Allocations'!G112</f>
        <v>4044.6559152930358</v>
      </c>
      <c r="H121" s="73">
        <f>'2019-20 StepbyStep Allocations'!H112</f>
        <v>7688890.8949720608</v>
      </c>
      <c r="I121" s="74">
        <f>'2019-20 StepbyStep Allocations'!BG112</f>
        <v>-177</v>
      </c>
      <c r="J121" s="75">
        <f>'2019-20 StepbyStep Allocations'!BH112</f>
        <v>-1062000</v>
      </c>
      <c r="K121" s="75">
        <f>INDEX('2019-20 StepbyStep Allocations'!$BF$9:$BF$159,MATCH($C121,'2019-20 StepbyStep Allocations'!$C$9:$C$159,0))</f>
        <v>534391</v>
      </c>
      <c r="L121" s="73">
        <f t="shared" si="1"/>
        <v>78452630.267710283</v>
      </c>
      <c r="M121"/>
      <c r="N121"/>
      <c r="O121"/>
    </row>
    <row r="122" spans="2:15" s="29" customFormat="1" ht="15.4" x14ac:dyDescent="0.45">
      <c r="B122" s="76" t="s">
        <v>202</v>
      </c>
      <c r="C122" s="77">
        <v>868</v>
      </c>
      <c r="D122" s="78" t="s">
        <v>220</v>
      </c>
      <c r="E122" s="70">
        <f>'2019-20 StepbyStep Allocations'!BP113-'2019-20 StepbyStep Allocations'!BH113-'2019-20 StepbyStep Allocations'!H113-'2019-20 StepbyStep Allocations'!BF113</f>
        <v>16912675.035103612</v>
      </c>
      <c r="F122" s="71">
        <f>'2019-20 StepbyStep Allocations'!F113</f>
        <v>320</v>
      </c>
      <c r="G122" s="72">
        <f>'2019-20 StepbyStep Allocations'!G113</f>
        <v>4297.7374200459808</v>
      </c>
      <c r="H122" s="73">
        <f>'2019-20 StepbyStep Allocations'!H113</f>
        <v>1375275.9744147139</v>
      </c>
      <c r="I122" s="74">
        <f>'2019-20 StepbyStep Allocations'!BG113</f>
        <v>146</v>
      </c>
      <c r="J122" s="75">
        <f>'2019-20 StepbyStep Allocations'!BH113</f>
        <v>876000</v>
      </c>
      <c r="K122" s="75">
        <f>INDEX('2019-20 StepbyStep Allocations'!$BF$9:$BF$159,MATCH($C122,'2019-20 StepbyStep Allocations'!$C$9:$C$159,0))</f>
        <v>33027</v>
      </c>
      <c r="L122" s="73">
        <f t="shared" si="1"/>
        <v>19196978.009518325</v>
      </c>
      <c r="M122"/>
      <c r="N122"/>
      <c r="O122"/>
    </row>
    <row r="123" spans="2:15" s="29" customFormat="1" ht="15.4" x14ac:dyDescent="0.45">
      <c r="B123" s="76" t="s">
        <v>202</v>
      </c>
      <c r="C123" s="77">
        <v>872</v>
      </c>
      <c r="D123" s="78" t="s">
        <v>221</v>
      </c>
      <c r="E123" s="70">
        <f>'2019-20 StepbyStep Allocations'!BP114-'2019-20 StepbyStep Allocations'!BH114-'2019-20 StepbyStep Allocations'!H114-'2019-20 StepbyStep Allocations'!BF114</f>
        <v>17453633.987003352</v>
      </c>
      <c r="F123" s="71">
        <f>'2019-20 StepbyStep Allocations'!F114</f>
        <v>310</v>
      </c>
      <c r="G123" s="72">
        <f>'2019-20 StepbyStep Allocations'!G114</f>
        <v>4208.9424214735864</v>
      </c>
      <c r="H123" s="73">
        <f>'2019-20 StepbyStep Allocations'!H114</f>
        <v>1304772.1506568117</v>
      </c>
      <c r="I123" s="74">
        <f>'2019-20 StepbyStep Allocations'!BG114</f>
        <v>-99</v>
      </c>
      <c r="J123" s="75">
        <f>'2019-20 StepbyStep Allocations'!BH114</f>
        <v>-594000</v>
      </c>
      <c r="K123" s="75">
        <f>INDEX('2019-20 StepbyStep Allocations'!$BF$9:$BF$159,MATCH($C123,'2019-20 StepbyStep Allocations'!$C$9:$C$159,0))</f>
        <v>222200</v>
      </c>
      <c r="L123" s="73">
        <f t="shared" si="1"/>
        <v>18386606.137660164</v>
      </c>
      <c r="M123"/>
      <c r="N123"/>
      <c r="O123"/>
    </row>
    <row r="124" spans="2:15" s="29" customFormat="1" ht="15.4" x14ac:dyDescent="0.45">
      <c r="B124" s="76" t="s">
        <v>222</v>
      </c>
      <c r="C124" s="77">
        <v>800</v>
      </c>
      <c r="D124" s="78" t="s">
        <v>223</v>
      </c>
      <c r="E124" s="70">
        <f>'2019-20 StepbyStep Allocations'!BP115-'2019-20 StepbyStep Allocations'!BH115-'2019-20 StepbyStep Allocations'!H115-'2019-20 StepbyStep Allocations'!BF115</f>
        <v>20798800.764436036</v>
      </c>
      <c r="F124" s="71">
        <f>'2019-20 StepbyStep Allocations'!F115</f>
        <v>501</v>
      </c>
      <c r="G124" s="72">
        <f>'2019-20 StepbyStep Allocations'!G115</f>
        <v>4087.9017076242762</v>
      </c>
      <c r="H124" s="73">
        <f>'2019-20 StepbyStep Allocations'!H115</f>
        <v>2048038.7555197624</v>
      </c>
      <c r="I124" s="74">
        <f>'2019-20 StepbyStep Allocations'!BG115</f>
        <v>82</v>
      </c>
      <c r="J124" s="75">
        <f>'2019-20 StepbyStep Allocations'!BH115</f>
        <v>492000</v>
      </c>
      <c r="K124" s="75">
        <f>INDEX('2019-20 StepbyStep Allocations'!$BF$9:$BF$159,MATCH($C124,'2019-20 StepbyStep Allocations'!$C$9:$C$159,0))</f>
        <v>311080</v>
      </c>
      <c r="L124" s="73">
        <f t="shared" si="1"/>
        <v>23649919.519955799</v>
      </c>
      <c r="M124"/>
      <c r="N124"/>
      <c r="O124"/>
    </row>
    <row r="125" spans="2:15" s="29" customFormat="1" ht="15.4" x14ac:dyDescent="0.45">
      <c r="B125" s="76" t="s">
        <v>222</v>
      </c>
      <c r="C125" s="77">
        <v>837</v>
      </c>
      <c r="D125" s="78" t="s">
        <v>224</v>
      </c>
      <c r="E125" s="70">
        <f>'2019-20 StepbyStep Allocations'!BP116-'2019-20 StepbyStep Allocations'!BH116-'2019-20 StepbyStep Allocations'!H116-'2019-20 StepbyStep Allocations'!BF116</f>
        <v>17122155.308466002</v>
      </c>
      <c r="F125" s="71">
        <f>'2019-20 StepbyStep Allocations'!F116</f>
        <v>454</v>
      </c>
      <c r="G125" s="72">
        <f>'2019-20 StepbyStep Allocations'!G116</f>
        <v>4000</v>
      </c>
      <c r="H125" s="73">
        <f>'2019-20 StepbyStep Allocations'!H116</f>
        <v>1816000</v>
      </c>
      <c r="I125" s="74">
        <f>'2019-20 StepbyStep Allocations'!BG116</f>
        <v>-49</v>
      </c>
      <c r="J125" s="75">
        <f>'2019-20 StepbyStep Allocations'!BH116</f>
        <v>-294000</v>
      </c>
      <c r="K125" s="75">
        <f>INDEX('2019-20 StepbyStep Allocations'!$BF$9:$BF$159,MATCH($C125,'2019-20 StepbyStep Allocations'!$C$9:$C$159,0))</f>
        <v>0</v>
      </c>
      <c r="L125" s="73">
        <f t="shared" si="1"/>
        <v>18644155.308466002</v>
      </c>
      <c r="M125"/>
      <c r="N125"/>
      <c r="O125"/>
    </row>
    <row r="126" spans="2:15" s="29" customFormat="1" ht="15.4" x14ac:dyDescent="0.45">
      <c r="B126" s="76" t="s">
        <v>222</v>
      </c>
      <c r="C126" s="77">
        <v>801</v>
      </c>
      <c r="D126" s="78" t="s">
        <v>225</v>
      </c>
      <c r="E126" s="70">
        <f>'2019-20 StepbyStep Allocations'!BP117-'2019-20 StepbyStep Allocations'!BH117-'2019-20 StepbyStep Allocations'!H117-'2019-20 StepbyStep Allocations'!BF117</f>
        <v>45806597.304009639</v>
      </c>
      <c r="F126" s="71">
        <f>'2019-20 StepbyStep Allocations'!F117</f>
        <v>868.5</v>
      </c>
      <c r="G126" s="72">
        <f>'2019-20 StepbyStep Allocations'!G117</f>
        <v>4087.9017076242762</v>
      </c>
      <c r="H126" s="73">
        <f>'2019-20 StepbyStep Allocations'!H117</f>
        <v>3550342.6330716838</v>
      </c>
      <c r="I126" s="74">
        <f>'2019-20 StepbyStep Allocations'!BG117</f>
        <v>18.5</v>
      </c>
      <c r="J126" s="75">
        <f>'2019-20 StepbyStep Allocations'!BH117</f>
        <v>111000</v>
      </c>
      <c r="K126" s="75">
        <f>INDEX('2019-20 StepbyStep Allocations'!$BF$9:$BF$159,MATCH($C126,'2019-20 StepbyStep Allocations'!$C$9:$C$159,0))</f>
        <v>2025767.1</v>
      </c>
      <c r="L126" s="73">
        <f t="shared" si="1"/>
        <v>51493707.037081324</v>
      </c>
      <c r="M126"/>
      <c r="N126"/>
      <c r="O126"/>
    </row>
    <row r="127" spans="2:15" s="29" customFormat="1" ht="15.4" x14ac:dyDescent="0.45">
      <c r="B127" s="76" t="s">
        <v>222</v>
      </c>
      <c r="C127" s="77">
        <v>908</v>
      </c>
      <c r="D127" s="78" t="s">
        <v>226</v>
      </c>
      <c r="E127" s="70">
        <f>'2019-20 StepbyStep Allocations'!BP118-'2019-20 StepbyStep Allocations'!BH118-'2019-20 StepbyStep Allocations'!H118-'2019-20 StepbyStep Allocations'!BF118</f>
        <v>39110612.46938692</v>
      </c>
      <c r="F127" s="71">
        <f>'2019-20 StepbyStep Allocations'!F118</f>
        <v>479</v>
      </c>
      <c r="G127" s="72">
        <f>'2019-20 StepbyStep Allocations'!G118</f>
        <v>4000</v>
      </c>
      <c r="H127" s="73">
        <f>'2019-20 StepbyStep Allocations'!H118</f>
        <v>1916000</v>
      </c>
      <c r="I127" s="74">
        <f>'2019-20 StepbyStep Allocations'!BG118</f>
        <v>7</v>
      </c>
      <c r="J127" s="75">
        <f>'2019-20 StepbyStep Allocations'!BH118</f>
        <v>42000</v>
      </c>
      <c r="K127" s="75">
        <f>INDEX('2019-20 StepbyStep Allocations'!$BF$9:$BF$159,MATCH($C127,'2019-20 StepbyStep Allocations'!$C$9:$C$159,0))</f>
        <v>902940</v>
      </c>
      <c r="L127" s="73">
        <f t="shared" si="1"/>
        <v>41971552.46938692</v>
      </c>
      <c r="M127"/>
      <c r="N127"/>
      <c r="O127"/>
    </row>
    <row r="128" spans="2:15" s="29" customFormat="1" ht="15.4" x14ac:dyDescent="0.45">
      <c r="B128" s="76" t="s">
        <v>222</v>
      </c>
      <c r="C128" s="77">
        <v>878</v>
      </c>
      <c r="D128" s="78" t="s">
        <v>227</v>
      </c>
      <c r="E128" s="70">
        <f>'2019-20 StepbyStep Allocations'!BP119-'2019-20 StepbyStep Allocations'!BH119-'2019-20 StepbyStep Allocations'!H119-'2019-20 StepbyStep Allocations'!BF119</f>
        <v>62851109.520109028</v>
      </c>
      <c r="F128" s="71">
        <f>'2019-20 StepbyStep Allocations'!F119</f>
        <v>1251</v>
      </c>
      <c r="G128" s="72">
        <f>'2019-20 StepbyStep Allocations'!G119</f>
        <v>4000</v>
      </c>
      <c r="H128" s="73">
        <f>'2019-20 StepbyStep Allocations'!H119</f>
        <v>5004000</v>
      </c>
      <c r="I128" s="74">
        <f>'2019-20 StepbyStep Allocations'!BG119</f>
        <v>-359.5</v>
      </c>
      <c r="J128" s="75">
        <f>'2019-20 StepbyStep Allocations'!BH119</f>
        <v>-2157000</v>
      </c>
      <c r="K128" s="75">
        <f>INDEX('2019-20 StepbyStep Allocations'!$BF$9:$BF$159,MATCH($C128,'2019-20 StepbyStep Allocations'!$C$9:$C$159,0))</f>
        <v>1931120.0000000002</v>
      </c>
      <c r="L128" s="73">
        <f t="shared" si="1"/>
        <v>67629229.520109028</v>
      </c>
      <c r="M128"/>
      <c r="N128"/>
      <c r="O128"/>
    </row>
    <row r="129" spans="2:15" s="29" customFormat="1" ht="15.4" x14ac:dyDescent="0.45">
      <c r="B129" s="76" t="s">
        <v>222</v>
      </c>
      <c r="C129" s="77">
        <v>835</v>
      </c>
      <c r="D129" s="78" t="s">
        <v>228</v>
      </c>
      <c r="E129" s="70">
        <f>'2019-20 StepbyStep Allocations'!BP120-'2019-20 StepbyStep Allocations'!BH120-'2019-20 StepbyStep Allocations'!H120-'2019-20 StepbyStep Allocations'!BF120</f>
        <v>36524040.978020735</v>
      </c>
      <c r="F129" s="71">
        <f>'2019-20 StepbyStep Allocations'!F120</f>
        <v>743.5</v>
      </c>
      <c r="G129" s="72">
        <f>'2019-20 StepbyStep Allocations'!G120</f>
        <v>4000</v>
      </c>
      <c r="H129" s="73">
        <f>'2019-20 StepbyStep Allocations'!H120</f>
        <v>2974000</v>
      </c>
      <c r="I129" s="74">
        <f>'2019-20 StepbyStep Allocations'!BG120</f>
        <v>-96</v>
      </c>
      <c r="J129" s="75">
        <f>'2019-20 StepbyStep Allocations'!BH120</f>
        <v>-576000</v>
      </c>
      <c r="K129" s="75">
        <f>INDEX('2019-20 StepbyStep Allocations'!$BF$9:$BF$159,MATCH($C129,'2019-20 StepbyStep Allocations'!$C$9:$C$159,0))</f>
        <v>0</v>
      </c>
      <c r="L129" s="73">
        <f t="shared" si="1"/>
        <v>38922040.978020735</v>
      </c>
      <c r="M129"/>
      <c r="N129"/>
      <c r="O129"/>
    </row>
    <row r="130" spans="2:15" s="29" customFormat="1" ht="15.4" x14ac:dyDescent="0.45">
      <c r="B130" s="76" t="s">
        <v>222</v>
      </c>
      <c r="C130" s="77">
        <v>916</v>
      </c>
      <c r="D130" s="78" t="s">
        <v>229</v>
      </c>
      <c r="E130" s="70">
        <f>'2019-20 StepbyStep Allocations'!BP121-'2019-20 StepbyStep Allocations'!BH121-'2019-20 StepbyStep Allocations'!H121-'2019-20 StepbyStep Allocations'!BF121</f>
        <v>52594684.084306665</v>
      </c>
      <c r="F130" s="71">
        <f>'2019-20 StepbyStep Allocations'!F121</f>
        <v>1196</v>
      </c>
      <c r="G130" s="72">
        <f>'2019-20 StepbyStep Allocations'!G121</f>
        <v>4037.8784325568508</v>
      </c>
      <c r="H130" s="73">
        <f>'2019-20 StepbyStep Allocations'!H121</f>
        <v>4829302.6053379932</v>
      </c>
      <c r="I130" s="74">
        <f>'2019-20 StepbyStep Allocations'!BG121</f>
        <v>-123</v>
      </c>
      <c r="J130" s="75">
        <f>'2019-20 StepbyStep Allocations'!BH121</f>
        <v>-738000</v>
      </c>
      <c r="K130" s="75">
        <f>INDEX('2019-20 StepbyStep Allocations'!$BF$9:$BF$159,MATCH($C130,'2019-20 StepbyStep Allocations'!$C$9:$C$159,0))</f>
        <v>1692945.2224891379</v>
      </c>
      <c r="L130" s="73">
        <f t="shared" si="1"/>
        <v>58378931.912133798</v>
      </c>
      <c r="M130"/>
      <c r="N130"/>
      <c r="O130"/>
    </row>
    <row r="131" spans="2:15" s="29" customFormat="1" ht="15.4" x14ac:dyDescent="0.45">
      <c r="B131" s="76" t="s">
        <v>222</v>
      </c>
      <c r="C131" s="77">
        <v>802</v>
      </c>
      <c r="D131" s="78" t="s">
        <v>230</v>
      </c>
      <c r="E131" s="70">
        <f>'2019-20 StepbyStep Allocations'!BP122-'2019-20 StepbyStep Allocations'!BH122-'2019-20 StepbyStep Allocations'!H122-'2019-20 StepbyStep Allocations'!BF122</f>
        <v>21952159.348871868</v>
      </c>
      <c r="F131" s="71">
        <f>'2019-20 StepbyStep Allocations'!F122</f>
        <v>357</v>
      </c>
      <c r="G131" s="72">
        <f>'2019-20 StepbyStep Allocations'!G122</f>
        <v>4087.9017076242762</v>
      </c>
      <c r="H131" s="73">
        <f>'2019-20 StepbyStep Allocations'!H122</f>
        <v>1459380.9096218667</v>
      </c>
      <c r="I131" s="74">
        <f>'2019-20 StepbyStep Allocations'!BG122</f>
        <v>6</v>
      </c>
      <c r="J131" s="75">
        <f>'2019-20 StepbyStep Allocations'!BH122</f>
        <v>36000</v>
      </c>
      <c r="K131" s="75">
        <f>INDEX('2019-20 StepbyStep Allocations'!$BF$9:$BF$159,MATCH($C131,'2019-20 StepbyStep Allocations'!$C$9:$C$159,0))</f>
        <v>0</v>
      </c>
      <c r="L131" s="73">
        <f t="shared" si="1"/>
        <v>23447540.258493736</v>
      </c>
      <c r="M131"/>
      <c r="N131"/>
      <c r="O131"/>
    </row>
    <row r="132" spans="2:15" s="29" customFormat="1" ht="15.4" x14ac:dyDescent="0.45">
      <c r="B132" s="76" t="s">
        <v>222</v>
      </c>
      <c r="C132" s="77">
        <v>879</v>
      </c>
      <c r="D132" s="78" t="s">
        <v>231</v>
      </c>
      <c r="E132" s="70">
        <f>'2019-20 StepbyStep Allocations'!BP123-'2019-20 StepbyStep Allocations'!BH123-'2019-20 StepbyStep Allocations'!H123-'2019-20 StepbyStep Allocations'!BF123</f>
        <v>25916051.366447281</v>
      </c>
      <c r="F132" s="71">
        <f>'2019-20 StepbyStep Allocations'!F123</f>
        <v>652</v>
      </c>
      <c r="G132" s="72">
        <f>'2019-20 StepbyStep Allocations'!G123</f>
        <v>4000</v>
      </c>
      <c r="H132" s="73">
        <f>'2019-20 StepbyStep Allocations'!H123</f>
        <v>2608000</v>
      </c>
      <c r="I132" s="74">
        <f>'2019-20 StepbyStep Allocations'!BG123</f>
        <v>58</v>
      </c>
      <c r="J132" s="75">
        <f>'2019-20 StepbyStep Allocations'!BH123</f>
        <v>348000</v>
      </c>
      <c r="K132" s="75">
        <f>INDEX('2019-20 StepbyStep Allocations'!$BF$9:$BF$159,MATCH($C132,'2019-20 StepbyStep Allocations'!$C$9:$C$159,0))</f>
        <v>632260</v>
      </c>
      <c r="L132" s="73">
        <f t="shared" si="1"/>
        <v>29504311.366447281</v>
      </c>
      <c r="M132"/>
      <c r="N132"/>
      <c r="O132"/>
    </row>
    <row r="133" spans="2:15" s="29" customFormat="1" ht="15.4" x14ac:dyDescent="0.45">
      <c r="B133" s="76" t="s">
        <v>222</v>
      </c>
      <c r="C133" s="77">
        <v>836</v>
      </c>
      <c r="D133" s="78" t="s">
        <v>232</v>
      </c>
      <c r="E133" s="70">
        <f>'2019-20 StepbyStep Allocations'!BP124-'2019-20 StepbyStep Allocations'!BH124-'2019-20 StepbyStep Allocations'!H124-'2019-20 StepbyStep Allocations'!BF124</f>
        <v>14171822.414106948</v>
      </c>
      <c r="F133" s="71">
        <f>'2019-20 StepbyStep Allocations'!F124</f>
        <v>262</v>
      </c>
      <c r="G133" s="72">
        <f>'2019-20 StepbyStep Allocations'!G124</f>
        <v>4000</v>
      </c>
      <c r="H133" s="73">
        <f>'2019-20 StepbyStep Allocations'!H124</f>
        <v>1048000</v>
      </c>
      <c r="I133" s="74">
        <f>'2019-20 StepbyStep Allocations'!BG124</f>
        <v>-93.5</v>
      </c>
      <c r="J133" s="75">
        <f>'2019-20 StepbyStep Allocations'!BH124</f>
        <v>-561000</v>
      </c>
      <c r="K133" s="75">
        <f>INDEX('2019-20 StepbyStep Allocations'!$BF$9:$BF$159,MATCH($C133,'2019-20 StepbyStep Allocations'!$C$9:$C$159,0))</f>
        <v>915060</v>
      </c>
      <c r="L133" s="73">
        <f t="shared" si="1"/>
        <v>15573882.414106948</v>
      </c>
      <c r="M133"/>
      <c r="N133"/>
      <c r="O133"/>
    </row>
    <row r="134" spans="2:15" s="29" customFormat="1" ht="15.4" x14ac:dyDescent="0.45">
      <c r="B134" s="76" t="s">
        <v>222</v>
      </c>
      <c r="C134" s="77">
        <v>933</v>
      </c>
      <c r="D134" s="78" t="s">
        <v>233</v>
      </c>
      <c r="E134" s="70">
        <f>'2019-20 StepbyStep Allocations'!BP125-'2019-20 StepbyStep Allocations'!BH125-'2019-20 StepbyStep Allocations'!H125-'2019-20 StepbyStep Allocations'!BF125</f>
        <v>46310199.084853113</v>
      </c>
      <c r="F134" s="71">
        <f>'2019-20 StepbyStep Allocations'!F125</f>
        <v>675</v>
      </c>
      <c r="G134" s="72">
        <f>'2019-20 StepbyStep Allocations'!G125</f>
        <v>4000</v>
      </c>
      <c r="H134" s="73">
        <f>'2019-20 StepbyStep Allocations'!H125</f>
        <v>2700000</v>
      </c>
      <c r="I134" s="74">
        <f>'2019-20 StepbyStep Allocations'!BG125</f>
        <v>-148</v>
      </c>
      <c r="J134" s="75">
        <f>'2019-20 StepbyStep Allocations'!BH125</f>
        <v>-888000</v>
      </c>
      <c r="K134" s="75">
        <f>INDEX('2019-20 StepbyStep Allocations'!$BF$9:$BF$159,MATCH($C134,'2019-20 StepbyStep Allocations'!$C$9:$C$159,0))</f>
        <v>2126858.0000000005</v>
      </c>
      <c r="L134" s="73">
        <f t="shared" si="1"/>
        <v>50249057.084853113</v>
      </c>
      <c r="M134"/>
      <c r="N134"/>
      <c r="O134"/>
    </row>
    <row r="135" spans="2:15" s="29" customFormat="1" ht="15.4" x14ac:dyDescent="0.45">
      <c r="B135" s="76" t="s">
        <v>222</v>
      </c>
      <c r="C135" s="77">
        <v>803</v>
      </c>
      <c r="D135" s="78" t="s">
        <v>234</v>
      </c>
      <c r="E135" s="70">
        <f>'2019-20 StepbyStep Allocations'!BP126-'2019-20 StepbyStep Allocations'!BH126-'2019-20 StepbyStep Allocations'!H126-'2019-20 StepbyStep Allocations'!BF126</f>
        <v>29413897.220910773</v>
      </c>
      <c r="F135" s="71">
        <f>'2019-20 StepbyStep Allocations'!F126</f>
        <v>485</v>
      </c>
      <c r="G135" s="72">
        <f>'2019-20 StepbyStep Allocations'!G126</f>
        <v>4087.9017076242762</v>
      </c>
      <c r="H135" s="73">
        <f>'2019-20 StepbyStep Allocations'!H126</f>
        <v>1982632.328197774</v>
      </c>
      <c r="I135" s="74">
        <f>'2019-20 StepbyStep Allocations'!BG126</f>
        <v>-12</v>
      </c>
      <c r="J135" s="75">
        <f>'2019-20 StepbyStep Allocations'!BH126</f>
        <v>-72000</v>
      </c>
      <c r="K135" s="75">
        <f>INDEX('2019-20 StepbyStep Allocations'!$BF$9:$BF$159,MATCH($C135,'2019-20 StepbyStep Allocations'!$C$9:$C$159,0))</f>
        <v>10100</v>
      </c>
      <c r="L135" s="73">
        <f t="shared" si="1"/>
        <v>31334629.549108546</v>
      </c>
      <c r="M135"/>
      <c r="N135"/>
      <c r="O135"/>
    </row>
    <row r="136" spans="2:15" s="29" customFormat="1" ht="15.4" x14ac:dyDescent="0.45">
      <c r="B136" s="76" t="s">
        <v>222</v>
      </c>
      <c r="C136" s="77">
        <v>866</v>
      </c>
      <c r="D136" s="78" t="s">
        <v>235</v>
      </c>
      <c r="E136" s="70">
        <f>'2019-20 StepbyStep Allocations'!BP127-'2019-20 StepbyStep Allocations'!BH127-'2019-20 StepbyStep Allocations'!H127-'2019-20 StepbyStep Allocations'!BF127</f>
        <v>27745297.993410945</v>
      </c>
      <c r="F136" s="71">
        <f>'2019-20 StepbyStep Allocations'!F127</f>
        <v>612</v>
      </c>
      <c r="G136" s="72">
        <f>'2019-20 StepbyStep Allocations'!G127</f>
        <v>4043.1309702136095</v>
      </c>
      <c r="H136" s="73">
        <f>'2019-20 StepbyStep Allocations'!H127</f>
        <v>2474396.153770729</v>
      </c>
      <c r="I136" s="74">
        <f>'2019-20 StepbyStep Allocations'!BG127</f>
        <v>-57.5</v>
      </c>
      <c r="J136" s="75">
        <f>'2019-20 StepbyStep Allocations'!BH127</f>
        <v>-345000</v>
      </c>
      <c r="K136" s="75">
        <f>INDEX('2019-20 StepbyStep Allocations'!$BF$9:$BF$159,MATCH($C136,'2019-20 StepbyStep Allocations'!$C$9:$C$159,0))</f>
        <v>472680</v>
      </c>
      <c r="L136" s="73">
        <f t="shared" si="1"/>
        <v>30347374.147181675</v>
      </c>
      <c r="M136"/>
      <c r="N136"/>
      <c r="O136"/>
    </row>
    <row r="137" spans="2:15" s="29" customFormat="1" ht="15.4" x14ac:dyDescent="0.45">
      <c r="B137" s="76" t="s">
        <v>222</v>
      </c>
      <c r="C137" s="77">
        <v>880</v>
      </c>
      <c r="D137" s="78" t="s">
        <v>236</v>
      </c>
      <c r="E137" s="70">
        <f>'2019-20 StepbyStep Allocations'!BP128-'2019-20 StepbyStep Allocations'!BH128-'2019-20 StepbyStep Allocations'!H128-'2019-20 StepbyStep Allocations'!BF128</f>
        <v>14634367.753067963</v>
      </c>
      <c r="F137" s="71">
        <f>'2019-20 StepbyStep Allocations'!F128</f>
        <v>548</v>
      </c>
      <c r="G137" s="72">
        <f>'2019-20 StepbyStep Allocations'!G128</f>
        <v>4000</v>
      </c>
      <c r="H137" s="73">
        <f>'2019-20 StepbyStep Allocations'!H128</f>
        <v>2192000</v>
      </c>
      <c r="I137" s="74">
        <f>'2019-20 StepbyStep Allocations'!BG128</f>
        <v>89</v>
      </c>
      <c r="J137" s="75">
        <f>'2019-20 StepbyStep Allocations'!BH128</f>
        <v>534000</v>
      </c>
      <c r="K137" s="75">
        <f>INDEX('2019-20 StepbyStep Allocations'!$BF$9:$BF$159,MATCH($C137,'2019-20 StepbyStep Allocations'!$C$9:$C$159,0))</f>
        <v>65650</v>
      </c>
      <c r="L137" s="73">
        <f t="shared" si="1"/>
        <v>17426017.753067963</v>
      </c>
      <c r="M137"/>
      <c r="N137"/>
      <c r="O137"/>
    </row>
    <row r="138" spans="2:15" s="29" customFormat="1" ht="15.4" x14ac:dyDescent="0.45">
      <c r="B138" s="76" t="s">
        <v>222</v>
      </c>
      <c r="C138" s="77">
        <v>865</v>
      </c>
      <c r="D138" s="78" t="s">
        <v>237</v>
      </c>
      <c r="E138" s="70">
        <f>'2019-20 StepbyStep Allocations'!BP129-'2019-20 StepbyStep Allocations'!BH129-'2019-20 StepbyStep Allocations'!H129-'2019-20 StepbyStep Allocations'!BF129</f>
        <v>43676424.601440147</v>
      </c>
      <c r="F138" s="71">
        <f>'2019-20 StepbyStep Allocations'!F129</f>
        <v>726.5</v>
      </c>
      <c r="G138" s="72">
        <f>'2019-20 StepbyStep Allocations'!G129</f>
        <v>4043.1309702136095</v>
      </c>
      <c r="H138" s="73">
        <f>'2019-20 StepbyStep Allocations'!H129</f>
        <v>2937334.6498601874</v>
      </c>
      <c r="I138" s="74">
        <f>'2019-20 StepbyStep Allocations'!BG129</f>
        <v>-244</v>
      </c>
      <c r="J138" s="75">
        <f>'2019-20 StepbyStep Allocations'!BH129</f>
        <v>-1464000</v>
      </c>
      <c r="K138" s="75">
        <f>INDEX('2019-20 StepbyStep Allocations'!$BF$9:$BF$159,MATCH($C138,'2019-20 StepbyStep Allocations'!$C$9:$C$159,0))</f>
        <v>659530</v>
      </c>
      <c r="L138" s="73">
        <f t="shared" si="1"/>
        <v>45809289.251300335</v>
      </c>
      <c r="M138"/>
      <c r="N138"/>
      <c r="O138"/>
    </row>
    <row r="139" spans="2:15" s="29" customFormat="1" ht="15.4" x14ac:dyDescent="0.45">
      <c r="B139" s="76" t="s">
        <v>238</v>
      </c>
      <c r="C139" s="77">
        <v>330</v>
      </c>
      <c r="D139" s="78" t="s">
        <v>239</v>
      </c>
      <c r="E139" s="70">
        <f>'2019-20 StepbyStep Allocations'!BP130-'2019-20 StepbyStep Allocations'!BH130-'2019-20 StepbyStep Allocations'!H130-'2019-20 StepbyStep Allocations'!BF130</f>
        <v>138049334.92890114</v>
      </c>
      <c r="F139" s="71">
        <f>'2019-20 StepbyStep Allocations'!F130</f>
        <v>4558.5</v>
      </c>
      <c r="G139" s="72">
        <f>'2019-20 StepbyStep Allocations'!G130</f>
        <v>4020.3179996800504</v>
      </c>
      <c r="H139" s="73">
        <f>'2019-20 StepbyStep Allocations'!H130</f>
        <v>18326619.601541512</v>
      </c>
      <c r="I139" s="74">
        <f>'2019-20 StepbyStep Allocations'!BG130</f>
        <v>-463</v>
      </c>
      <c r="J139" s="75">
        <f>'2019-20 StepbyStep Allocations'!BH130</f>
        <v>-2778000</v>
      </c>
      <c r="K139" s="75">
        <f>INDEX('2019-20 StepbyStep Allocations'!$BF$9:$BF$159,MATCH($C139,'2019-20 StepbyStep Allocations'!$C$9:$C$159,0))</f>
        <v>4935870</v>
      </c>
      <c r="L139" s="73">
        <f t="shared" si="1"/>
        <v>158533824.53044266</v>
      </c>
      <c r="M139"/>
      <c r="N139"/>
      <c r="O139"/>
    </row>
    <row r="140" spans="2:15" s="29" customFormat="1" ht="15.4" x14ac:dyDescent="0.45">
      <c r="B140" s="76" t="s">
        <v>238</v>
      </c>
      <c r="C140" s="77">
        <v>331</v>
      </c>
      <c r="D140" s="78" t="s">
        <v>240</v>
      </c>
      <c r="E140" s="70">
        <f>'2019-20 StepbyStep Allocations'!BP131-'2019-20 StepbyStep Allocations'!BH131-'2019-20 StepbyStep Allocations'!H131-'2019-20 StepbyStep Allocations'!BF131</f>
        <v>33309017.304783322</v>
      </c>
      <c r="F140" s="71">
        <f>'2019-20 StepbyStep Allocations'!F131</f>
        <v>913</v>
      </c>
      <c r="G140" s="72">
        <f>'2019-20 StepbyStep Allocations'!G131</f>
        <v>4020.3179996800504</v>
      </c>
      <c r="H140" s="73">
        <f>'2019-20 StepbyStep Allocations'!H131</f>
        <v>3670550.3337078858</v>
      </c>
      <c r="I140" s="74">
        <f>'2019-20 StepbyStep Allocations'!BG131</f>
        <v>113</v>
      </c>
      <c r="J140" s="75">
        <f>'2019-20 StepbyStep Allocations'!BH131</f>
        <v>678000</v>
      </c>
      <c r="K140" s="75">
        <f>INDEX('2019-20 StepbyStep Allocations'!$BF$9:$BF$159,MATCH($C140,'2019-20 StepbyStep Allocations'!$C$9:$C$159,0))</f>
        <v>497930</v>
      </c>
      <c r="L140" s="73">
        <f t="shared" si="1"/>
        <v>38155497.638491206</v>
      </c>
      <c r="M140"/>
      <c r="N140"/>
      <c r="O140"/>
    </row>
    <row r="141" spans="2:15" s="29" customFormat="1" ht="15.4" x14ac:dyDescent="0.45">
      <c r="B141" s="76" t="s">
        <v>238</v>
      </c>
      <c r="C141" s="77">
        <v>332</v>
      </c>
      <c r="D141" s="78" t="s">
        <v>241</v>
      </c>
      <c r="E141" s="70">
        <f>'2019-20 StepbyStep Allocations'!BP132-'2019-20 StepbyStep Allocations'!BH132-'2019-20 StepbyStep Allocations'!H132-'2019-20 StepbyStep Allocations'!BF132</f>
        <v>26555531.441606235</v>
      </c>
      <c r="F141" s="71">
        <f>'2019-20 StepbyStep Allocations'!F132</f>
        <v>876</v>
      </c>
      <c r="G141" s="72">
        <f>'2019-20 StepbyStep Allocations'!G132</f>
        <v>4020.3179996800504</v>
      </c>
      <c r="H141" s="73">
        <f>'2019-20 StepbyStep Allocations'!H132</f>
        <v>3521798.567719724</v>
      </c>
      <c r="I141" s="74">
        <f>'2019-20 StepbyStep Allocations'!BG132</f>
        <v>25</v>
      </c>
      <c r="J141" s="75">
        <f>'2019-20 StepbyStep Allocations'!BH132</f>
        <v>150000</v>
      </c>
      <c r="K141" s="75">
        <f>INDEX('2019-20 StepbyStep Allocations'!$BF$9:$BF$159,MATCH($C141,'2019-20 StepbyStep Allocations'!$C$9:$C$159,0))</f>
        <v>1243310</v>
      </c>
      <c r="L141" s="73">
        <f t="shared" si="1"/>
        <v>31470640.009325959</v>
      </c>
      <c r="M141"/>
      <c r="N141"/>
      <c r="O141"/>
    </row>
    <row r="142" spans="2:15" s="29" customFormat="1" ht="15.4" x14ac:dyDescent="0.45">
      <c r="B142" s="76" t="s">
        <v>238</v>
      </c>
      <c r="C142" s="77">
        <v>884</v>
      </c>
      <c r="D142" s="78" t="s">
        <v>242</v>
      </c>
      <c r="E142" s="70">
        <f>'2019-20 StepbyStep Allocations'!BP133-'2019-20 StepbyStep Allocations'!BH133-'2019-20 StepbyStep Allocations'!H133-'2019-20 StepbyStep Allocations'!BF133</f>
        <v>13404838.743883807</v>
      </c>
      <c r="F142" s="71">
        <f>'2019-20 StepbyStep Allocations'!F133</f>
        <v>339</v>
      </c>
      <c r="G142" s="72">
        <f>'2019-20 StepbyStep Allocations'!G133</f>
        <v>4000</v>
      </c>
      <c r="H142" s="73">
        <f>'2019-20 StepbyStep Allocations'!H133</f>
        <v>1356000</v>
      </c>
      <c r="I142" s="74">
        <f>'2019-20 StepbyStep Allocations'!BG133</f>
        <v>-34.5</v>
      </c>
      <c r="J142" s="75">
        <f>'2019-20 StepbyStep Allocations'!BH133</f>
        <v>-207000</v>
      </c>
      <c r="K142" s="75">
        <f>INDEX('2019-20 StepbyStep Allocations'!$BF$9:$BF$159,MATCH($C142,'2019-20 StepbyStep Allocations'!$C$9:$C$159,0))</f>
        <v>280780</v>
      </c>
      <c r="L142" s="73">
        <f t="shared" si="1"/>
        <v>14834618.743883807</v>
      </c>
      <c r="M142"/>
      <c r="N142"/>
      <c r="O142"/>
    </row>
    <row r="143" spans="2:15" s="29" customFormat="1" ht="15.4" x14ac:dyDescent="0.45">
      <c r="B143" s="76" t="s">
        <v>238</v>
      </c>
      <c r="C143" s="77">
        <v>333</v>
      </c>
      <c r="D143" s="78" t="s">
        <v>243</v>
      </c>
      <c r="E143" s="70">
        <f>'2019-20 StepbyStep Allocations'!BP134-'2019-20 StepbyStep Allocations'!BH134-'2019-20 StepbyStep Allocations'!H134-'2019-20 StepbyStep Allocations'!BF134</f>
        <v>38244691.462600276</v>
      </c>
      <c r="F143" s="71">
        <f>'2019-20 StepbyStep Allocations'!F134</f>
        <v>586</v>
      </c>
      <c r="G143" s="72">
        <f>'2019-20 StepbyStep Allocations'!G134</f>
        <v>4020.3179996800504</v>
      </c>
      <c r="H143" s="73">
        <f>'2019-20 StepbyStep Allocations'!H134</f>
        <v>2355906.3478125096</v>
      </c>
      <c r="I143" s="74">
        <f>'2019-20 StepbyStep Allocations'!BG134</f>
        <v>-96</v>
      </c>
      <c r="J143" s="75">
        <f>'2019-20 StepbyStep Allocations'!BH134</f>
        <v>-576000</v>
      </c>
      <c r="K143" s="75">
        <f>INDEX('2019-20 StepbyStep Allocations'!$BF$9:$BF$159,MATCH($C143,'2019-20 StepbyStep Allocations'!$C$9:$C$159,0))</f>
        <v>993840</v>
      </c>
      <c r="L143" s="73">
        <f t="shared" si="1"/>
        <v>41018437.810412787</v>
      </c>
      <c r="M143"/>
      <c r="N143"/>
      <c r="O143"/>
    </row>
    <row r="144" spans="2:15" s="29" customFormat="1" ht="15.4" x14ac:dyDescent="0.45">
      <c r="B144" s="76" t="s">
        <v>238</v>
      </c>
      <c r="C144" s="77">
        <v>893</v>
      </c>
      <c r="D144" s="78" t="s">
        <v>244</v>
      </c>
      <c r="E144" s="70">
        <f>'2019-20 StepbyStep Allocations'!BP135-'2019-20 StepbyStep Allocations'!BH135-'2019-20 StepbyStep Allocations'!H135-'2019-20 StepbyStep Allocations'!BF135</f>
        <v>24051353.457058471</v>
      </c>
      <c r="F144" s="71">
        <f>'2019-20 StepbyStep Allocations'!F135</f>
        <v>463</v>
      </c>
      <c r="G144" s="72">
        <f>'2019-20 StepbyStep Allocations'!G135</f>
        <v>4000</v>
      </c>
      <c r="H144" s="73">
        <f>'2019-20 StepbyStep Allocations'!H135</f>
        <v>1852000</v>
      </c>
      <c r="I144" s="74">
        <f>'2019-20 StepbyStep Allocations'!BG135</f>
        <v>-134</v>
      </c>
      <c r="J144" s="75">
        <f>'2019-20 StepbyStep Allocations'!BH135</f>
        <v>-804000</v>
      </c>
      <c r="K144" s="75">
        <f>INDEX('2019-20 StepbyStep Allocations'!$BF$9:$BF$159,MATCH($C144,'2019-20 StepbyStep Allocations'!$C$9:$C$159,0))</f>
        <v>106050</v>
      </c>
      <c r="L144" s="73">
        <f t="shared" si="1"/>
        <v>25205403.457058471</v>
      </c>
      <c r="M144"/>
      <c r="N144"/>
      <c r="O144"/>
    </row>
    <row r="145" spans="2:15" s="29" customFormat="1" ht="15.4" x14ac:dyDescent="0.45">
      <c r="B145" s="76" t="s">
        <v>238</v>
      </c>
      <c r="C145" s="77">
        <v>334</v>
      </c>
      <c r="D145" s="78" t="s">
        <v>245</v>
      </c>
      <c r="E145" s="70">
        <f>'2019-20 StepbyStep Allocations'!BP136-'2019-20 StepbyStep Allocations'!BH136-'2019-20 StepbyStep Allocations'!H136-'2019-20 StepbyStep Allocations'!BF136</f>
        <v>23983448.108675554</v>
      </c>
      <c r="F145" s="71">
        <f>'2019-20 StepbyStep Allocations'!F136</f>
        <v>732</v>
      </c>
      <c r="G145" s="72">
        <f>'2019-20 StepbyStep Allocations'!G136</f>
        <v>4020.3179996800504</v>
      </c>
      <c r="H145" s="73">
        <f>'2019-20 StepbyStep Allocations'!H136</f>
        <v>2942872.7757657971</v>
      </c>
      <c r="I145" s="74">
        <f>'2019-20 StepbyStep Allocations'!BG136</f>
        <v>31</v>
      </c>
      <c r="J145" s="75">
        <f>'2019-20 StepbyStep Allocations'!BH136</f>
        <v>186000</v>
      </c>
      <c r="K145" s="75">
        <f>INDEX('2019-20 StepbyStep Allocations'!$BF$9:$BF$159,MATCH($C145,'2019-20 StepbyStep Allocations'!$C$9:$C$159,0))</f>
        <v>0</v>
      </c>
      <c r="L145" s="73">
        <f t="shared" si="1"/>
        <v>27112320.884441353</v>
      </c>
      <c r="M145"/>
      <c r="N145"/>
      <c r="O145"/>
    </row>
    <row r="146" spans="2:15" s="29" customFormat="1" ht="15.4" x14ac:dyDescent="0.45">
      <c r="B146" s="76" t="s">
        <v>238</v>
      </c>
      <c r="C146" s="77">
        <v>860</v>
      </c>
      <c r="D146" s="78" t="s">
        <v>246</v>
      </c>
      <c r="E146" s="70">
        <f>'2019-20 StepbyStep Allocations'!BP137-'2019-20 StepbyStep Allocations'!BH137-'2019-20 StepbyStep Allocations'!H137-'2019-20 StepbyStep Allocations'!BF137</f>
        <v>63732365.716116652</v>
      </c>
      <c r="F146" s="71">
        <f>'2019-20 StepbyStep Allocations'!F137</f>
        <v>2588</v>
      </c>
      <c r="G146" s="72">
        <f>'2019-20 StepbyStep Allocations'!G137</f>
        <v>4000</v>
      </c>
      <c r="H146" s="73">
        <f>'2019-20 StepbyStep Allocations'!H137</f>
        <v>10352000</v>
      </c>
      <c r="I146" s="74">
        <f>'2019-20 StepbyStep Allocations'!BG137</f>
        <v>207</v>
      </c>
      <c r="J146" s="75">
        <f>'2019-20 StepbyStep Allocations'!BH137</f>
        <v>1242000</v>
      </c>
      <c r="K146" s="75">
        <f>INDEX('2019-20 StepbyStep Allocations'!$BF$9:$BF$159,MATCH($C146,'2019-20 StepbyStep Allocations'!$C$9:$C$159,0))</f>
        <v>337339.99999999994</v>
      </c>
      <c r="L146" s="73">
        <f t="shared" si="1"/>
        <v>75663705.716116652</v>
      </c>
      <c r="M146"/>
      <c r="N146"/>
      <c r="O146"/>
    </row>
    <row r="147" spans="2:15" s="29" customFormat="1" ht="15.4" x14ac:dyDescent="0.45">
      <c r="B147" s="76" t="s">
        <v>238</v>
      </c>
      <c r="C147" s="77">
        <v>861</v>
      </c>
      <c r="D147" s="78" t="s">
        <v>247</v>
      </c>
      <c r="E147" s="70">
        <f>'2019-20 StepbyStep Allocations'!BP138-'2019-20 StepbyStep Allocations'!BH138-'2019-20 StepbyStep Allocations'!H138-'2019-20 StepbyStep Allocations'!BF138</f>
        <v>28913953.797751442</v>
      </c>
      <c r="F147" s="71">
        <f>'2019-20 StepbyStep Allocations'!F138</f>
        <v>765</v>
      </c>
      <c r="G147" s="72">
        <f>'2019-20 StepbyStep Allocations'!G138</f>
        <v>4000</v>
      </c>
      <c r="H147" s="73">
        <f>'2019-20 StepbyStep Allocations'!H138</f>
        <v>3060000</v>
      </c>
      <c r="I147" s="74">
        <f>'2019-20 StepbyStep Allocations'!BG138</f>
        <v>-168</v>
      </c>
      <c r="J147" s="75">
        <f>'2019-20 StepbyStep Allocations'!BH138</f>
        <v>-1008000</v>
      </c>
      <c r="K147" s="75">
        <f>INDEX('2019-20 StepbyStep Allocations'!$BF$9:$BF$159,MATCH($C147,'2019-20 StepbyStep Allocations'!$C$9:$C$159,0))</f>
        <v>184375.5</v>
      </c>
      <c r="L147" s="73">
        <f t="shared" ref="L147:L168" si="2">E147+H147+J147+K147</f>
        <v>31150329.297751442</v>
      </c>
      <c r="M147"/>
      <c r="N147"/>
      <c r="O147"/>
    </row>
    <row r="148" spans="2:15" s="29" customFormat="1" ht="15.4" x14ac:dyDescent="0.45">
      <c r="B148" s="76" t="s">
        <v>238</v>
      </c>
      <c r="C148" s="77">
        <v>894</v>
      </c>
      <c r="D148" s="78" t="s">
        <v>248</v>
      </c>
      <c r="E148" s="70">
        <f>'2019-20 StepbyStep Allocations'!BP139-'2019-20 StepbyStep Allocations'!BH139-'2019-20 StepbyStep Allocations'!H139-'2019-20 StepbyStep Allocations'!BF139</f>
        <v>19174248.1519848</v>
      </c>
      <c r="F148" s="71">
        <f>'2019-20 StepbyStep Allocations'!F139</f>
        <v>582</v>
      </c>
      <c r="G148" s="72">
        <f>'2019-20 StepbyStep Allocations'!G139</f>
        <v>4000</v>
      </c>
      <c r="H148" s="73">
        <f>'2019-20 StepbyStep Allocations'!H139</f>
        <v>2328000</v>
      </c>
      <c r="I148" s="74">
        <f>'2019-20 StepbyStep Allocations'!BG139</f>
        <v>-3</v>
      </c>
      <c r="J148" s="75">
        <f>'2019-20 StepbyStep Allocations'!BH139</f>
        <v>-18000</v>
      </c>
      <c r="K148" s="75">
        <f>INDEX('2019-20 StepbyStep Allocations'!$BF$9:$BF$159,MATCH($C148,'2019-20 StepbyStep Allocations'!$C$9:$C$159,0))</f>
        <v>20266.66</v>
      </c>
      <c r="L148" s="73">
        <f t="shared" si="2"/>
        <v>21504514.8119848</v>
      </c>
      <c r="M148"/>
      <c r="N148"/>
      <c r="O148"/>
    </row>
    <row r="149" spans="2:15" s="29" customFormat="1" ht="15.4" x14ac:dyDescent="0.45">
      <c r="B149" s="76" t="s">
        <v>238</v>
      </c>
      <c r="C149" s="77">
        <v>335</v>
      </c>
      <c r="D149" s="78" t="s">
        <v>249</v>
      </c>
      <c r="E149" s="70">
        <f>'2019-20 StepbyStep Allocations'!BP140-'2019-20 StepbyStep Allocations'!BH140-'2019-20 StepbyStep Allocations'!H140-'2019-20 StepbyStep Allocations'!BF140</f>
        <v>29345011.247814208</v>
      </c>
      <c r="F149" s="71">
        <f>'2019-20 StepbyStep Allocations'!F140</f>
        <v>675</v>
      </c>
      <c r="G149" s="72">
        <f>'2019-20 StepbyStep Allocations'!G140</f>
        <v>4020.3179996800504</v>
      </c>
      <c r="H149" s="73">
        <f>'2019-20 StepbyStep Allocations'!H140</f>
        <v>2713714.6497840341</v>
      </c>
      <c r="I149" s="74">
        <f>'2019-20 StepbyStep Allocations'!BG140</f>
        <v>3</v>
      </c>
      <c r="J149" s="75">
        <f>'2019-20 StepbyStep Allocations'!BH140</f>
        <v>18000</v>
      </c>
      <c r="K149" s="75">
        <f>INDEX('2019-20 StepbyStep Allocations'!$BF$9:$BF$159,MATCH($C149,'2019-20 StepbyStep Allocations'!$C$9:$C$159,0))</f>
        <v>0</v>
      </c>
      <c r="L149" s="73">
        <f t="shared" si="2"/>
        <v>32076725.897598244</v>
      </c>
      <c r="M149"/>
      <c r="N149"/>
      <c r="O149"/>
    </row>
    <row r="150" spans="2:15" s="29" customFormat="1" ht="15.4" x14ac:dyDescent="0.45">
      <c r="B150" s="76" t="s">
        <v>238</v>
      </c>
      <c r="C150" s="77">
        <v>937</v>
      </c>
      <c r="D150" s="78" t="s">
        <v>250</v>
      </c>
      <c r="E150" s="70">
        <f>'2019-20 StepbyStep Allocations'!BP141-'2019-20 StepbyStep Allocations'!BH141-'2019-20 StepbyStep Allocations'!H141-'2019-20 StepbyStep Allocations'!BF141</f>
        <v>54346680.879547216</v>
      </c>
      <c r="F150" s="71">
        <f>'2019-20 StepbyStep Allocations'!F141</f>
        <v>1596</v>
      </c>
      <c r="G150" s="72">
        <f>'2019-20 StepbyStep Allocations'!G141</f>
        <v>4042.1406799548986</v>
      </c>
      <c r="H150" s="73">
        <f>'2019-20 StepbyStep Allocations'!H141</f>
        <v>6451256.5252080178</v>
      </c>
      <c r="I150" s="74">
        <f>'2019-20 StepbyStep Allocations'!BG141</f>
        <v>-34</v>
      </c>
      <c r="J150" s="75">
        <f>'2019-20 StepbyStep Allocations'!BH141</f>
        <v>-204000</v>
      </c>
      <c r="K150" s="75">
        <f>INDEX('2019-20 StepbyStep Allocations'!$BF$9:$BF$159,MATCH($C150,'2019-20 StepbyStep Allocations'!$C$9:$C$159,0))</f>
        <v>104305.65454335875</v>
      </c>
      <c r="L150" s="73">
        <f t="shared" si="2"/>
        <v>60698243.05929859</v>
      </c>
      <c r="M150"/>
      <c r="N150"/>
      <c r="O150"/>
    </row>
    <row r="151" spans="2:15" s="29" customFormat="1" ht="15.4" x14ac:dyDescent="0.45">
      <c r="B151" s="76" t="s">
        <v>238</v>
      </c>
      <c r="C151" s="77">
        <v>336</v>
      </c>
      <c r="D151" s="78" t="s">
        <v>251</v>
      </c>
      <c r="E151" s="70">
        <f>'2019-20 StepbyStep Allocations'!BP142-'2019-20 StepbyStep Allocations'!BH142-'2019-20 StepbyStep Allocations'!H142-'2019-20 StepbyStep Allocations'!BF142</f>
        <v>31107016.081537899</v>
      </c>
      <c r="F151" s="71">
        <f>'2019-20 StepbyStep Allocations'!F142</f>
        <v>824</v>
      </c>
      <c r="G151" s="72">
        <f>'2019-20 StepbyStep Allocations'!G142</f>
        <v>4020.3179996800504</v>
      </c>
      <c r="H151" s="73">
        <f>'2019-20 StepbyStep Allocations'!H142</f>
        <v>3312742.0317363613</v>
      </c>
      <c r="I151" s="74">
        <f>'2019-20 StepbyStep Allocations'!BG142</f>
        <v>41</v>
      </c>
      <c r="J151" s="75">
        <f>'2019-20 StepbyStep Allocations'!BH142</f>
        <v>246000</v>
      </c>
      <c r="K151" s="75">
        <f>INDEX('2019-20 StepbyStep Allocations'!$BF$9:$BF$159,MATCH($C151,'2019-20 StepbyStep Allocations'!$C$9:$C$159,0))</f>
        <v>441370</v>
      </c>
      <c r="L151" s="73">
        <f t="shared" si="2"/>
        <v>35107128.113274261</v>
      </c>
      <c r="M151"/>
      <c r="N151"/>
      <c r="O151"/>
    </row>
    <row r="152" spans="2:15" s="29" customFormat="1" ht="15.4" x14ac:dyDescent="0.45">
      <c r="B152" s="76" t="s">
        <v>238</v>
      </c>
      <c r="C152" s="77">
        <v>885</v>
      </c>
      <c r="D152" s="78" t="s">
        <v>252</v>
      </c>
      <c r="E152" s="70">
        <f>'2019-20 StepbyStep Allocations'!BP143-'2019-20 StepbyStep Allocations'!BH143-'2019-20 StepbyStep Allocations'!H143-'2019-20 StepbyStep Allocations'!BF143</f>
        <v>45032683.879519574</v>
      </c>
      <c r="F152" s="71">
        <f>'2019-20 StepbyStep Allocations'!F143</f>
        <v>1449.5</v>
      </c>
      <c r="G152" s="72">
        <f>'2019-20 StepbyStep Allocations'!G143</f>
        <v>4000</v>
      </c>
      <c r="H152" s="73">
        <f>'2019-20 StepbyStep Allocations'!H143</f>
        <v>5798000</v>
      </c>
      <c r="I152" s="74">
        <f>'2019-20 StepbyStep Allocations'!BG143</f>
        <v>-174</v>
      </c>
      <c r="J152" s="75">
        <f>'2019-20 StepbyStep Allocations'!BH143</f>
        <v>-1044000</v>
      </c>
      <c r="K152" s="75">
        <f>INDEX('2019-20 StepbyStep Allocations'!$BF$9:$BF$159,MATCH($C152,'2019-20 StepbyStep Allocations'!$C$9:$C$159,0))</f>
        <v>564590</v>
      </c>
      <c r="L152" s="73">
        <f t="shared" si="2"/>
        <v>50351273.879519574</v>
      </c>
      <c r="M152"/>
      <c r="N152"/>
      <c r="O152"/>
    </row>
    <row r="153" spans="2:15" s="29" customFormat="1" ht="15.4" x14ac:dyDescent="0.45">
      <c r="B153" s="76" t="s">
        <v>253</v>
      </c>
      <c r="C153" s="77">
        <v>370</v>
      </c>
      <c r="D153" s="78" t="s">
        <v>254</v>
      </c>
      <c r="E153" s="70">
        <f>'2019-20 StepbyStep Allocations'!BP144-'2019-20 StepbyStep Allocations'!BH144-'2019-20 StepbyStep Allocations'!H144-'2019-20 StepbyStep Allocations'!BF144</f>
        <v>21086478.733985417</v>
      </c>
      <c r="F153" s="71">
        <f>'2019-20 StepbyStep Allocations'!F144</f>
        <v>459</v>
      </c>
      <c r="G153" s="72">
        <f>'2019-20 StepbyStep Allocations'!G144</f>
        <v>4000</v>
      </c>
      <c r="H153" s="73">
        <f>'2019-20 StepbyStep Allocations'!H144</f>
        <v>1836000</v>
      </c>
      <c r="I153" s="74">
        <f>'2019-20 StepbyStep Allocations'!BG144</f>
        <v>-65.5</v>
      </c>
      <c r="J153" s="75">
        <f>'2019-20 StepbyStep Allocations'!BH144</f>
        <v>-393000</v>
      </c>
      <c r="K153" s="75">
        <f>INDEX('2019-20 StepbyStep Allocations'!$BF$9:$BF$159,MATCH($C153,'2019-20 StepbyStep Allocations'!$C$9:$C$159,0))</f>
        <v>0</v>
      </c>
      <c r="L153" s="73">
        <f t="shared" si="2"/>
        <v>22529478.733985417</v>
      </c>
      <c r="M153"/>
      <c r="N153"/>
      <c r="O153"/>
    </row>
    <row r="154" spans="2:15" s="29" customFormat="1" ht="15.4" x14ac:dyDescent="0.45">
      <c r="B154" s="76" t="s">
        <v>253</v>
      </c>
      <c r="C154" s="77">
        <v>380</v>
      </c>
      <c r="D154" s="78" t="s">
        <v>255</v>
      </c>
      <c r="E154" s="70">
        <f>'2019-20 StepbyStep Allocations'!BP145-'2019-20 StepbyStep Allocations'!BH145-'2019-20 StepbyStep Allocations'!H145-'2019-20 StepbyStep Allocations'!BF145</f>
        <v>62715406.223453775</v>
      </c>
      <c r="F154" s="71">
        <f>'2019-20 StepbyStep Allocations'!F145</f>
        <v>1164</v>
      </c>
      <c r="G154" s="72">
        <f>'2019-20 StepbyStep Allocations'!G145</f>
        <v>4000.971893795554</v>
      </c>
      <c r="H154" s="73">
        <f>'2019-20 StepbyStep Allocations'!H145</f>
        <v>4657131.2843780247</v>
      </c>
      <c r="I154" s="74">
        <f>'2019-20 StepbyStep Allocations'!BG145</f>
        <v>-161</v>
      </c>
      <c r="J154" s="75">
        <f>'2019-20 StepbyStep Allocations'!BH145</f>
        <v>-966000</v>
      </c>
      <c r="K154" s="75">
        <f>INDEX('2019-20 StepbyStep Allocations'!$BF$9:$BF$159,MATCH($C154,'2019-20 StepbyStep Allocations'!$C$9:$C$159,0))</f>
        <v>1660440</v>
      </c>
      <c r="L154" s="73">
        <f t="shared" si="2"/>
        <v>68066977.507831797</v>
      </c>
      <c r="M154"/>
      <c r="N154"/>
      <c r="O154"/>
    </row>
    <row r="155" spans="2:15" s="29" customFormat="1" ht="15.4" x14ac:dyDescent="0.45">
      <c r="B155" s="76" t="s">
        <v>253</v>
      </c>
      <c r="C155" s="77">
        <v>381</v>
      </c>
      <c r="D155" s="78" t="s">
        <v>256</v>
      </c>
      <c r="E155" s="70">
        <f>'2019-20 StepbyStep Allocations'!BP146-'2019-20 StepbyStep Allocations'!BH146-'2019-20 StepbyStep Allocations'!H146-'2019-20 StepbyStep Allocations'!BF146</f>
        <v>17564003.337195341</v>
      </c>
      <c r="F155" s="71">
        <f>'2019-20 StepbyStep Allocations'!F146</f>
        <v>346</v>
      </c>
      <c r="G155" s="72">
        <f>'2019-20 StepbyStep Allocations'!G146</f>
        <v>4000.971893795554</v>
      </c>
      <c r="H155" s="73">
        <f>'2019-20 StepbyStep Allocations'!H146</f>
        <v>1384336.2752532617</v>
      </c>
      <c r="I155" s="74">
        <f>'2019-20 StepbyStep Allocations'!BG146</f>
        <v>-30</v>
      </c>
      <c r="J155" s="75">
        <f>'2019-20 StepbyStep Allocations'!BH146</f>
        <v>-180000</v>
      </c>
      <c r="K155" s="75">
        <f>INDEX('2019-20 StepbyStep Allocations'!$BF$9:$BF$159,MATCH($C155,'2019-20 StepbyStep Allocations'!$C$9:$C$159,0))</f>
        <v>0</v>
      </c>
      <c r="L155" s="73">
        <f t="shared" si="2"/>
        <v>18768339.612448603</v>
      </c>
      <c r="M155"/>
      <c r="N155"/>
      <c r="O155"/>
    </row>
    <row r="156" spans="2:15" s="29" customFormat="1" ht="15.4" x14ac:dyDescent="0.45">
      <c r="B156" s="76" t="s">
        <v>253</v>
      </c>
      <c r="C156" s="77">
        <v>371</v>
      </c>
      <c r="D156" s="78" t="s">
        <v>257</v>
      </c>
      <c r="E156" s="70">
        <f>'2019-20 StepbyStep Allocations'!BP147-'2019-20 StepbyStep Allocations'!BH147-'2019-20 StepbyStep Allocations'!H147-'2019-20 StepbyStep Allocations'!BF147</f>
        <v>28608705.796331666</v>
      </c>
      <c r="F156" s="71">
        <f>'2019-20 StepbyStep Allocations'!F147</f>
        <v>614</v>
      </c>
      <c r="G156" s="72">
        <f>'2019-20 StepbyStep Allocations'!G147</f>
        <v>4000</v>
      </c>
      <c r="H156" s="73">
        <f>'2019-20 StepbyStep Allocations'!H147</f>
        <v>2456000</v>
      </c>
      <c r="I156" s="74">
        <f>'2019-20 StepbyStep Allocations'!BG147</f>
        <v>-43.5</v>
      </c>
      <c r="J156" s="75">
        <f>'2019-20 StepbyStep Allocations'!BH147</f>
        <v>-261000</v>
      </c>
      <c r="K156" s="75">
        <f>INDEX('2019-20 StepbyStep Allocations'!$BF$9:$BF$159,MATCH($C156,'2019-20 StepbyStep Allocations'!$C$9:$C$159,0))</f>
        <v>258560</v>
      </c>
      <c r="L156" s="73">
        <f t="shared" si="2"/>
        <v>31062265.796331666</v>
      </c>
      <c r="M156"/>
      <c r="N156"/>
      <c r="O156"/>
    </row>
    <row r="157" spans="2:15" s="29" customFormat="1" ht="15.4" x14ac:dyDescent="0.45">
      <c r="B157" s="76" t="s">
        <v>253</v>
      </c>
      <c r="C157" s="77">
        <v>811</v>
      </c>
      <c r="D157" s="78" t="s">
        <v>258</v>
      </c>
      <c r="E157" s="70">
        <f>'2019-20 StepbyStep Allocations'!BP148-'2019-20 StepbyStep Allocations'!BH148-'2019-20 StepbyStep Allocations'!H148-'2019-20 StepbyStep Allocations'!BF148</f>
        <v>21507781.48732065</v>
      </c>
      <c r="F157" s="71">
        <f>'2019-20 StepbyStep Allocations'!F148</f>
        <v>397</v>
      </c>
      <c r="G157" s="72">
        <f>'2019-20 StepbyStep Allocations'!G148</f>
        <v>4000</v>
      </c>
      <c r="H157" s="73">
        <f>'2019-20 StepbyStep Allocations'!H148</f>
        <v>1588000</v>
      </c>
      <c r="I157" s="74">
        <f>'2019-20 StepbyStep Allocations'!BG148</f>
        <v>-71.5</v>
      </c>
      <c r="J157" s="75">
        <f>'2019-20 StepbyStep Allocations'!BH148</f>
        <v>-429000</v>
      </c>
      <c r="K157" s="75">
        <f>INDEX('2019-20 StepbyStep Allocations'!$BF$9:$BF$159,MATCH($C157,'2019-20 StepbyStep Allocations'!$C$9:$C$159,0))</f>
        <v>0</v>
      </c>
      <c r="L157" s="73">
        <f t="shared" si="2"/>
        <v>22666781.48732065</v>
      </c>
      <c r="M157"/>
      <c r="N157"/>
      <c r="O157"/>
    </row>
    <row r="158" spans="2:15" s="29" customFormat="1" ht="15.4" x14ac:dyDescent="0.45">
      <c r="B158" s="76" t="s">
        <v>253</v>
      </c>
      <c r="C158" s="77">
        <v>810</v>
      </c>
      <c r="D158" s="78" t="s">
        <v>259</v>
      </c>
      <c r="E158" s="70">
        <f>'2019-20 StepbyStep Allocations'!BP149-'2019-20 StepbyStep Allocations'!BH149-'2019-20 StepbyStep Allocations'!H149-'2019-20 StepbyStep Allocations'!BF149</f>
        <v>26950357.981966592</v>
      </c>
      <c r="F158" s="71">
        <f>'2019-20 StepbyStep Allocations'!F149</f>
        <v>625</v>
      </c>
      <c r="G158" s="72">
        <f>'2019-20 StepbyStep Allocations'!G149</f>
        <v>4000</v>
      </c>
      <c r="H158" s="73">
        <f>'2019-20 StepbyStep Allocations'!H149</f>
        <v>2500000</v>
      </c>
      <c r="I158" s="74">
        <f>'2019-20 StepbyStep Allocations'!BG149</f>
        <v>28</v>
      </c>
      <c r="J158" s="75">
        <f>'2019-20 StepbyStep Allocations'!BH149</f>
        <v>168000</v>
      </c>
      <c r="K158" s="75">
        <f>INDEX('2019-20 StepbyStep Allocations'!$BF$9:$BF$159,MATCH($C158,'2019-20 StepbyStep Allocations'!$C$9:$C$159,0))</f>
        <v>0</v>
      </c>
      <c r="L158" s="73">
        <f t="shared" si="2"/>
        <v>29618357.981966592</v>
      </c>
      <c r="M158"/>
      <c r="N158"/>
      <c r="O158"/>
    </row>
    <row r="159" spans="2:15" s="29" customFormat="1" ht="15.4" x14ac:dyDescent="0.45">
      <c r="B159" s="76" t="s">
        <v>253</v>
      </c>
      <c r="C159" s="77">
        <v>382</v>
      </c>
      <c r="D159" s="78" t="s">
        <v>260</v>
      </c>
      <c r="E159" s="70">
        <f>'2019-20 StepbyStep Allocations'!BP150-'2019-20 StepbyStep Allocations'!BH150-'2019-20 StepbyStep Allocations'!H150-'2019-20 StepbyStep Allocations'!BF150</f>
        <v>33003451.445349865</v>
      </c>
      <c r="F159" s="71">
        <f>'2019-20 StepbyStep Allocations'!F150</f>
        <v>778</v>
      </c>
      <c r="G159" s="72">
        <f>'2019-20 StepbyStep Allocations'!G150</f>
        <v>4000.971893795554</v>
      </c>
      <c r="H159" s="73">
        <f>'2019-20 StepbyStep Allocations'!H150</f>
        <v>3112756.1333729411</v>
      </c>
      <c r="I159" s="74">
        <f>'2019-20 StepbyStep Allocations'!BG150</f>
        <v>-65</v>
      </c>
      <c r="J159" s="75">
        <f>'2019-20 StepbyStep Allocations'!BH150</f>
        <v>-390000</v>
      </c>
      <c r="K159" s="75">
        <f>INDEX('2019-20 StepbyStep Allocations'!$BF$9:$BF$159,MATCH($C159,'2019-20 StepbyStep Allocations'!$C$9:$C$159,0))</f>
        <v>0</v>
      </c>
      <c r="L159" s="73">
        <f t="shared" si="2"/>
        <v>35726207.578722805</v>
      </c>
      <c r="M159"/>
      <c r="N159"/>
      <c r="O159"/>
    </row>
    <row r="160" spans="2:15" s="29" customFormat="1" ht="15.4" x14ac:dyDescent="0.45">
      <c r="B160" s="76" t="s">
        <v>253</v>
      </c>
      <c r="C160" s="77">
        <v>383</v>
      </c>
      <c r="D160" s="78" t="s">
        <v>261</v>
      </c>
      <c r="E160" s="70">
        <f>'2019-20 StepbyStep Allocations'!BP151-'2019-20 StepbyStep Allocations'!BH151-'2019-20 StepbyStep Allocations'!H151-'2019-20 StepbyStep Allocations'!BF151</f>
        <v>63620116.835831486</v>
      </c>
      <c r="F160" s="71">
        <f>'2019-20 StepbyStep Allocations'!F151</f>
        <v>1314</v>
      </c>
      <c r="G160" s="72">
        <f>'2019-20 StepbyStep Allocations'!G151</f>
        <v>4000.971893795554</v>
      </c>
      <c r="H160" s="73">
        <f>'2019-20 StepbyStep Allocations'!H151</f>
        <v>5257277.068447358</v>
      </c>
      <c r="I160" s="74">
        <f>'2019-20 StepbyStep Allocations'!BG151</f>
        <v>-7</v>
      </c>
      <c r="J160" s="75">
        <f>'2019-20 StepbyStep Allocations'!BH151</f>
        <v>-42000</v>
      </c>
      <c r="K160" s="75">
        <f>INDEX('2019-20 StepbyStep Allocations'!$BF$9:$BF$159,MATCH($C160,'2019-20 StepbyStep Allocations'!$C$9:$C$159,0))</f>
        <v>997375</v>
      </c>
      <c r="L160" s="73">
        <f t="shared" si="2"/>
        <v>69832768.904278845</v>
      </c>
      <c r="M160"/>
      <c r="N160"/>
      <c r="O160"/>
    </row>
    <row r="161" spans="2:15" s="29" customFormat="1" ht="15.4" x14ac:dyDescent="0.45">
      <c r="B161" s="76" t="s">
        <v>253</v>
      </c>
      <c r="C161" s="77">
        <v>812</v>
      </c>
      <c r="D161" s="78" t="s">
        <v>262</v>
      </c>
      <c r="E161" s="70">
        <f>'2019-20 StepbyStep Allocations'!BP152-'2019-20 StepbyStep Allocations'!BH152-'2019-20 StepbyStep Allocations'!H152-'2019-20 StepbyStep Allocations'!BF152</f>
        <v>16641104.613802183</v>
      </c>
      <c r="F161" s="71">
        <f>'2019-20 StepbyStep Allocations'!F152</f>
        <v>370</v>
      </c>
      <c r="G161" s="72">
        <f>'2019-20 StepbyStep Allocations'!G152</f>
        <v>4000</v>
      </c>
      <c r="H161" s="73">
        <f>'2019-20 StepbyStep Allocations'!H152</f>
        <v>1480000</v>
      </c>
      <c r="I161" s="74">
        <f>'2019-20 StepbyStep Allocations'!BG152</f>
        <v>-3</v>
      </c>
      <c r="J161" s="75">
        <f>'2019-20 StepbyStep Allocations'!BH152</f>
        <v>-18000</v>
      </c>
      <c r="K161" s="75">
        <f>INDEX('2019-20 StepbyStep Allocations'!$BF$9:$BF$159,MATCH($C161,'2019-20 StepbyStep Allocations'!$C$9:$C$159,0))</f>
        <v>0</v>
      </c>
      <c r="L161" s="73">
        <f t="shared" si="2"/>
        <v>18103104.613802183</v>
      </c>
      <c r="M161"/>
      <c r="N161"/>
      <c r="O161"/>
    </row>
    <row r="162" spans="2:15" s="29" customFormat="1" ht="15.4" x14ac:dyDescent="0.45">
      <c r="B162" s="76" t="s">
        <v>253</v>
      </c>
      <c r="C162" s="77">
        <v>813</v>
      </c>
      <c r="D162" s="78" t="s">
        <v>263</v>
      </c>
      <c r="E162" s="70">
        <f>'2019-20 StepbyStep Allocations'!BP153-'2019-20 StepbyStep Allocations'!BH153-'2019-20 StepbyStep Allocations'!H153-'2019-20 StepbyStep Allocations'!BF153</f>
        <v>15378740.018107371</v>
      </c>
      <c r="F162" s="71">
        <f>'2019-20 StepbyStep Allocations'!F153</f>
        <v>347</v>
      </c>
      <c r="G162" s="72">
        <f>'2019-20 StepbyStep Allocations'!G153</f>
        <v>4000</v>
      </c>
      <c r="H162" s="73">
        <f>'2019-20 StepbyStep Allocations'!H153</f>
        <v>1388000</v>
      </c>
      <c r="I162" s="74">
        <f>'2019-20 StepbyStep Allocations'!BG153</f>
        <v>-75.5</v>
      </c>
      <c r="J162" s="75">
        <f>'2019-20 StepbyStep Allocations'!BH153</f>
        <v>-453000</v>
      </c>
      <c r="K162" s="75">
        <f>INDEX('2019-20 StepbyStep Allocations'!$BF$9:$BF$159,MATCH($C162,'2019-20 StepbyStep Allocations'!$C$9:$C$159,0))</f>
        <v>0</v>
      </c>
      <c r="L162" s="73">
        <f t="shared" si="2"/>
        <v>16313740.018107371</v>
      </c>
      <c r="M162"/>
      <c r="N162"/>
      <c r="O162"/>
    </row>
    <row r="163" spans="2:15" s="29" customFormat="1" ht="15.4" x14ac:dyDescent="0.45">
      <c r="B163" s="76" t="s">
        <v>253</v>
      </c>
      <c r="C163" s="77">
        <v>815</v>
      </c>
      <c r="D163" s="78" t="s">
        <v>264</v>
      </c>
      <c r="E163" s="70">
        <f>'2019-20 StepbyStep Allocations'!BP154-'2019-20 StepbyStep Allocations'!BH154-'2019-20 StepbyStep Allocations'!H154-'2019-20 StepbyStep Allocations'!BF154</f>
        <v>45648135.153971933</v>
      </c>
      <c r="F163" s="71">
        <f>'2019-20 StepbyStep Allocations'!F154</f>
        <v>897</v>
      </c>
      <c r="G163" s="72">
        <f>'2019-20 StepbyStep Allocations'!G154</f>
        <v>4000</v>
      </c>
      <c r="H163" s="73">
        <f>'2019-20 StepbyStep Allocations'!H154</f>
        <v>3588000</v>
      </c>
      <c r="I163" s="74">
        <f>'2019-20 StepbyStep Allocations'!BG154</f>
        <v>-208</v>
      </c>
      <c r="J163" s="75">
        <f>'2019-20 StepbyStep Allocations'!BH154</f>
        <v>-1248000</v>
      </c>
      <c r="K163" s="75">
        <f>INDEX('2019-20 StepbyStep Allocations'!$BF$9:$BF$159,MATCH($C163,'2019-20 StepbyStep Allocations'!$C$9:$C$159,0))</f>
        <v>101000</v>
      </c>
      <c r="L163" s="73">
        <f t="shared" si="2"/>
        <v>48089135.153971933</v>
      </c>
      <c r="M163"/>
      <c r="N163"/>
      <c r="O163"/>
    </row>
    <row r="164" spans="2:15" s="29" customFormat="1" ht="15.4" x14ac:dyDescent="0.45">
      <c r="B164" s="76" t="s">
        <v>253</v>
      </c>
      <c r="C164" s="77">
        <v>372</v>
      </c>
      <c r="D164" s="78" t="s">
        <v>265</v>
      </c>
      <c r="E164" s="70">
        <f>'2019-20 StepbyStep Allocations'!BP155-'2019-20 StepbyStep Allocations'!BH155-'2019-20 StepbyStep Allocations'!H155-'2019-20 StepbyStep Allocations'!BF155</f>
        <v>27355912.749746755</v>
      </c>
      <c r="F164" s="71">
        <f>'2019-20 StepbyStep Allocations'!F155</f>
        <v>736</v>
      </c>
      <c r="G164" s="72">
        <f>'2019-20 StepbyStep Allocations'!G155</f>
        <v>4000</v>
      </c>
      <c r="H164" s="73">
        <f>'2019-20 StepbyStep Allocations'!H155</f>
        <v>2944000</v>
      </c>
      <c r="I164" s="74">
        <f>'2019-20 StepbyStep Allocations'!BG155</f>
        <v>49.5</v>
      </c>
      <c r="J164" s="75">
        <f>'2019-20 StepbyStep Allocations'!BH155</f>
        <v>297000</v>
      </c>
      <c r="K164" s="75">
        <f>INDEX('2019-20 StepbyStep Allocations'!$BF$9:$BF$159,MATCH($C164,'2019-20 StepbyStep Allocations'!$C$9:$C$159,0))</f>
        <v>0</v>
      </c>
      <c r="L164" s="73">
        <f t="shared" si="2"/>
        <v>30596912.749746755</v>
      </c>
      <c r="M164"/>
      <c r="N164"/>
      <c r="O164"/>
    </row>
    <row r="165" spans="2:15" s="29" customFormat="1" ht="15.4" x14ac:dyDescent="0.45">
      <c r="B165" s="76" t="s">
        <v>253</v>
      </c>
      <c r="C165" s="77">
        <v>373</v>
      </c>
      <c r="D165" s="78" t="s">
        <v>266</v>
      </c>
      <c r="E165" s="70">
        <f>'2019-20 StepbyStep Allocations'!BP156-'2019-20 StepbyStep Allocations'!BH156-'2019-20 StepbyStep Allocations'!H156-'2019-20 StepbyStep Allocations'!BF156</f>
        <v>49830996.496768802</v>
      </c>
      <c r="F165" s="71">
        <f>'2019-20 StepbyStep Allocations'!F156</f>
        <v>1128</v>
      </c>
      <c r="G165" s="72">
        <f>'2019-20 StepbyStep Allocations'!G156</f>
        <v>4000</v>
      </c>
      <c r="H165" s="73">
        <f>'2019-20 StepbyStep Allocations'!H156</f>
        <v>4512000</v>
      </c>
      <c r="I165" s="74">
        <f>'2019-20 StepbyStep Allocations'!BG156</f>
        <v>-19</v>
      </c>
      <c r="J165" s="75">
        <f>'2019-20 StepbyStep Allocations'!BH156</f>
        <v>-114000</v>
      </c>
      <c r="K165" s="75">
        <f>INDEX('2019-20 StepbyStep Allocations'!$BF$9:$BF$159,MATCH($C165,'2019-20 StepbyStep Allocations'!$C$9:$C$159,0))</f>
        <v>1582670</v>
      </c>
      <c r="L165" s="73">
        <f t="shared" si="2"/>
        <v>55811666.496768802</v>
      </c>
      <c r="M165"/>
      <c r="N165"/>
      <c r="O165"/>
    </row>
    <row r="166" spans="2:15" s="29" customFormat="1" ht="15.4" x14ac:dyDescent="0.45">
      <c r="B166" s="76" t="s">
        <v>253</v>
      </c>
      <c r="C166" s="77">
        <v>384</v>
      </c>
      <c r="D166" s="78" t="s">
        <v>267</v>
      </c>
      <c r="E166" s="70">
        <f>'2019-20 StepbyStep Allocations'!BP157-'2019-20 StepbyStep Allocations'!BH157-'2019-20 StepbyStep Allocations'!H157-'2019-20 StepbyStep Allocations'!BF157</f>
        <v>27169631.375100788</v>
      </c>
      <c r="F166" s="71">
        <f>'2019-20 StepbyStep Allocations'!F157</f>
        <v>515.5</v>
      </c>
      <c r="G166" s="72">
        <f>'2019-20 StepbyStep Allocations'!G157</f>
        <v>4000.971893795554</v>
      </c>
      <c r="H166" s="73">
        <f>'2019-20 StepbyStep Allocations'!H157</f>
        <v>2062501.0112516081</v>
      </c>
      <c r="I166" s="74">
        <f>'2019-20 StepbyStep Allocations'!BG157</f>
        <v>-10</v>
      </c>
      <c r="J166" s="75">
        <f>'2019-20 StepbyStep Allocations'!BH157</f>
        <v>-60000</v>
      </c>
      <c r="K166" s="75">
        <f>INDEX('2019-20 StepbyStep Allocations'!$BF$9:$BF$159,MATCH($C166,'2019-20 StepbyStep Allocations'!$C$9:$C$159,0))</f>
        <v>688696.78</v>
      </c>
      <c r="L166" s="73">
        <f t="shared" si="2"/>
        <v>29860829.166352399</v>
      </c>
      <c r="M166"/>
      <c r="N166"/>
      <c r="O166"/>
    </row>
    <row r="167" spans="2:15" s="29" customFormat="1" ht="15.4" x14ac:dyDescent="0.45">
      <c r="B167" s="76" t="s">
        <v>253</v>
      </c>
      <c r="C167" s="77">
        <v>816</v>
      </c>
      <c r="D167" s="78" t="s">
        <v>268</v>
      </c>
      <c r="E167" s="70">
        <f>'2019-20 StepbyStep Allocations'!BP158-'2019-20 StepbyStep Allocations'!BH158-'2019-20 StepbyStep Allocations'!H158-'2019-20 StepbyStep Allocations'!BF158</f>
        <v>16295789.650187366</v>
      </c>
      <c r="F167" s="71">
        <f>'2019-20 StepbyStep Allocations'!F158</f>
        <v>258</v>
      </c>
      <c r="G167" s="72">
        <f>'2019-20 StepbyStep Allocations'!G158</f>
        <v>4000</v>
      </c>
      <c r="H167" s="73">
        <f>'2019-20 StepbyStep Allocations'!H158</f>
        <v>1032000</v>
      </c>
      <c r="I167" s="74">
        <f>'2019-20 StepbyStep Allocations'!BG158</f>
        <v>213</v>
      </c>
      <c r="J167" s="75">
        <f>'2019-20 StepbyStep Allocations'!BH158</f>
        <v>1278000</v>
      </c>
      <c r="K167" s="75">
        <f>INDEX('2019-20 StepbyStep Allocations'!$BF$9:$BF$159,MATCH($C167,'2019-20 StepbyStep Allocations'!$C$9:$C$159,0))</f>
        <v>218387.25</v>
      </c>
      <c r="L167" s="73">
        <f t="shared" si="2"/>
        <v>18824176.900187366</v>
      </c>
      <c r="M167"/>
      <c r="N167"/>
      <c r="O167"/>
    </row>
    <row r="168" spans="2:15" s="29" customFormat="1" ht="15.75" thickBot="1" x14ac:dyDescent="0.5">
      <c r="B168" s="79" t="s">
        <v>18</v>
      </c>
      <c r="C168" s="80">
        <v>9999</v>
      </c>
      <c r="D168" s="81" t="s">
        <v>18</v>
      </c>
      <c r="E168" s="70">
        <f>'2019-20 StepbyStep Allocations'!BP159-'2019-20 StepbyStep Allocations'!BH159-'2019-20 StepbyStep Allocations'!H159-'2019-20 StepbyStep Allocations'!BF159</f>
        <v>7.4505805969238281E-9</v>
      </c>
      <c r="F168" s="82">
        <f>'2019-20 StepbyStep Allocations'!F159</f>
        <v>7255.3333330000005</v>
      </c>
      <c r="G168" s="83">
        <f>'2019-20 StepbyStep Allocations'!G159</f>
        <v>4000</v>
      </c>
      <c r="H168" s="84">
        <f>'2019-20 StepbyStep Allocations'!H159</f>
        <v>29021333.332000002</v>
      </c>
      <c r="I168" s="85">
        <f>'2019-20 StepbyStep Allocations'!BG159</f>
        <v>7255.3333330000005</v>
      </c>
      <c r="J168" s="86">
        <f>'2019-20 StepbyStep Allocations'!BH159</f>
        <v>43531999.998000003</v>
      </c>
      <c r="K168" s="86">
        <f>INDEX('2019-20 StepbyStep Allocations'!$BF$9:$BF$159,MATCH($C168,'2019-20 StepbyStep Allocations'!$C$9:$C$159,0))</f>
        <v>0</v>
      </c>
      <c r="L168" s="86">
        <f t="shared" si="2"/>
        <v>72553333.330000013</v>
      </c>
      <c r="M168"/>
      <c r="N168" s="27"/>
      <c r="O168" s="27"/>
    </row>
  </sheetData>
  <mergeCells count="10">
    <mergeCell ref="B7:O7"/>
    <mergeCell ref="B8:O8"/>
    <mergeCell ref="E12:L12"/>
    <mergeCell ref="B13:B15"/>
    <mergeCell ref="C13:C15"/>
    <mergeCell ref="D13:D15"/>
    <mergeCell ref="E13:E14"/>
    <mergeCell ref="F13:H13"/>
    <mergeCell ref="L13:L14"/>
    <mergeCell ref="I13:J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0">
    <tabColor theme="4"/>
  </sheetPr>
  <dimension ref="A1:BX161"/>
  <sheetViews>
    <sheetView showGridLines="0" zoomScaleNormal="100" workbookViewId="0"/>
  </sheetViews>
  <sheetFormatPr defaultColWidth="19.1328125" defaultRowHeight="14.25" outlineLevelCol="2" x14ac:dyDescent="0.45"/>
  <cols>
    <col min="1" max="1" width="6.33203125" style="91" customWidth="1"/>
    <col min="2" max="2" width="39.1328125" customWidth="1"/>
    <col min="3" max="3" width="13.53125" customWidth="1"/>
    <col min="4" max="4" width="33.53125" bestFit="1" customWidth="1"/>
    <col min="6" max="6" width="21.1328125" customWidth="1" outlineLevel="1"/>
    <col min="7" max="7" width="19.1328125" customWidth="1" outlineLevel="1"/>
    <col min="9" max="9" width="23.33203125" customWidth="1"/>
    <col min="10" max="11" width="19.1328125" customWidth="1" outlineLevel="1"/>
    <col min="13" max="14" width="19.1328125" customWidth="1" outlineLevel="1"/>
    <col min="16" max="17" width="19.1328125" customWidth="1" outlineLevel="2"/>
    <col min="18" max="18" width="19.1328125" customWidth="1" outlineLevel="1"/>
    <col min="19" max="20" width="19.1328125" customWidth="1" outlineLevel="2"/>
    <col min="21" max="21" width="19.1328125" customWidth="1" outlineLevel="1"/>
    <col min="22" max="23" width="19.1328125" customWidth="1" outlineLevel="2"/>
    <col min="24" max="24" width="19.1328125" customWidth="1" outlineLevel="1"/>
    <col min="25" max="26" width="19.1328125" customWidth="1" outlineLevel="2"/>
    <col min="27" max="27" width="19.1328125" customWidth="1" outlineLevel="1"/>
    <col min="28" max="29" width="19.1328125" customWidth="1" outlineLevel="2"/>
    <col min="30" max="30" width="19.1328125" customWidth="1" outlineLevel="1"/>
    <col min="31" max="32" width="19.1328125" customWidth="1" outlineLevel="2"/>
    <col min="33" max="33" width="19.1328125" customWidth="1" outlineLevel="1"/>
    <col min="34" max="34" width="22.53125" customWidth="1"/>
    <col min="35" max="36" width="19.1328125" customWidth="1" outlineLevel="1"/>
    <col min="38" max="39" width="19.1328125" customWidth="1" outlineLevel="1"/>
    <col min="41" max="41" width="19.1328125" customWidth="1" outlineLevel="1"/>
    <col min="42" max="42" width="20.6640625" customWidth="1" outlineLevel="1"/>
    <col min="44" max="45" width="19.1328125" customWidth="1" outlineLevel="1"/>
    <col min="47" max="47" width="23.53125" bestFit="1" customWidth="1"/>
    <col min="48" max="48" width="23.33203125" customWidth="1" outlineLevel="1"/>
    <col min="49" max="49" width="19.1328125" customWidth="1" outlineLevel="1"/>
    <col min="50" max="55" width="23.33203125" customWidth="1" outlineLevel="1"/>
    <col min="56" max="57" width="23.33203125" customWidth="1"/>
    <col min="58" max="58" width="46" customWidth="1" collapsed="1"/>
    <col min="59" max="59" width="28.6640625" customWidth="1" outlineLevel="1"/>
    <col min="60" max="60" width="20" bestFit="1" customWidth="1"/>
    <col min="61" max="61" width="34" customWidth="1"/>
    <col min="62" max="62" width="25.33203125" customWidth="1"/>
    <col min="63" max="67" width="23.33203125" customWidth="1"/>
    <col min="68" max="70" width="27.33203125" customWidth="1"/>
  </cols>
  <sheetData>
    <row r="1" spans="1:76" ht="25.15" x14ac:dyDescent="0.7">
      <c r="A1" s="325"/>
      <c r="B1" s="331" t="s">
        <v>269</v>
      </c>
      <c r="C1" s="87"/>
      <c r="D1" s="87"/>
      <c r="E1" s="88"/>
      <c r="F1" s="87"/>
      <c r="G1" s="87"/>
      <c r="H1" s="88"/>
      <c r="I1" s="89"/>
      <c r="J1" s="90"/>
      <c r="K1" s="87"/>
      <c r="L1" s="87"/>
      <c r="M1" s="88"/>
      <c r="N1" s="87"/>
      <c r="O1" s="87"/>
      <c r="P1" s="87"/>
      <c r="Q1" s="87"/>
      <c r="R1" s="87"/>
      <c r="S1" s="87"/>
      <c r="T1" s="87"/>
      <c r="U1" s="87"/>
      <c r="V1" s="87"/>
      <c r="W1" s="87"/>
      <c r="X1" s="87"/>
      <c r="Y1" s="88"/>
      <c r="Z1" s="87"/>
      <c r="AA1" s="87"/>
      <c r="AB1" s="88"/>
      <c r="AC1" s="87"/>
      <c r="AD1" s="87"/>
      <c r="AE1" s="88"/>
      <c r="AF1" s="87"/>
      <c r="AG1" s="87"/>
      <c r="AH1" s="88"/>
      <c r="AI1" s="87"/>
      <c r="AJ1" s="87"/>
      <c r="AK1" s="87"/>
      <c r="AL1" s="88"/>
      <c r="AM1" s="88"/>
      <c r="AN1" s="88"/>
      <c r="AO1" s="87"/>
      <c r="AP1" s="87"/>
      <c r="AQ1" s="87"/>
      <c r="AR1" s="87"/>
      <c r="AS1" s="90"/>
      <c r="AT1" s="87"/>
      <c r="AU1" s="87"/>
      <c r="AV1" s="87"/>
      <c r="BB1" s="91"/>
      <c r="BC1" s="91"/>
      <c r="BD1" s="91"/>
      <c r="BE1" s="91"/>
      <c r="BF1" s="87"/>
      <c r="BG1" s="87"/>
      <c r="BH1" s="87"/>
      <c r="BI1" s="87"/>
      <c r="BJ1" s="87"/>
      <c r="BK1" s="87"/>
      <c r="BL1" s="87"/>
      <c r="BM1" s="87"/>
      <c r="BN1" s="92"/>
      <c r="BO1" s="91"/>
      <c r="BP1" s="87"/>
      <c r="BQ1" s="87"/>
      <c r="BR1" s="93"/>
      <c r="BT1" s="94"/>
    </row>
    <row r="2" spans="1:76" ht="27" customHeight="1" x14ac:dyDescent="0.7">
      <c r="A2" s="325"/>
      <c r="B2" s="88"/>
      <c r="C2" s="87"/>
      <c r="D2" s="87"/>
      <c r="E2" s="88"/>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BB2" s="95"/>
      <c r="BC2" s="95"/>
      <c r="BD2" s="95"/>
      <c r="BE2" s="95"/>
      <c r="BF2" s="95"/>
      <c r="BG2" s="95"/>
      <c r="BH2" s="95"/>
      <c r="BI2" s="95"/>
      <c r="BJ2" s="95"/>
      <c r="BK2" s="95"/>
      <c r="BL2" s="95"/>
      <c r="BM2" s="95"/>
      <c r="BN2" s="95"/>
      <c r="BO2" s="95"/>
      <c r="BP2" s="95"/>
      <c r="BQ2" s="95"/>
      <c r="BR2" s="93"/>
      <c r="BT2" s="94"/>
    </row>
    <row r="3" spans="1:76" ht="27" customHeight="1" x14ac:dyDescent="0.7">
      <c r="A3" s="325"/>
      <c r="B3" s="325" t="s">
        <v>270</v>
      </c>
      <c r="C3" s="87"/>
      <c r="D3" s="87"/>
      <c r="E3" s="88"/>
      <c r="F3" s="87"/>
      <c r="G3" s="87"/>
      <c r="H3" s="88"/>
      <c r="I3" s="88"/>
      <c r="J3" s="87"/>
      <c r="K3" s="87"/>
      <c r="L3" s="88"/>
      <c r="M3" s="87"/>
      <c r="N3" s="87"/>
      <c r="O3" s="88"/>
      <c r="P3" s="88"/>
      <c r="Q3" s="88"/>
      <c r="R3" s="96"/>
      <c r="S3" s="88"/>
      <c r="T3" s="88"/>
      <c r="U3" s="97"/>
      <c r="V3" s="88"/>
      <c r="W3" s="88"/>
      <c r="X3" s="97"/>
      <c r="Y3" s="87"/>
      <c r="Z3" s="87"/>
      <c r="AA3" s="97"/>
      <c r="AB3" s="87"/>
      <c r="AC3" s="87"/>
      <c r="AD3" s="97"/>
      <c r="AE3" s="87"/>
      <c r="AF3" s="87"/>
      <c r="AG3" s="95"/>
      <c r="AH3" s="95"/>
      <c r="AI3" s="87"/>
      <c r="AJ3" s="87"/>
      <c r="AK3" s="88"/>
      <c r="AL3" s="87"/>
      <c r="AM3" s="87"/>
      <c r="AN3" s="88"/>
      <c r="AO3" s="87"/>
      <c r="AP3" s="87"/>
      <c r="AQ3" s="88"/>
      <c r="AR3" s="87"/>
      <c r="AS3" s="87"/>
      <c r="AT3" s="88"/>
      <c r="AU3" s="98"/>
      <c r="AV3" s="99"/>
      <c r="BA3" s="99"/>
      <c r="BB3" s="99"/>
      <c r="BC3" s="99"/>
      <c r="BD3" s="99"/>
      <c r="BE3" s="99"/>
      <c r="BF3" s="88"/>
      <c r="BG3" s="100"/>
      <c r="BH3" s="88"/>
      <c r="BI3" s="101"/>
      <c r="BJ3" s="101"/>
      <c r="BK3" s="101"/>
      <c r="BL3" s="101"/>
      <c r="BM3" s="101"/>
      <c r="BP3" s="3"/>
      <c r="BQ3" s="3"/>
      <c r="BR3" s="3"/>
    </row>
    <row r="4" spans="1:76" s="103" customFormat="1" ht="15.75" thickBot="1" x14ac:dyDescent="0.5">
      <c r="A4" s="326"/>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row>
    <row r="5" spans="1:76" ht="78" customHeight="1" thickBot="1" x14ac:dyDescent="0.5">
      <c r="A5" s="327"/>
      <c r="B5" s="104"/>
      <c r="C5" s="105"/>
      <c r="D5" s="106"/>
      <c r="E5" s="107"/>
      <c r="F5" s="426" t="s">
        <v>271</v>
      </c>
      <c r="G5" s="427"/>
      <c r="H5" s="428"/>
      <c r="I5" s="108"/>
      <c r="J5" s="429" t="s">
        <v>272</v>
      </c>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31"/>
      <c r="AU5" s="429" t="s">
        <v>273</v>
      </c>
      <c r="AV5" s="430"/>
      <c r="AW5" s="430"/>
      <c r="AX5" s="430"/>
      <c r="AY5" s="430"/>
      <c r="AZ5" s="430"/>
      <c r="BA5" s="430"/>
      <c r="BB5" s="430"/>
      <c r="BC5" s="430"/>
      <c r="BD5" s="430"/>
      <c r="BE5" s="431"/>
      <c r="BF5" s="330" t="s">
        <v>274</v>
      </c>
      <c r="BG5" s="426" t="s">
        <v>275</v>
      </c>
      <c r="BH5" s="428"/>
      <c r="BI5" s="432" t="s">
        <v>276</v>
      </c>
      <c r="BJ5" s="433"/>
      <c r="BK5" s="433"/>
      <c r="BL5" s="433"/>
      <c r="BM5" s="433"/>
      <c r="BN5" s="433"/>
      <c r="BO5" s="433"/>
      <c r="BP5" s="433"/>
      <c r="BQ5" s="433"/>
      <c r="BR5" s="434"/>
    </row>
    <row r="6" spans="1:76" ht="61.5" customHeight="1" thickBot="1" x14ac:dyDescent="0.5">
      <c r="A6" s="328"/>
      <c r="B6" s="415" t="s">
        <v>277</v>
      </c>
      <c r="C6" s="417" t="s">
        <v>278</v>
      </c>
      <c r="D6" s="419" t="s">
        <v>279</v>
      </c>
      <c r="E6" s="421" t="s">
        <v>280</v>
      </c>
      <c r="F6" s="423" t="s">
        <v>281</v>
      </c>
      <c r="G6" s="424"/>
      <c r="H6" s="425"/>
      <c r="I6" s="438" t="s">
        <v>282</v>
      </c>
      <c r="J6" s="435" t="s">
        <v>283</v>
      </c>
      <c r="K6" s="436"/>
      <c r="L6" s="437"/>
      <c r="M6" s="435" t="s">
        <v>284</v>
      </c>
      <c r="N6" s="436"/>
      <c r="O6" s="437"/>
      <c r="P6" s="435" t="s">
        <v>285</v>
      </c>
      <c r="Q6" s="436"/>
      <c r="R6" s="437"/>
      <c r="S6" s="435" t="s">
        <v>286</v>
      </c>
      <c r="T6" s="436"/>
      <c r="U6" s="437"/>
      <c r="V6" s="435" t="s">
        <v>287</v>
      </c>
      <c r="W6" s="436"/>
      <c r="X6" s="437"/>
      <c r="Y6" s="435" t="s">
        <v>288</v>
      </c>
      <c r="Z6" s="436"/>
      <c r="AA6" s="437"/>
      <c r="AB6" s="435" t="s">
        <v>289</v>
      </c>
      <c r="AC6" s="436"/>
      <c r="AD6" s="437"/>
      <c r="AE6" s="435" t="s">
        <v>290</v>
      </c>
      <c r="AF6" s="436"/>
      <c r="AG6" s="437"/>
      <c r="AH6" s="109" t="s">
        <v>291</v>
      </c>
      <c r="AI6" s="435" t="s">
        <v>292</v>
      </c>
      <c r="AJ6" s="436"/>
      <c r="AK6" s="437"/>
      <c r="AL6" s="435" t="s">
        <v>293</v>
      </c>
      <c r="AM6" s="436"/>
      <c r="AN6" s="437"/>
      <c r="AO6" s="435" t="s">
        <v>294</v>
      </c>
      <c r="AP6" s="436"/>
      <c r="AQ6" s="437"/>
      <c r="AR6" s="435" t="s">
        <v>295</v>
      </c>
      <c r="AS6" s="436"/>
      <c r="AT6" s="437"/>
      <c r="AU6" s="421" t="s">
        <v>296</v>
      </c>
      <c r="AV6" s="435" t="s">
        <v>297</v>
      </c>
      <c r="AW6" s="436"/>
      <c r="AX6" s="436"/>
      <c r="AY6" s="436"/>
      <c r="AZ6" s="436"/>
      <c r="BA6" s="436"/>
      <c r="BB6" s="436"/>
      <c r="BC6" s="436"/>
      <c r="BD6" s="437"/>
      <c r="BE6" s="421" t="s">
        <v>298</v>
      </c>
      <c r="BF6" s="109" t="s">
        <v>299</v>
      </c>
      <c r="BG6" s="423" t="s">
        <v>300</v>
      </c>
      <c r="BH6" s="425"/>
      <c r="BI6" s="421" t="s">
        <v>301</v>
      </c>
      <c r="BJ6" s="421" t="s">
        <v>302</v>
      </c>
      <c r="BK6" s="421" t="s">
        <v>303</v>
      </c>
      <c r="BL6" s="436"/>
      <c r="BM6" s="436"/>
      <c r="BN6" s="436"/>
      <c r="BO6" s="436"/>
      <c r="BP6" s="436"/>
      <c r="BQ6" s="436"/>
      <c r="BR6" s="437"/>
    </row>
    <row r="7" spans="1:76" ht="114.75" customHeight="1" thickBot="1" x14ac:dyDescent="0.5">
      <c r="A7" s="328"/>
      <c r="B7" s="416"/>
      <c r="C7" s="418"/>
      <c r="D7" s="420"/>
      <c r="E7" s="422"/>
      <c r="F7" s="49" t="s">
        <v>304</v>
      </c>
      <c r="G7" s="49" t="s">
        <v>305</v>
      </c>
      <c r="H7" s="110" t="s">
        <v>306</v>
      </c>
      <c r="I7" s="439"/>
      <c r="J7" s="111" t="s">
        <v>307</v>
      </c>
      <c r="K7" s="112" t="s">
        <v>308</v>
      </c>
      <c r="L7" s="113" t="s">
        <v>452</v>
      </c>
      <c r="M7" s="111" t="s">
        <v>309</v>
      </c>
      <c r="N7" s="112" t="s">
        <v>310</v>
      </c>
      <c r="O7" s="113" t="s">
        <v>453</v>
      </c>
      <c r="P7" s="111" t="s">
        <v>311</v>
      </c>
      <c r="Q7" s="112" t="s">
        <v>312</v>
      </c>
      <c r="R7" s="113" t="s">
        <v>454</v>
      </c>
      <c r="S7" s="111" t="s">
        <v>313</v>
      </c>
      <c r="T7" s="112" t="s">
        <v>314</v>
      </c>
      <c r="U7" s="113" t="s">
        <v>455</v>
      </c>
      <c r="V7" s="111" t="s">
        <v>315</v>
      </c>
      <c r="W7" s="112" t="s">
        <v>316</v>
      </c>
      <c r="X7" s="113" t="s">
        <v>456</v>
      </c>
      <c r="Y7" s="111" t="s">
        <v>317</v>
      </c>
      <c r="Z7" s="112" t="s">
        <v>318</v>
      </c>
      <c r="AA7" s="113" t="s">
        <v>457</v>
      </c>
      <c r="AB7" s="111" t="s">
        <v>319</v>
      </c>
      <c r="AC7" s="112" t="s">
        <v>320</v>
      </c>
      <c r="AD7" s="113" t="s">
        <v>458</v>
      </c>
      <c r="AE7" s="111" t="s">
        <v>321</v>
      </c>
      <c r="AF7" s="112" t="s">
        <v>322</v>
      </c>
      <c r="AG7" s="113" t="s">
        <v>459</v>
      </c>
      <c r="AH7" s="114" t="s">
        <v>460</v>
      </c>
      <c r="AI7" s="111" t="s">
        <v>323</v>
      </c>
      <c r="AJ7" s="112" t="s">
        <v>324</v>
      </c>
      <c r="AK7" s="113" t="s">
        <v>461</v>
      </c>
      <c r="AL7" s="111" t="s">
        <v>325</v>
      </c>
      <c r="AM7" s="112" t="s">
        <v>326</v>
      </c>
      <c r="AN7" s="113" t="s">
        <v>462</v>
      </c>
      <c r="AO7" s="111" t="s">
        <v>327</v>
      </c>
      <c r="AP7" s="112" t="s">
        <v>328</v>
      </c>
      <c r="AQ7" s="113" t="s">
        <v>463</v>
      </c>
      <c r="AR7" s="111" t="s">
        <v>329</v>
      </c>
      <c r="AS7" s="112" t="s">
        <v>330</v>
      </c>
      <c r="AT7" s="113" t="s">
        <v>464</v>
      </c>
      <c r="AU7" s="422"/>
      <c r="AV7" s="112" t="s">
        <v>331</v>
      </c>
      <c r="AW7" s="112" t="s">
        <v>332</v>
      </c>
      <c r="AX7" s="112" t="s">
        <v>333</v>
      </c>
      <c r="AY7" s="112" t="s">
        <v>334</v>
      </c>
      <c r="AZ7" s="112" t="s">
        <v>335</v>
      </c>
      <c r="BA7" s="112" t="s">
        <v>336</v>
      </c>
      <c r="BB7" s="112" t="s">
        <v>337</v>
      </c>
      <c r="BC7" s="115" t="s">
        <v>338</v>
      </c>
      <c r="BD7" s="113" t="s">
        <v>339</v>
      </c>
      <c r="BE7" s="422"/>
      <c r="BF7" s="113" t="s">
        <v>500</v>
      </c>
      <c r="BG7" s="116" t="s">
        <v>340</v>
      </c>
      <c r="BH7" s="117" t="s">
        <v>341</v>
      </c>
      <c r="BI7" s="422"/>
      <c r="BJ7" s="422"/>
      <c r="BK7" s="422"/>
      <c r="BL7" s="118" t="s">
        <v>342</v>
      </c>
      <c r="BM7" s="118" t="s">
        <v>343</v>
      </c>
      <c r="BN7" s="118" t="s">
        <v>344</v>
      </c>
      <c r="BO7" s="119" t="s">
        <v>345</v>
      </c>
      <c r="BP7" s="120" t="s">
        <v>346</v>
      </c>
      <c r="BQ7" s="120" t="s">
        <v>347</v>
      </c>
      <c r="BR7" s="120" t="s">
        <v>348</v>
      </c>
      <c r="BT7" s="121"/>
    </row>
    <row r="8" spans="1:76" ht="15.75" thickBot="1" x14ac:dyDescent="0.5">
      <c r="A8" s="329"/>
      <c r="B8" s="122" t="s">
        <v>107</v>
      </c>
      <c r="C8" s="123"/>
      <c r="D8" s="124"/>
      <c r="E8" s="125"/>
      <c r="F8" s="126">
        <f>SUM(F9:F159)</f>
        <v>129283.166666</v>
      </c>
      <c r="G8" s="127"/>
      <c r="H8" s="128">
        <f>SUM(H9:H159)</f>
        <v>531671452.31881684</v>
      </c>
      <c r="I8" s="128">
        <f>SUM(I9:I159)</f>
        <v>2666405634.2213273</v>
      </c>
      <c r="J8" s="129">
        <f>SUM(J9:J159)</f>
        <v>11361122.655999994</v>
      </c>
      <c r="K8" s="130">
        <f t="shared" ref="K8:AS8" si="0">SUM(K9:K159)</f>
        <v>11736178.193828801</v>
      </c>
      <c r="L8" s="128">
        <f>'National Details'!E28</f>
        <v>1375169162.4661326</v>
      </c>
      <c r="M8" s="131">
        <f t="shared" si="0"/>
        <v>1084704.8333310001</v>
      </c>
      <c r="N8" s="130">
        <f t="shared" si="0"/>
        <v>1121056.1506654089</v>
      </c>
      <c r="O8" s="128">
        <f>'National Details'!E29</f>
        <v>275033832.49322653</v>
      </c>
      <c r="P8" s="131">
        <f t="shared" si="0"/>
        <v>1092350</v>
      </c>
      <c r="Q8" s="129">
        <f>SUM(Q9:Q159)</f>
        <v>1131091.6400876367</v>
      </c>
      <c r="R8" s="132">
        <f>'National Details'!E30*14%</f>
        <v>38504736.549051717</v>
      </c>
      <c r="S8" s="131">
        <f t="shared" si="0"/>
        <v>955455</v>
      </c>
      <c r="T8" s="129">
        <f t="shared" si="0"/>
        <v>995311.8870965665</v>
      </c>
      <c r="U8" s="132">
        <f>'National Details'!E30*16%</f>
        <v>44005413.198916249</v>
      </c>
      <c r="V8" s="131">
        <f t="shared" si="0"/>
        <v>809776</v>
      </c>
      <c r="W8" s="129">
        <f t="shared" si="0"/>
        <v>843768.37945033831</v>
      </c>
      <c r="X8" s="132">
        <f>'National Details'!$E30*18.5%</f>
        <v>50881259.011246905</v>
      </c>
      <c r="Y8" s="131">
        <f t="shared" si="0"/>
        <v>690413</v>
      </c>
      <c r="Z8" s="129">
        <f t="shared" si="0"/>
        <v>724886.11992410396</v>
      </c>
      <c r="AA8" s="132">
        <f>'National Details'!$E30*17%</f>
        <v>46755751.523848511</v>
      </c>
      <c r="AB8" s="131">
        <f t="shared" si="0"/>
        <v>857967</v>
      </c>
      <c r="AC8" s="129">
        <f t="shared" si="0"/>
        <v>895607.03204954206</v>
      </c>
      <c r="AD8" s="132">
        <f>'National Details'!$E30*23%</f>
        <v>63257781.473442107</v>
      </c>
      <c r="AE8" s="131">
        <f t="shared" si="0"/>
        <v>323570</v>
      </c>
      <c r="AF8" s="129">
        <f t="shared" si="0"/>
        <v>330929.45579259295</v>
      </c>
      <c r="AG8" s="132">
        <f>'National Details'!$E30*11.5%</f>
        <v>31628890.736721054</v>
      </c>
      <c r="AH8" s="128">
        <f t="shared" si="0"/>
        <v>275033832.49322665</v>
      </c>
      <c r="AI8" s="131">
        <f t="shared" si="0"/>
        <v>64495</v>
      </c>
      <c r="AJ8" s="129">
        <f t="shared" si="0"/>
        <v>66833.709017144749</v>
      </c>
      <c r="AK8" s="128">
        <f>'National Details'!E31</f>
        <v>206275374.3699199</v>
      </c>
      <c r="AL8" s="131">
        <f t="shared" si="0"/>
        <v>393500</v>
      </c>
      <c r="AM8" s="129">
        <f t="shared" si="0"/>
        <v>404688.58967749856</v>
      </c>
      <c r="AN8" s="128">
        <f>'National Details'!E32</f>
        <v>206275374.3699199</v>
      </c>
      <c r="AO8" s="131">
        <f t="shared" si="0"/>
        <v>114045</v>
      </c>
      <c r="AP8" s="129">
        <f t="shared" si="0"/>
        <v>117111.46923532838</v>
      </c>
      <c r="AQ8" s="128">
        <f>'National Details'!E33</f>
        <v>206275374.3699199</v>
      </c>
      <c r="AR8" s="131">
        <f t="shared" si="0"/>
        <v>139147</v>
      </c>
      <c r="AS8" s="129">
        <f t="shared" si="0"/>
        <v>142587.39483539367</v>
      </c>
      <c r="AT8" s="128">
        <f>'National Details'!E34</f>
        <v>206275374.3699199</v>
      </c>
      <c r="AU8" s="128">
        <f>SUM(AU9:AU159)</f>
        <v>5416743959.153594</v>
      </c>
      <c r="AV8" s="133">
        <f>SUM(AV9:AV159)</f>
        <v>5332811268.4426546</v>
      </c>
      <c r="AW8" s="134">
        <f>SUM(AW9:AW159)</f>
        <v>11179540.998999998</v>
      </c>
      <c r="AX8" s="127"/>
      <c r="AY8" s="127"/>
      <c r="AZ8" s="127"/>
      <c r="BA8" s="127"/>
      <c r="BB8" s="133">
        <f>SUM(BB9:BB159)</f>
        <v>238025849.69657663</v>
      </c>
      <c r="BC8" s="133">
        <f>SUM(BC9:BC159)</f>
        <v>3681.9570994675159</v>
      </c>
      <c r="BD8" s="128">
        <f>SUM(BD9:BD159)</f>
        <v>238029531.65367609</v>
      </c>
      <c r="BE8" s="128">
        <f t="shared" ref="BE8:BF8" si="1">SUM(BE9:BE159)</f>
        <v>5654773490.8072729</v>
      </c>
      <c r="BF8" s="128">
        <f t="shared" si="1"/>
        <v>75725508.016653463</v>
      </c>
      <c r="BG8" s="127"/>
      <c r="BH8" s="135"/>
      <c r="BI8" s="136">
        <f>SUM(BI9:BI159)</f>
        <v>5915603862.5010681</v>
      </c>
      <c r="BJ8" s="128">
        <f t="shared" ref="BJ8:BJ72" si="2">H8 + BE8 + BF8 + BH8</f>
        <v>6262170451.1427431</v>
      </c>
      <c r="BK8" s="137">
        <f>BJ8/BI8-1</f>
        <v>5.8585158285962224E-2</v>
      </c>
      <c r="BL8" s="127"/>
      <c r="BM8" s="127"/>
      <c r="BN8" s="127"/>
      <c r="BO8" s="133">
        <f>SUM(BO9:BO159)</f>
        <v>5571657034.5269156</v>
      </c>
      <c r="BP8" s="128">
        <f>SUM(BP9:BP159)</f>
        <v>6179083994.8623819</v>
      </c>
      <c r="BQ8" s="133">
        <f>SUM(BQ9:BQ159)</f>
        <v>6059622722.1969318</v>
      </c>
      <c r="BR8" s="138">
        <f t="shared" ref="BR8:BR39" si="3">BP8/BQ8-1</f>
        <v>1.9714308652889034E-2</v>
      </c>
    </row>
    <row r="9" spans="1:76" ht="15.75" customHeight="1" x14ac:dyDescent="0.45">
      <c r="A9" s="139" t="s">
        <v>183</v>
      </c>
      <c r="B9" s="140" t="s">
        <v>109</v>
      </c>
      <c r="C9" s="102">
        <v>831</v>
      </c>
      <c r="D9" s="141" t="s">
        <v>110</v>
      </c>
      <c r="E9" s="348">
        <v>1</v>
      </c>
      <c r="F9" s="142">
        <v>669</v>
      </c>
      <c r="G9" s="143">
        <f>E9*4000</f>
        <v>4000</v>
      </c>
      <c r="H9" s="144">
        <f>F9*G9</f>
        <v>2676000</v>
      </c>
      <c r="I9" s="144">
        <f>INDEX('Baselines+Historic Spend Factor'!$Q$9:$Q$159,MATCH(C9,'Baselines+Historic Spend Factor'!$C$9:$C$159,0))</f>
        <v>15647028.42574019</v>
      </c>
      <c r="J9" s="142">
        <v>56837.425999999999</v>
      </c>
      <c r="K9" s="145">
        <f>E9*J9</f>
        <v>56837.425999999999</v>
      </c>
      <c r="L9" s="144">
        <f>K9/K$8*L$8</f>
        <v>6659840.5561232865</v>
      </c>
      <c r="M9" s="142">
        <v>6629</v>
      </c>
      <c r="N9" s="145">
        <f>M9*$E9</f>
        <v>6629</v>
      </c>
      <c r="O9" s="144">
        <f>N9/N$8*O$8</f>
        <v>1626322.8871412273</v>
      </c>
      <c r="P9" s="146">
        <v>5542</v>
      </c>
      <c r="Q9" s="145">
        <f>P9*$E9</f>
        <v>5542</v>
      </c>
      <c r="R9" s="147">
        <f>Q9/Q$8*R$8</f>
        <v>188661.32715675535</v>
      </c>
      <c r="S9" s="146">
        <v>4716</v>
      </c>
      <c r="T9" s="145">
        <f>S9*$E9</f>
        <v>4716</v>
      </c>
      <c r="U9" s="147">
        <f>T9/T$8*U$8</f>
        <v>208507.03315869696</v>
      </c>
      <c r="V9" s="146">
        <v>5346</v>
      </c>
      <c r="W9" s="145">
        <f>V9*$E9</f>
        <v>5346</v>
      </c>
      <c r="X9" s="147">
        <f>W9/W$8*X$8</f>
        <v>322376.63474818057</v>
      </c>
      <c r="Y9" s="146">
        <v>6746</v>
      </c>
      <c r="Z9" s="145">
        <f>Y9*$E9</f>
        <v>6746</v>
      </c>
      <c r="AA9" s="147">
        <f>Z9/Z$8*AA$8</f>
        <v>435122.55388874892</v>
      </c>
      <c r="AB9" s="146">
        <v>8321</v>
      </c>
      <c r="AC9" s="145">
        <f>AB9*$E9</f>
        <v>8321</v>
      </c>
      <c r="AD9" s="147">
        <f>AC9/AC$8*AD$8</f>
        <v>587722.048626562</v>
      </c>
      <c r="AE9" s="146">
        <v>2851</v>
      </c>
      <c r="AF9" s="145">
        <f>AE9*$E9</f>
        <v>2851</v>
      </c>
      <c r="AG9" s="147">
        <f>AF9/AF$8*AG$8</f>
        <v>272486.9784541254</v>
      </c>
      <c r="AH9" s="144">
        <f>AG9+AD9+AA9+X9+U9+R9</f>
        <v>2014876.5760330693</v>
      </c>
      <c r="AI9" s="142">
        <v>341</v>
      </c>
      <c r="AJ9" s="145">
        <f>AI9*$E9</f>
        <v>341</v>
      </c>
      <c r="AK9" s="147">
        <f>AJ9/AJ$8*AK$8</f>
        <v>1052461.4553727445</v>
      </c>
      <c r="AL9" s="142">
        <v>2240</v>
      </c>
      <c r="AM9" s="145">
        <f>AL9*$E9</f>
        <v>2240</v>
      </c>
      <c r="AN9" s="147">
        <f>AM9/AM$8*AN$8</f>
        <v>1141758.9978428585</v>
      </c>
      <c r="AO9" s="142">
        <v>900</v>
      </c>
      <c r="AP9" s="145">
        <f>AO9*$E9</f>
        <v>900</v>
      </c>
      <c r="AQ9" s="147">
        <f>(AP9/AP$8)*AQ$8</f>
        <v>1585223.3615127811</v>
      </c>
      <c r="AR9" s="142">
        <v>948</v>
      </c>
      <c r="AS9" s="145">
        <f>AR9*$E9</f>
        <v>948</v>
      </c>
      <c r="AT9" s="147">
        <f>(AS9/AS$8)*AT$8</f>
        <v>1371432.9736399953</v>
      </c>
      <c r="AU9" s="144">
        <f>I9+L9+O9+AH9+AK9+AN9+AQ9+AT9</f>
        <v>31098945.233406153</v>
      </c>
      <c r="AV9" s="148">
        <f>INDEX('Baselines+Historic Spend Factor'!P$9:P$159,MATCH('2019-20 StepbyStep Allocations'!C9,'Baselines+Historic Spend Factor'!C$9:C$159,0))</f>
        <v>31294056.85148038</v>
      </c>
      <c r="AW9" s="149">
        <v>56135.815000000002</v>
      </c>
      <c r="AX9" s="150">
        <f>AV9/AW9</f>
        <v>557.47042866448771</v>
      </c>
      <c r="AY9" s="148">
        <f>AX9*(100%+1%)</f>
        <v>563.04513295113259</v>
      </c>
      <c r="AZ9" s="148">
        <f>AU9/J9</f>
        <v>547.1561156447541</v>
      </c>
      <c r="BA9" s="148">
        <f>MAX(AY9,AZ9)</f>
        <v>563.04513295113259</v>
      </c>
      <c r="BB9" s="151">
        <f>(BA9-AZ9)*J9</f>
        <v>903090.84536400682</v>
      </c>
      <c r="BC9" s="148">
        <f>MAX(AV9-BA9*J9,0)</f>
        <v>0</v>
      </c>
      <c r="BD9" s="144">
        <f>BB9+BC9</f>
        <v>903090.84536400682</v>
      </c>
      <c r="BE9" s="144">
        <f t="shared" ref="BE9:BE72" si="4">BA9*J9+BC9</f>
        <v>32002036.078770161</v>
      </c>
      <c r="BF9" s="144">
        <f>INDEX('Hospital Education Funding'!$G$9:$G$159,MATCH(C9,'Hospital Education Funding'!$C$9:$C$158,0))</f>
        <v>252214.17</v>
      </c>
      <c r="BG9" s="152">
        <f>INDEX('Import|Export Adjustments Data'!$Q$9:$Q$159,MATCH('2019-20 StepbyStep Allocations'!$C9,'Import|Export Adjustments Data'!$C$9:$C$159,0))</f>
        <v>41</v>
      </c>
      <c r="BH9" s="144">
        <f>BG9*6000</f>
        <v>246000</v>
      </c>
      <c r="BI9" s="153">
        <f>INDEX('Baselines+Historic Spend Factor'!$F$9:$F$159,MATCH('2019-20 StepbyStep Allocations'!C9,'Baselines+Historic Spend Factor'!C$9:C$159,0))-INDEX('Baselines+Historic Spend Factor'!$G$9:$G$159,MATCH('2019-20 StepbyStep Allocations'!C9,'Baselines+Historic Spend Factor'!C$9:C$159,0))</f>
        <v>34177773.85148038</v>
      </c>
      <c r="BJ9" s="154">
        <f t="shared" si="2"/>
        <v>35176250.248770162</v>
      </c>
      <c r="BK9" s="155">
        <f>BJ9/BI9-1</f>
        <v>2.9214202236478748E-2</v>
      </c>
      <c r="BL9" s="156">
        <f>AX9</f>
        <v>557.47042866448771</v>
      </c>
      <c r="BM9" s="148">
        <f t="shared" ref="BM9:BM72" si="5">BA9</f>
        <v>563.04513295113259</v>
      </c>
      <c r="BN9" s="148">
        <f>MIN(BL9*(100% + 6.09%), BM9)</f>
        <v>563.04513295113259</v>
      </c>
      <c r="BO9" s="148">
        <f t="shared" ref="BO9:BO72" si="6">BN9*J9+BC9</f>
        <v>32002036.078770161</v>
      </c>
      <c r="BP9" s="144">
        <f t="shared" ref="BP9:BP72" si="7">H9 + BF9 + BH9 + BO9</f>
        <v>35176250.248770162</v>
      </c>
      <c r="BQ9" s="148">
        <v>34804415.293767944</v>
      </c>
      <c r="BR9" s="157">
        <f t="shared" si="3"/>
        <v>1.0683557010331413E-2</v>
      </c>
      <c r="BT9" s="94"/>
      <c r="BU9" s="158"/>
      <c r="BX9" s="94"/>
    </row>
    <row r="10" spans="1:76" ht="15.4" x14ac:dyDescent="0.45">
      <c r="A10" s="139" t="s">
        <v>184</v>
      </c>
      <c r="B10" s="140" t="s">
        <v>109</v>
      </c>
      <c r="C10" s="102">
        <v>830</v>
      </c>
      <c r="D10" s="141" t="s">
        <v>111</v>
      </c>
      <c r="E10" s="348">
        <v>1</v>
      </c>
      <c r="F10" s="142">
        <v>944</v>
      </c>
      <c r="G10" s="143">
        <f t="shared" ref="G10:G73" si="8">E10*4000</f>
        <v>4000</v>
      </c>
      <c r="H10" s="144">
        <f t="shared" ref="H10:H73" si="9">F10*G10</f>
        <v>3776000</v>
      </c>
      <c r="I10" s="144">
        <f>INDEX('Baselines+Historic Spend Factor'!$Q$9:$Q$159,MATCH(C10,'Baselines+Historic Spend Factor'!$C$9:$C$159,0))</f>
        <v>33031554.490738556</v>
      </c>
      <c r="J10" s="142">
        <v>145415.28700000001</v>
      </c>
      <c r="K10" s="145">
        <f t="shared" ref="K10:K73" si="10">E10*J10</f>
        <v>145415.28700000001</v>
      </c>
      <c r="L10" s="144">
        <f t="shared" ref="L10:L73" si="11">K10/K$8*L$8</f>
        <v>17038819.207662702</v>
      </c>
      <c r="M10" s="142">
        <v>13609</v>
      </c>
      <c r="N10" s="145">
        <f t="shared" ref="N10:N73" si="12">M10*$E10</f>
        <v>13609</v>
      </c>
      <c r="O10" s="144">
        <f t="shared" ref="O10:O73" si="13">N10/N$8*O$8</f>
        <v>3338758.2095497004</v>
      </c>
      <c r="P10" s="142">
        <v>15220</v>
      </c>
      <c r="Q10" s="145">
        <f t="shared" ref="Q10:Q73" si="14">P10*$E10</f>
        <v>15220</v>
      </c>
      <c r="R10" s="147">
        <f t="shared" ref="R10:R73" si="15">Q10/Q$8*R$8</f>
        <v>518120.78659794602</v>
      </c>
      <c r="S10" s="142">
        <v>7604</v>
      </c>
      <c r="T10" s="145">
        <f t="shared" ref="T10:T73" si="16">S10*$E10</f>
        <v>7604</v>
      </c>
      <c r="U10" s="147">
        <f t="shared" ref="U10:U73" si="17">T10/T$8*U$8</f>
        <v>336193.27399040113</v>
      </c>
      <c r="V10" s="142">
        <v>8964</v>
      </c>
      <c r="W10" s="145">
        <f t="shared" ref="W10:W73" si="18">V10*$E10</f>
        <v>8964</v>
      </c>
      <c r="X10" s="147">
        <f t="shared" ref="X10:X73" si="19">W10/W$8*X$8</f>
        <v>540550.7208908886</v>
      </c>
      <c r="Y10" s="142">
        <v>8378</v>
      </c>
      <c r="Z10" s="145">
        <f t="shared" ref="Z10:Z73" si="20">Y10*$E10</f>
        <v>8378</v>
      </c>
      <c r="AA10" s="147">
        <f t="shared" ref="AA10:AA73" si="21">Z10/Z$8*AA$8</f>
        <v>540387.89749183797</v>
      </c>
      <c r="AB10" s="142">
        <v>8172</v>
      </c>
      <c r="AC10" s="145">
        <f t="shared" ref="AC10:AC73" si="22">AB10*$E10</f>
        <v>8172</v>
      </c>
      <c r="AD10" s="147">
        <f t="shared" ref="AD10:AD73" si="23">AC10/AC$8*AD$8</f>
        <v>577198.0028093094</v>
      </c>
      <c r="AE10" s="142">
        <v>780</v>
      </c>
      <c r="AF10" s="145">
        <f t="shared" ref="AF10:AF73" si="24">AE10*$E10</f>
        <v>780</v>
      </c>
      <c r="AG10" s="147">
        <f t="shared" ref="AG10:AG73" si="25">AF10/AF$8*AG$8</f>
        <v>74549.225953776855</v>
      </c>
      <c r="AH10" s="144">
        <f t="shared" ref="AH10:AH73" si="26">AG10+AD10+AA10+X10+U10+R10</f>
        <v>2586999.9077341598</v>
      </c>
      <c r="AI10" s="142">
        <v>670</v>
      </c>
      <c r="AJ10" s="145">
        <f t="shared" ref="AJ10:AJ73" si="27">AI10*$E10</f>
        <v>670</v>
      </c>
      <c r="AK10" s="147">
        <f t="shared" ref="AK10:AK73" si="28">AJ10/AJ$8*AK$8</f>
        <v>2067886.1439875038</v>
      </c>
      <c r="AL10" s="142">
        <v>5250</v>
      </c>
      <c r="AM10" s="145">
        <f t="shared" ref="AM10:AM73" si="29">AL10*$E10</f>
        <v>5250</v>
      </c>
      <c r="AN10" s="147">
        <f t="shared" ref="AN10:AN73" si="30">AM10/AM$8*AN$8</f>
        <v>2675997.6511941999</v>
      </c>
      <c r="AO10" s="142">
        <v>1426</v>
      </c>
      <c r="AP10" s="145">
        <f t="shared" ref="AP10:AP73" si="31">AO10*$E10</f>
        <v>1426</v>
      </c>
      <c r="AQ10" s="147">
        <f t="shared" ref="AQ10:AQ73" si="32">(AP10/AP$8)*AQ$8</f>
        <v>2511698.3483524732</v>
      </c>
      <c r="AR10" s="142">
        <v>1824</v>
      </c>
      <c r="AS10" s="145">
        <f t="shared" ref="AS10:AS73" si="33">AR10*$E10</f>
        <v>1824</v>
      </c>
      <c r="AT10" s="147">
        <f t="shared" ref="AT10:AT73" si="34">(AS10/AS$8)*AT$8</f>
        <v>2638706.4809275861</v>
      </c>
      <c r="AU10" s="144">
        <f t="shared" ref="AU10:AU73" si="35">I10+L10+O10+AH10+AK10+AN10+AQ10+AT10</f>
        <v>65890420.440146893</v>
      </c>
      <c r="AV10" s="148">
        <f>INDEX('Baselines+Historic Spend Factor'!P$9:P$159,MATCH('2019-20 StepbyStep Allocations'!C10,'Baselines+Historic Spend Factor'!C$9:C$159,0))</f>
        <v>66063108.981477112</v>
      </c>
      <c r="AW10" s="149">
        <v>145887.253</v>
      </c>
      <c r="AX10" s="150">
        <f t="shared" ref="AX10:AX73" si="36">AV10/AW10</f>
        <v>452.83674634326763</v>
      </c>
      <c r="AY10" s="148">
        <f t="shared" ref="AY10:AY73" si="37">AX10*(100%+1%)</f>
        <v>457.36511380670032</v>
      </c>
      <c r="AZ10" s="148">
        <f t="shared" ref="AZ10:AZ73" si="38">AU10/J10</f>
        <v>453.11893817702185</v>
      </c>
      <c r="BA10" s="148">
        <f t="shared" ref="BA10:BA73" si="39">MAX(AY10,AZ10)</f>
        <v>457.36511380670032</v>
      </c>
      <c r="BB10" s="151">
        <f t="shared" ref="BB10:BB73" si="40">(BA10-AZ10)*J10</f>
        <v>617458.84784210124</v>
      </c>
      <c r="BC10" s="148">
        <f t="shared" ref="BC10:BC73" si="41">MAX(AV10-BA10*J10,0)</f>
        <v>0</v>
      </c>
      <c r="BD10" s="144">
        <f t="shared" ref="BD10:BD73" si="42">BB10+BC10</f>
        <v>617458.84784210124</v>
      </c>
      <c r="BE10" s="144">
        <f t="shared" si="4"/>
        <v>66507879.287988998</v>
      </c>
      <c r="BF10" s="144">
        <f>INDEX('Hospital Education Funding'!$G$9:$G$159,MATCH(C10,'Hospital Education Funding'!$C$9:$C$158,0))</f>
        <v>50500</v>
      </c>
      <c r="BG10" s="152">
        <f>INDEX('Import|Export Adjustments Data'!$Q$9:$Q$159,MATCH('2019-20 StepbyStep Allocations'!$C10,'Import|Export Adjustments Data'!$C$9:$C$159,0))</f>
        <v>-313</v>
      </c>
      <c r="BH10" s="144">
        <f t="shared" ref="BH10:BH73" si="43">BG10*6000</f>
        <v>-1878000</v>
      </c>
      <c r="BI10" s="153">
        <f>INDEX('Baselines+Historic Spend Factor'!$F$9:$F$159,MATCH('2019-20 StepbyStep Allocations'!C10,'Baselines+Historic Spend Factor'!C$9:C$159,0))-INDEX('Baselines+Historic Spend Factor'!$G$9:$G$159,MATCH('2019-20 StepbyStep Allocations'!C10,'Baselines+Historic Spend Factor'!C$9:C$159,0))</f>
        <v>68355108.981477112</v>
      </c>
      <c r="BJ10" s="154">
        <f t="shared" si="2"/>
        <v>68456379.287988991</v>
      </c>
      <c r="BK10" s="155">
        <f t="shared" ref="BK10:BK73" si="44">BJ10/BI10-1</f>
        <v>1.4815323685508641E-3</v>
      </c>
      <c r="BL10" s="156">
        <f t="shared" ref="BL10:BL73" si="45">AX10</f>
        <v>452.83674634326763</v>
      </c>
      <c r="BM10" s="148">
        <f t="shared" si="5"/>
        <v>457.36511380670032</v>
      </c>
      <c r="BN10" s="148">
        <f t="shared" ref="BN10:BN73" si="46">MIN(BL10*(100% + 6.09%), BM10)</f>
        <v>457.36511380670032</v>
      </c>
      <c r="BO10" s="148">
        <f t="shared" si="6"/>
        <v>66507879.287988998</v>
      </c>
      <c r="BP10" s="144">
        <f t="shared" si="7"/>
        <v>68456379.287988991</v>
      </c>
      <c r="BQ10" s="148">
        <v>68217871.067209721</v>
      </c>
      <c r="BR10" s="157">
        <f t="shared" si="3"/>
        <v>3.4962718280124871E-3</v>
      </c>
      <c r="BT10" s="94"/>
      <c r="BU10" s="158"/>
      <c r="BX10" s="94"/>
    </row>
    <row r="11" spans="1:76" ht="15.4" x14ac:dyDescent="0.45">
      <c r="A11" s="139" t="s">
        <v>254</v>
      </c>
      <c r="B11" s="140" t="s">
        <v>109</v>
      </c>
      <c r="C11" s="102">
        <v>856</v>
      </c>
      <c r="D11" s="141" t="s">
        <v>112</v>
      </c>
      <c r="E11" s="348">
        <v>1</v>
      </c>
      <c r="F11" s="142">
        <v>1047</v>
      </c>
      <c r="G11" s="143">
        <f t="shared" si="8"/>
        <v>4000</v>
      </c>
      <c r="H11" s="144">
        <f t="shared" si="9"/>
        <v>4188000</v>
      </c>
      <c r="I11" s="144">
        <f>INDEX('Baselines+Historic Spend Factor'!$Q$9:$Q$159,MATCH(C11,'Baselines+Historic Spend Factor'!$C$9:$C$159,0))</f>
        <v>21035562.052490015</v>
      </c>
      <c r="J11" s="142">
        <v>80578.794000000009</v>
      </c>
      <c r="K11" s="145">
        <f t="shared" si="10"/>
        <v>80578.794000000009</v>
      </c>
      <c r="L11" s="144">
        <f t="shared" si="11"/>
        <v>9441699.9152055867</v>
      </c>
      <c r="M11" s="142">
        <v>9119</v>
      </c>
      <c r="N11" s="145">
        <f t="shared" si="12"/>
        <v>9119</v>
      </c>
      <c r="O11" s="144">
        <f t="shared" si="13"/>
        <v>2237205.9749345076</v>
      </c>
      <c r="P11" s="142">
        <v>9495</v>
      </c>
      <c r="Q11" s="145">
        <f t="shared" si="14"/>
        <v>9495</v>
      </c>
      <c r="R11" s="147">
        <f t="shared" si="15"/>
        <v>323229.75484543346</v>
      </c>
      <c r="S11" s="142">
        <v>9555</v>
      </c>
      <c r="T11" s="145">
        <f t="shared" si="16"/>
        <v>9555</v>
      </c>
      <c r="U11" s="147">
        <f t="shared" si="17"/>
        <v>422452.22685143119</v>
      </c>
      <c r="V11" s="142">
        <v>6062</v>
      </c>
      <c r="W11" s="145">
        <f t="shared" si="18"/>
        <v>6062</v>
      </c>
      <c r="X11" s="147">
        <f t="shared" si="19"/>
        <v>365553.15373054071</v>
      </c>
      <c r="Y11" s="142">
        <v>9916</v>
      </c>
      <c r="Z11" s="145">
        <f t="shared" si="20"/>
        <v>9916</v>
      </c>
      <c r="AA11" s="147">
        <f t="shared" si="21"/>
        <v>639590.16370602348</v>
      </c>
      <c r="AB11" s="142">
        <v>10913</v>
      </c>
      <c r="AC11" s="145">
        <f t="shared" si="22"/>
        <v>10913</v>
      </c>
      <c r="AD11" s="147">
        <f t="shared" si="23"/>
        <v>770798.06713876582</v>
      </c>
      <c r="AE11" s="142">
        <v>6589</v>
      </c>
      <c r="AF11" s="145">
        <f t="shared" si="24"/>
        <v>6589</v>
      </c>
      <c r="AG11" s="147">
        <f t="shared" si="25"/>
        <v>629749.80744799448</v>
      </c>
      <c r="AH11" s="144">
        <f t="shared" si="26"/>
        <v>3151373.1737201889</v>
      </c>
      <c r="AI11" s="142">
        <v>596</v>
      </c>
      <c r="AJ11" s="145">
        <f t="shared" si="27"/>
        <v>596</v>
      </c>
      <c r="AK11" s="147">
        <f t="shared" si="28"/>
        <v>1839492.7489799289</v>
      </c>
      <c r="AL11" s="142">
        <v>2490</v>
      </c>
      <c r="AM11" s="145">
        <f t="shared" si="29"/>
        <v>2490</v>
      </c>
      <c r="AN11" s="147">
        <f t="shared" si="30"/>
        <v>1269187.4574235347</v>
      </c>
      <c r="AO11" s="142">
        <v>1077</v>
      </c>
      <c r="AP11" s="145">
        <f t="shared" si="31"/>
        <v>1077</v>
      </c>
      <c r="AQ11" s="147">
        <f t="shared" si="32"/>
        <v>1896983.955943628</v>
      </c>
      <c r="AR11" s="142">
        <v>1389</v>
      </c>
      <c r="AS11" s="145">
        <f t="shared" si="33"/>
        <v>1389</v>
      </c>
      <c r="AT11" s="147">
        <f t="shared" si="34"/>
        <v>2009409.705048474</v>
      </c>
      <c r="AU11" s="144">
        <f t="shared" si="35"/>
        <v>42880914.983745866</v>
      </c>
      <c r="AV11" s="148">
        <f>INDEX('Baselines+Historic Spend Factor'!P$9:P$159,MATCH('2019-20 StepbyStep Allocations'!C11,'Baselines+Historic Spend Factor'!C$9:C$159,0))</f>
        <v>42071124.104980029</v>
      </c>
      <c r="AW11" s="149">
        <v>78619.166000000012</v>
      </c>
      <c r="AX11" s="150">
        <f t="shared" si="36"/>
        <v>535.12554565867595</v>
      </c>
      <c r="AY11" s="148">
        <f t="shared" si="37"/>
        <v>540.47680111526267</v>
      </c>
      <c r="AZ11" s="148">
        <f t="shared" si="38"/>
        <v>532.16129027378918</v>
      </c>
      <c r="BA11" s="148">
        <f t="shared" si="39"/>
        <v>540.47680111526267</v>
      </c>
      <c r="BB11" s="151">
        <f t="shared" si="40"/>
        <v>670053.83509985963</v>
      </c>
      <c r="BC11" s="148">
        <f t="shared" si="41"/>
        <v>0</v>
      </c>
      <c r="BD11" s="144">
        <f t="shared" si="42"/>
        <v>670053.83509985963</v>
      </c>
      <c r="BE11" s="144">
        <f t="shared" si="4"/>
        <v>43550968.818845727</v>
      </c>
      <c r="BF11" s="144">
        <f>INDEX('Hospital Education Funding'!$G$9:$G$159,MATCH(C11,'Hospital Education Funding'!$C$9:$C$158,0))</f>
        <v>1851330</v>
      </c>
      <c r="BG11" s="152">
        <f>INDEX('Import|Export Adjustments Data'!$Q$9:$Q$159,MATCH('2019-20 StepbyStep Allocations'!$C11,'Import|Export Adjustments Data'!$C$9:$C$159,0))</f>
        <v>-17</v>
      </c>
      <c r="BH11" s="144">
        <f t="shared" si="43"/>
        <v>-102000</v>
      </c>
      <c r="BI11" s="153">
        <f>INDEX('Baselines+Historic Spend Factor'!$F$9:$F$159,MATCH('2019-20 StepbyStep Allocations'!C11,'Baselines+Historic Spend Factor'!C$9:C$159,0))-INDEX('Baselines+Historic Spend Factor'!$G$9:$G$159,MATCH('2019-20 StepbyStep Allocations'!C11,'Baselines+Historic Spend Factor'!C$9:C$159,0))</f>
        <v>47746124.104980029</v>
      </c>
      <c r="BJ11" s="154">
        <f t="shared" si="2"/>
        <v>49488298.818845727</v>
      </c>
      <c r="BK11" s="155">
        <f t="shared" si="44"/>
        <v>3.648829609781834E-2</v>
      </c>
      <c r="BL11" s="156">
        <f t="shared" si="45"/>
        <v>535.12554565867595</v>
      </c>
      <c r="BM11" s="148">
        <f t="shared" si="5"/>
        <v>540.47680111526267</v>
      </c>
      <c r="BN11" s="148">
        <f t="shared" si="46"/>
        <v>540.47680111526267</v>
      </c>
      <c r="BO11" s="148">
        <f t="shared" si="6"/>
        <v>43550968.818845727</v>
      </c>
      <c r="BP11" s="144">
        <f t="shared" si="7"/>
        <v>49488298.818845727</v>
      </c>
      <c r="BQ11" s="148">
        <v>48625368.147628427</v>
      </c>
      <c r="BR11" s="157">
        <f t="shared" si="3"/>
        <v>1.7746511833029333E-2</v>
      </c>
      <c r="BT11" s="94"/>
      <c r="BU11" s="158"/>
      <c r="BX11" s="94"/>
    </row>
    <row r="12" spans="1:76" ht="15.4" x14ac:dyDescent="0.45">
      <c r="A12" s="139" t="s">
        <v>223</v>
      </c>
      <c r="B12" s="140" t="s">
        <v>109</v>
      </c>
      <c r="C12" s="102">
        <v>855</v>
      </c>
      <c r="D12" s="141" t="s">
        <v>113</v>
      </c>
      <c r="E12" s="348">
        <v>1</v>
      </c>
      <c r="F12" s="142">
        <v>1553</v>
      </c>
      <c r="G12" s="143">
        <f t="shared" si="8"/>
        <v>4000</v>
      </c>
      <c r="H12" s="144">
        <f t="shared" si="9"/>
        <v>6212000</v>
      </c>
      <c r="I12" s="144">
        <f>INDEX('Baselines+Historic Spend Factor'!$Q$9:$Q$159,MATCH(C12,'Baselines+Historic Spend Factor'!$C$9:$C$159,0))</f>
        <v>29719333.011696178</v>
      </c>
      <c r="J12" s="142">
        <v>133515.587</v>
      </c>
      <c r="K12" s="145">
        <f t="shared" si="10"/>
        <v>133515.587</v>
      </c>
      <c r="L12" s="144">
        <f t="shared" si="11"/>
        <v>15644489.621630775</v>
      </c>
      <c r="M12" s="142">
        <v>6849</v>
      </c>
      <c r="N12" s="145">
        <f t="shared" si="12"/>
        <v>6849</v>
      </c>
      <c r="O12" s="144">
        <f t="shared" si="13"/>
        <v>1680296.4932916379</v>
      </c>
      <c r="P12" s="142">
        <v>9016</v>
      </c>
      <c r="Q12" s="145">
        <f t="shared" si="14"/>
        <v>9016</v>
      </c>
      <c r="R12" s="147">
        <f t="shared" si="15"/>
        <v>306923.58817129309</v>
      </c>
      <c r="S12" s="142">
        <v>4081</v>
      </c>
      <c r="T12" s="145">
        <f t="shared" si="16"/>
        <v>4081</v>
      </c>
      <c r="U12" s="147">
        <f t="shared" si="17"/>
        <v>180431.97674313874</v>
      </c>
      <c r="V12" s="142">
        <v>3684</v>
      </c>
      <c r="W12" s="145">
        <f t="shared" si="18"/>
        <v>3684</v>
      </c>
      <c r="X12" s="147">
        <f t="shared" si="19"/>
        <v>222154.04459638931</v>
      </c>
      <c r="Y12" s="142">
        <v>1661</v>
      </c>
      <c r="Z12" s="145">
        <f t="shared" si="20"/>
        <v>1661</v>
      </c>
      <c r="AA12" s="147">
        <f t="shared" si="21"/>
        <v>107135.86747838897</v>
      </c>
      <c r="AB12" s="142">
        <v>1345</v>
      </c>
      <c r="AC12" s="145">
        <f t="shared" si="22"/>
        <v>1345</v>
      </c>
      <c r="AD12" s="147">
        <f t="shared" si="23"/>
        <v>94998.937075198381</v>
      </c>
      <c r="AE12" s="142">
        <v>766</v>
      </c>
      <c r="AF12" s="145">
        <f t="shared" si="24"/>
        <v>766</v>
      </c>
      <c r="AG12" s="147">
        <f t="shared" si="25"/>
        <v>73211.16292383727</v>
      </c>
      <c r="AH12" s="144">
        <f t="shared" si="26"/>
        <v>984855.57698824583</v>
      </c>
      <c r="AI12" s="142">
        <v>580</v>
      </c>
      <c r="AJ12" s="145">
        <f t="shared" si="27"/>
        <v>580</v>
      </c>
      <c r="AK12" s="147">
        <f t="shared" si="28"/>
        <v>1790110.3933026155</v>
      </c>
      <c r="AL12" s="142">
        <v>4170</v>
      </c>
      <c r="AM12" s="145">
        <f t="shared" si="29"/>
        <v>4170</v>
      </c>
      <c r="AN12" s="147">
        <f t="shared" si="30"/>
        <v>2125506.7058056789</v>
      </c>
      <c r="AO12" s="142">
        <v>1264</v>
      </c>
      <c r="AP12" s="145">
        <f t="shared" si="31"/>
        <v>1264</v>
      </c>
      <c r="AQ12" s="147">
        <f t="shared" si="32"/>
        <v>2226358.1432801727</v>
      </c>
      <c r="AR12" s="142">
        <v>1638</v>
      </c>
      <c r="AS12" s="145">
        <f t="shared" si="33"/>
        <v>1638</v>
      </c>
      <c r="AT12" s="147">
        <f t="shared" si="34"/>
        <v>2369627.8595172074</v>
      </c>
      <c r="AU12" s="144">
        <f t="shared" si="35"/>
        <v>56540577.80551251</v>
      </c>
      <c r="AV12" s="148">
        <f>INDEX('Baselines+Historic Spend Factor'!P$9:P$159,MATCH('2019-20 StepbyStep Allocations'!C12,'Baselines+Historic Spend Factor'!C$9:C$159,0))</f>
        <v>59438666.023392357</v>
      </c>
      <c r="AW12" s="149">
        <v>131662.72399999999</v>
      </c>
      <c r="AX12" s="150">
        <f t="shared" si="36"/>
        <v>451.4464247556686</v>
      </c>
      <c r="AY12" s="148">
        <f t="shared" si="37"/>
        <v>455.9608890032253</v>
      </c>
      <c r="AZ12" s="148">
        <f t="shared" si="38"/>
        <v>423.47548384378905</v>
      </c>
      <c r="BA12" s="148">
        <f t="shared" si="39"/>
        <v>455.9608890032253</v>
      </c>
      <c r="BB12" s="151">
        <f t="shared" si="40"/>
        <v>4337307.9387949603</v>
      </c>
      <c r="BC12" s="148">
        <f t="shared" si="41"/>
        <v>0</v>
      </c>
      <c r="BD12" s="144">
        <f t="shared" si="42"/>
        <v>4337307.9387949603</v>
      </c>
      <c r="BE12" s="144">
        <f t="shared" si="4"/>
        <v>60877885.744307473</v>
      </c>
      <c r="BF12" s="144">
        <f>INDEX('Hospital Education Funding'!$G$9:$G$159,MATCH(C12,'Hospital Education Funding'!$C$9:$C$158,0))</f>
        <v>631003.56000000006</v>
      </c>
      <c r="BG12" s="152">
        <f>INDEX('Import|Export Adjustments Data'!$Q$9:$Q$159,MATCH('2019-20 StepbyStep Allocations'!$C12,'Import|Export Adjustments Data'!$C$9:$C$159,0))</f>
        <v>-139</v>
      </c>
      <c r="BH12" s="144">
        <f t="shared" si="43"/>
        <v>-834000</v>
      </c>
      <c r="BI12" s="153">
        <f>INDEX('Baselines+Historic Spend Factor'!$F$9:$F$159,MATCH('2019-20 StepbyStep Allocations'!C12,'Baselines+Historic Spend Factor'!C$9:C$159,0))-INDEX('Baselines+Historic Spend Factor'!$G$9:$G$159,MATCH('2019-20 StepbyStep Allocations'!C12,'Baselines+Historic Spend Factor'!C$9:C$159,0))</f>
        <v>65075422.023392357</v>
      </c>
      <c r="BJ12" s="154">
        <f t="shared" si="2"/>
        <v>66886889.304307476</v>
      </c>
      <c r="BK12" s="155">
        <f t="shared" si="44"/>
        <v>2.7836427710971501E-2</v>
      </c>
      <c r="BL12" s="156">
        <f t="shared" si="45"/>
        <v>451.4464247556686</v>
      </c>
      <c r="BM12" s="148">
        <f t="shared" si="5"/>
        <v>455.9608890032253</v>
      </c>
      <c r="BN12" s="148">
        <f t="shared" si="46"/>
        <v>455.9608890032253</v>
      </c>
      <c r="BO12" s="148">
        <f t="shared" si="6"/>
        <v>60877885.744307473</v>
      </c>
      <c r="BP12" s="144">
        <f t="shared" si="7"/>
        <v>66886889.304307476</v>
      </c>
      <c r="BQ12" s="148">
        <v>65985978.542344898</v>
      </c>
      <c r="BR12" s="157">
        <f t="shared" si="3"/>
        <v>1.3653063603269011E-2</v>
      </c>
      <c r="BT12" s="94"/>
      <c r="BU12" s="158"/>
      <c r="BX12" s="94"/>
    </row>
    <row r="13" spans="1:76" ht="15.4" x14ac:dyDescent="0.45">
      <c r="A13" s="139" t="s">
        <v>120</v>
      </c>
      <c r="B13" s="140" t="s">
        <v>109</v>
      </c>
      <c r="C13" s="102">
        <v>925</v>
      </c>
      <c r="D13" s="141" t="s">
        <v>114</v>
      </c>
      <c r="E13" s="348">
        <v>1</v>
      </c>
      <c r="F13" s="142">
        <v>1802</v>
      </c>
      <c r="G13" s="143">
        <f t="shared" si="8"/>
        <v>4000</v>
      </c>
      <c r="H13" s="144">
        <f t="shared" si="9"/>
        <v>7208000</v>
      </c>
      <c r="I13" s="144">
        <f>INDEX('Baselines+Historic Spend Factor'!$Q$9:$Q$159,MATCH(C13,'Baselines+Historic Spend Factor'!$C$9:$C$159,0))</f>
        <v>36453765</v>
      </c>
      <c r="J13" s="142">
        <v>139338.49799999999</v>
      </c>
      <c r="K13" s="145">
        <f t="shared" si="10"/>
        <v>139338.49799999999</v>
      </c>
      <c r="L13" s="144">
        <f t="shared" si="11"/>
        <v>16326780.52679063</v>
      </c>
      <c r="M13" s="142">
        <v>13018.500000000002</v>
      </c>
      <c r="N13" s="145">
        <f t="shared" si="12"/>
        <v>13018.500000000002</v>
      </c>
      <c r="O13" s="144">
        <f t="shared" si="13"/>
        <v>3193888.1439505313</v>
      </c>
      <c r="P13" s="142">
        <v>13452</v>
      </c>
      <c r="Q13" s="145">
        <f t="shared" si="14"/>
        <v>13452</v>
      </c>
      <c r="R13" s="147">
        <f t="shared" si="15"/>
        <v>457934.35094057617</v>
      </c>
      <c r="S13" s="142">
        <v>10381</v>
      </c>
      <c r="T13" s="145">
        <f t="shared" si="16"/>
        <v>10381</v>
      </c>
      <c r="U13" s="147">
        <f t="shared" si="17"/>
        <v>458971.90653529111</v>
      </c>
      <c r="V13" s="142">
        <v>6936</v>
      </c>
      <c r="W13" s="145">
        <f t="shared" si="18"/>
        <v>6936</v>
      </c>
      <c r="X13" s="147">
        <f t="shared" si="19"/>
        <v>418257.45204141049</v>
      </c>
      <c r="Y13" s="142">
        <v>5807</v>
      </c>
      <c r="Z13" s="145">
        <f t="shared" si="20"/>
        <v>5807</v>
      </c>
      <c r="AA13" s="147">
        <f t="shared" si="21"/>
        <v>374556.28082300106</v>
      </c>
      <c r="AB13" s="142">
        <v>5880</v>
      </c>
      <c r="AC13" s="145">
        <f t="shared" si="22"/>
        <v>5880</v>
      </c>
      <c r="AD13" s="147">
        <f t="shared" si="23"/>
        <v>415311.33829157363</v>
      </c>
      <c r="AE13" s="142">
        <v>2261</v>
      </c>
      <c r="AF13" s="145">
        <f t="shared" si="24"/>
        <v>2261</v>
      </c>
      <c r="AG13" s="147">
        <f t="shared" si="25"/>
        <v>216097.17933524292</v>
      </c>
      <c r="AH13" s="144">
        <f t="shared" si="26"/>
        <v>2341128.5079670954</v>
      </c>
      <c r="AI13" s="142">
        <v>722</v>
      </c>
      <c r="AJ13" s="145">
        <f t="shared" si="27"/>
        <v>722</v>
      </c>
      <c r="AK13" s="147">
        <f t="shared" si="28"/>
        <v>2228378.7999387733</v>
      </c>
      <c r="AL13" s="142">
        <v>5750</v>
      </c>
      <c r="AM13" s="145">
        <f t="shared" si="29"/>
        <v>5750</v>
      </c>
      <c r="AN13" s="147">
        <f t="shared" si="30"/>
        <v>2930854.5703555522</v>
      </c>
      <c r="AO13" s="142">
        <v>1444</v>
      </c>
      <c r="AP13" s="145">
        <f t="shared" si="31"/>
        <v>1444</v>
      </c>
      <c r="AQ13" s="147">
        <f t="shared" si="32"/>
        <v>2543402.8155827289</v>
      </c>
      <c r="AR13" s="142">
        <v>1966</v>
      </c>
      <c r="AS13" s="145">
        <f t="shared" si="33"/>
        <v>1966</v>
      </c>
      <c r="AT13" s="147">
        <f t="shared" si="34"/>
        <v>2844132.0951226065</v>
      </c>
      <c r="AU13" s="144">
        <f t="shared" si="35"/>
        <v>68862330.459707916</v>
      </c>
      <c r="AV13" s="148">
        <f>INDEX('Baselines+Historic Spend Factor'!P$9:P$159,MATCH('2019-20 StepbyStep Allocations'!C13,'Baselines+Historic Spend Factor'!C$9:C$159,0))</f>
        <v>72907530</v>
      </c>
      <c r="AW13" s="149">
        <v>137467.092</v>
      </c>
      <c r="AX13" s="150">
        <f t="shared" si="36"/>
        <v>530.363514200184</v>
      </c>
      <c r="AY13" s="148">
        <f t="shared" si="37"/>
        <v>535.66714934218589</v>
      </c>
      <c r="AZ13" s="148">
        <f t="shared" si="38"/>
        <v>494.20893326773137</v>
      </c>
      <c r="BA13" s="148">
        <f t="shared" si="39"/>
        <v>535.66714934218589</v>
      </c>
      <c r="BB13" s="151">
        <f t="shared" si="40"/>
        <v>5776725.5575739499</v>
      </c>
      <c r="BC13" s="148">
        <f t="shared" si="41"/>
        <v>0</v>
      </c>
      <c r="BD13" s="144">
        <f t="shared" si="42"/>
        <v>5776725.5575739499</v>
      </c>
      <c r="BE13" s="144">
        <f t="shared" si="4"/>
        <v>74639056.01728186</v>
      </c>
      <c r="BF13" s="144">
        <f>INDEX('Hospital Education Funding'!$G$9:$G$159,MATCH(C13,'Hospital Education Funding'!$C$9:$C$158,0))</f>
        <v>1916147.76</v>
      </c>
      <c r="BG13" s="152">
        <f>INDEX('Import|Export Adjustments Data'!$Q$9:$Q$159,MATCH('2019-20 StepbyStep Allocations'!$C13,'Import|Export Adjustments Data'!$C$9:$C$159,0))</f>
        <v>-37</v>
      </c>
      <c r="BH13" s="144">
        <f t="shared" si="43"/>
        <v>-222000</v>
      </c>
      <c r="BI13" s="153">
        <f>INDEX('Baselines+Historic Spend Factor'!$F$9:$F$159,MATCH('2019-20 StepbyStep Allocations'!C13,'Baselines+Historic Spend Factor'!C$9:C$159,0))-INDEX('Baselines+Historic Spend Factor'!$G$9:$G$159,MATCH('2019-20 StepbyStep Allocations'!C13,'Baselines+Historic Spend Factor'!C$9:C$159,0))</f>
        <v>81631706</v>
      </c>
      <c r="BJ13" s="154">
        <f t="shared" si="2"/>
        <v>83541203.777281865</v>
      </c>
      <c r="BK13" s="155">
        <f t="shared" si="44"/>
        <v>2.339161914957244E-2</v>
      </c>
      <c r="BL13" s="156">
        <f t="shared" si="45"/>
        <v>530.363514200184</v>
      </c>
      <c r="BM13" s="148">
        <f t="shared" si="5"/>
        <v>535.66714934218589</v>
      </c>
      <c r="BN13" s="148">
        <f t="shared" si="46"/>
        <v>535.66714934218589</v>
      </c>
      <c r="BO13" s="148">
        <f t="shared" si="6"/>
        <v>74639056.01728186</v>
      </c>
      <c r="BP13" s="144">
        <f t="shared" si="7"/>
        <v>83541203.777281865</v>
      </c>
      <c r="BQ13" s="148">
        <v>82204310.965265691</v>
      </c>
      <c r="BR13" s="157">
        <f t="shared" si="3"/>
        <v>1.6263049909645888E-2</v>
      </c>
      <c r="BT13" s="94"/>
      <c r="BU13" s="158"/>
      <c r="BX13" s="94"/>
    </row>
    <row r="14" spans="1:76" ht="15.4" x14ac:dyDescent="0.45">
      <c r="A14" s="139" t="s">
        <v>185</v>
      </c>
      <c r="B14" s="140" t="s">
        <v>109</v>
      </c>
      <c r="C14" s="102">
        <v>928</v>
      </c>
      <c r="D14" s="141" t="s">
        <v>115</v>
      </c>
      <c r="E14" s="348">
        <v>1.004938767636737</v>
      </c>
      <c r="F14" s="142">
        <v>1627</v>
      </c>
      <c r="G14" s="143">
        <f t="shared" si="8"/>
        <v>4019.755070546948</v>
      </c>
      <c r="H14" s="144">
        <f t="shared" si="9"/>
        <v>6540141.4997798847</v>
      </c>
      <c r="I14" s="144">
        <f>INDEX('Baselines+Historic Spend Factor'!$Q$9:$Q$159,MATCH(C14,'Baselines+Historic Spend Factor'!$C$9:$C$159,0))</f>
        <v>30339028.518188607</v>
      </c>
      <c r="J14" s="142">
        <v>160821.02599999998</v>
      </c>
      <c r="K14" s="145">
        <f t="shared" si="10"/>
        <v>161615.28367851561</v>
      </c>
      <c r="L14" s="144">
        <f t="shared" si="11"/>
        <v>18937029.638385598</v>
      </c>
      <c r="M14" s="142">
        <v>10772.000000000002</v>
      </c>
      <c r="N14" s="145">
        <f t="shared" si="12"/>
        <v>10825.200404982932</v>
      </c>
      <c r="O14" s="144">
        <f t="shared" si="13"/>
        <v>2655795.9234445961</v>
      </c>
      <c r="P14" s="142">
        <v>11768</v>
      </c>
      <c r="Q14" s="145">
        <f t="shared" si="14"/>
        <v>11826.11941754912</v>
      </c>
      <c r="R14" s="147">
        <f t="shared" si="15"/>
        <v>402585.95893704292</v>
      </c>
      <c r="S14" s="142">
        <v>11009</v>
      </c>
      <c r="T14" s="145">
        <f t="shared" si="16"/>
        <v>11063.370892912837</v>
      </c>
      <c r="U14" s="147">
        <f t="shared" si="17"/>
        <v>489141.35742483876</v>
      </c>
      <c r="V14" s="142">
        <v>11606</v>
      </c>
      <c r="W14" s="145">
        <f t="shared" si="18"/>
        <v>11663.31933719197</v>
      </c>
      <c r="X14" s="147">
        <f t="shared" si="19"/>
        <v>703326.15748547087</v>
      </c>
      <c r="Y14" s="142">
        <v>8191</v>
      </c>
      <c r="Z14" s="145">
        <f t="shared" si="20"/>
        <v>8231.4534457125119</v>
      </c>
      <c r="AA14" s="147">
        <f t="shared" si="21"/>
        <v>530935.52409053815</v>
      </c>
      <c r="AB14" s="142">
        <v>6292</v>
      </c>
      <c r="AC14" s="145">
        <f t="shared" si="22"/>
        <v>6323.0747259703485</v>
      </c>
      <c r="AD14" s="147">
        <f t="shared" si="23"/>
        <v>446606.22900686576</v>
      </c>
      <c r="AE14" s="142">
        <v>2220</v>
      </c>
      <c r="AF14" s="145">
        <f t="shared" si="24"/>
        <v>2230.9640641535561</v>
      </c>
      <c r="AG14" s="147">
        <f t="shared" si="25"/>
        <v>213226.4668119741</v>
      </c>
      <c r="AH14" s="144">
        <f t="shared" si="26"/>
        <v>2785821.6937567303</v>
      </c>
      <c r="AI14" s="142">
        <v>749</v>
      </c>
      <c r="AJ14" s="145">
        <f t="shared" si="27"/>
        <v>752.69913695991602</v>
      </c>
      <c r="AK14" s="147">
        <f t="shared" si="28"/>
        <v>2323128.5312100938</v>
      </c>
      <c r="AL14" s="142">
        <v>5430</v>
      </c>
      <c r="AM14" s="145">
        <f t="shared" si="29"/>
        <v>5456.8175082674816</v>
      </c>
      <c r="AN14" s="147">
        <f t="shared" si="30"/>
        <v>2781415.3971655555</v>
      </c>
      <c r="AO14" s="142">
        <v>1781</v>
      </c>
      <c r="AP14" s="145">
        <f t="shared" si="31"/>
        <v>1789.7959451610286</v>
      </c>
      <c r="AQ14" s="147">
        <f t="shared" si="32"/>
        <v>3152473.716233457</v>
      </c>
      <c r="AR14" s="142">
        <v>2042</v>
      </c>
      <c r="AS14" s="145">
        <f t="shared" si="33"/>
        <v>2052.0849635142167</v>
      </c>
      <c r="AT14" s="147">
        <f t="shared" si="34"/>
        <v>2968667.7042977042</v>
      </c>
      <c r="AU14" s="144">
        <f t="shared" si="35"/>
        <v>65943361.12268234</v>
      </c>
      <c r="AV14" s="148">
        <f>INDEX('Baselines+Historic Spend Factor'!P$9:P$159,MATCH('2019-20 StepbyStep Allocations'!C14,'Baselines+Historic Spend Factor'!C$9:C$159,0))</f>
        <v>60678057.036377214</v>
      </c>
      <c r="AW14" s="149">
        <v>157290.17499999999</v>
      </c>
      <c r="AX14" s="150">
        <f t="shared" si="36"/>
        <v>385.77143827564066</v>
      </c>
      <c r="AY14" s="148">
        <f t="shared" si="37"/>
        <v>389.62915265839706</v>
      </c>
      <c r="AZ14" s="148">
        <f t="shared" si="38"/>
        <v>410.04191281979723</v>
      </c>
      <c r="BA14" s="148">
        <f t="shared" si="39"/>
        <v>410.04191281979723</v>
      </c>
      <c r="BB14" s="151">
        <f t="shared" si="40"/>
        <v>0</v>
      </c>
      <c r="BC14" s="148">
        <f t="shared" si="41"/>
        <v>0</v>
      </c>
      <c r="BD14" s="144">
        <f t="shared" si="42"/>
        <v>0</v>
      </c>
      <c r="BE14" s="144">
        <f t="shared" si="4"/>
        <v>65943361.12268234</v>
      </c>
      <c r="BF14" s="144">
        <f>INDEX('Hospital Education Funding'!$G$9:$G$159,MATCH(C14,'Hospital Education Funding'!$C$9:$C$158,0))</f>
        <v>1322413.2</v>
      </c>
      <c r="BG14" s="152">
        <f>INDEX('Import|Export Adjustments Data'!$Q$9:$Q$159,MATCH('2019-20 StepbyStep Allocations'!$C14,'Import|Export Adjustments Data'!$C$9:$C$159,0))</f>
        <v>-121.5</v>
      </c>
      <c r="BH14" s="144">
        <f t="shared" si="43"/>
        <v>-729000</v>
      </c>
      <c r="BI14" s="153">
        <f>INDEX('Baselines+Historic Spend Factor'!$F$9:$F$159,MATCH('2019-20 StepbyStep Allocations'!C14,'Baselines+Historic Spend Factor'!C$9:C$159,0))-INDEX('Baselines+Historic Spend Factor'!$G$9:$G$159,MATCH('2019-20 StepbyStep Allocations'!C14,'Baselines+Historic Spend Factor'!C$9:C$159,0))</f>
        <v>67635878.865301698</v>
      </c>
      <c r="BJ14" s="154">
        <f t="shared" si="2"/>
        <v>73076915.822462231</v>
      </c>
      <c r="BK14" s="155">
        <f t="shared" si="44"/>
        <v>8.0446015464609832E-2</v>
      </c>
      <c r="BL14" s="156">
        <f t="shared" si="45"/>
        <v>385.77143827564066</v>
      </c>
      <c r="BM14" s="148">
        <f t="shared" si="5"/>
        <v>410.04191281979723</v>
      </c>
      <c r="BN14" s="148">
        <f t="shared" si="46"/>
        <v>409.26491886662717</v>
      </c>
      <c r="BO14" s="148">
        <f t="shared" si="6"/>
        <v>65818404.157937735</v>
      </c>
      <c r="BP14" s="144">
        <f t="shared" si="7"/>
        <v>72951958.857717618</v>
      </c>
      <c r="BQ14" s="148">
        <v>70155289.00255239</v>
      </c>
      <c r="BR14" s="157">
        <f t="shared" si="3"/>
        <v>3.9863991652339781E-2</v>
      </c>
      <c r="BT14" s="94"/>
      <c r="BU14" s="158"/>
      <c r="BX14" s="94"/>
    </row>
    <row r="15" spans="1:76" ht="15.4" x14ac:dyDescent="0.45">
      <c r="A15" s="139" t="s">
        <v>239</v>
      </c>
      <c r="B15" s="140" t="s">
        <v>109</v>
      </c>
      <c r="C15" s="102">
        <v>892</v>
      </c>
      <c r="D15" s="141" t="s">
        <v>116</v>
      </c>
      <c r="E15" s="348">
        <v>1.0041582963367661</v>
      </c>
      <c r="F15" s="142">
        <v>546.5</v>
      </c>
      <c r="G15" s="143">
        <f t="shared" si="8"/>
        <v>4016.6331853470647</v>
      </c>
      <c r="H15" s="144">
        <f t="shared" si="9"/>
        <v>2195090.035792171</v>
      </c>
      <c r="I15" s="144">
        <f>INDEX('Baselines+Historic Spend Factor'!$Q$9:$Q$159,MATCH(C15,'Baselines+Historic Spend Factor'!$C$9:$C$159,0))</f>
        <v>13068330.089471266</v>
      </c>
      <c r="J15" s="142">
        <v>65639.427000000011</v>
      </c>
      <c r="K15" s="145">
        <f t="shared" si="10"/>
        <v>65912.375188841543</v>
      </c>
      <c r="L15" s="144">
        <f t="shared" si="11"/>
        <v>7723184.1820750497</v>
      </c>
      <c r="M15" s="142">
        <v>10548</v>
      </c>
      <c r="N15" s="145">
        <f t="shared" si="12"/>
        <v>10591.861709760209</v>
      </c>
      <c r="O15" s="144">
        <f t="shared" si="13"/>
        <v>2598549.8741918597</v>
      </c>
      <c r="P15" s="142">
        <v>4896</v>
      </c>
      <c r="Q15" s="145">
        <f t="shared" si="14"/>
        <v>4916.3590188648068</v>
      </c>
      <c r="R15" s="147">
        <f t="shared" si="15"/>
        <v>167363.19330171746</v>
      </c>
      <c r="S15" s="142">
        <v>4905</v>
      </c>
      <c r="T15" s="145">
        <f t="shared" si="16"/>
        <v>4925.3964435318376</v>
      </c>
      <c r="U15" s="147">
        <f t="shared" si="17"/>
        <v>217765.01263172625</v>
      </c>
      <c r="V15" s="142">
        <v>7422</v>
      </c>
      <c r="W15" s="145">
        <f t="shared" si="18"/>
        <v>7452.8628754114779</v>
      </c>
      <c r="X15" s="147">
        <f t="shared" si="19"/>
        <v>449425.52432001516</v>
      </c>
      <c r="Y15" s="142">
        <v>10395</v>
      </c>
      <c r="Z15" s="145">
        <f t="shared" si="20"/>
        <v>10438.225490420684</v>
      </c>
      <c r="AA15" s="147">
        <f t="shared" si="21"/>
        <v>673274.13777920057</v>
      </c>
      <c r="AB15" s="142">
        <v>14917</v>
      </c>
      <c r="AC15" s="145">
        <f t="shared" si="22"/>
        <v>14979.029306455541</v>
      </c>
      <c r="AD15" s="147">
        <f t="shared" si="23"/>
        <v>1057986.5148933253</v>
      </c>
      <c r="AE15" s="142">
        <v>9102</v>
      </c>
      <c r="AF15" s="145">
        <f t="shared" si="24"/>
        <v>9139.8488132572456</v>
      </c>
      <c r="AG15" s="147">
        <f t="shared" si="25"/>
        <v>873549.55687547906</v>
      </c>
      <c r="AH15" s="144">
        <f t="shared" si="26"/>
        <v>3439363.9398014639</v>
      </c>
      <c r="AI15" s="142">
        <v>527</v>
      </c>
      <c r="AJ15" s="145">
        <f t="shared" si="27"/>
        <v>529.1914221694758</v>
      </c>
      <c r="AK15" s="147">
        <f t="shared" si="28"/>
        <v>1633294.9394347772</v>
      </c>
      <c r="AL15" s="142">
        <v>2850</v>
      </c>
      <c r="AM15" s="145">
        <f t="shared" si="29"/>
        <v>2861.8511445597833</v>
      </c>
      <c r="AN15" s="147">
        <f t="shared" si="30"/>
        <v>1458725.131601793</v>
      </c>
      <c r="AO15" s="142">
        <v>830</v>
      </c>
      <c r="AP15" s="145">
        <f t="shared" si="31"/>
        <v>833.45138595951585</v>
      </c>
      <c r="AQ15" s="147">
        <f t="shared" si="32"/>
        <v>1468007.3418980334</v>
      </c>
      <c r="AR15" s="142">
        <v>1325</v>
      </c>
      <c r="AS15" s="145">
        <f t="shared" si="33"/>
        <v>1330.509742646215</v>
      </c>
      <c r="AT15" s="147">
        <f t="shared" si="34"/>
        <v>1924794.2329264595</v>
      </c>
      <c r="AU15" s="144">
        <f t="shared" si="35"/>
        <v>33314249.731400698</v>
      </c>
      <c r="AV15" s="148">
        <f>INDEX('Baselines+Historic Spend Factor'!P$9:P$159,MATCH('2019-20 StepbyStep Allocations'!C15,'Baselines+Historic Spend Factor'!C$9:C$159,0))</f>
        <v>26136660.178942531</v>
      </c>
      <c r="AW15" s="149">
        <v>63867.059000000008</v>
      </c>
      <c r="AX15" s="150">
        <f t="shared" si="36"/>
        <v>409.2353803068109</v>
      </c>
      <c r="AY15" s="148">
        <f t="shared" si="37"/>
        <v>413.32773410987903</v>
      </c>
      <c r="AZ15" s="148">
        <f t="shared" si="38"/>
        <v>507.53413388877834</v>
      </c>
      <c r="BA15" s="148">
        <f t="shared" si="39"/>
        <v>507.53413388877834</v>
      </c>
      <c r="BB15" s="151">
        <f t="shared" si="40"/>
        <v>0</v>
      </c>
      <c r="BC15" s="148">
        <f t="shared" si="41"/>
        <v>0</v>
      </c>
      <c r="BD15" s="144">
        <f t="shared" si="42"/>
        <v>0</v>
      </c>
      <c r="BE15" s="144">
        <f t="shared" si="4"/>
        <v>33314249.731400698</v>
      </c>
      <c r="BF15" s="144">
        <f>INDEX('Hospital Education Funding'!$G$9:$G$159,MATCH(C15,'Hospital Education Funding'!$C$9:$C$158,0))</f>
        <v>1753123.48</v>
      </c>
      <c r="BG15" s="152">
        <f>INDEX('Import|Export Adjustments Data'!$Q$9:$Q$159,MATCH('2019-20 StepbyStep Allocations'!$C15,'Import|Export Adjustments Data'!$C$9:$C$159,0))</f>
        <v>-16</v>
      </c>
      <c r="BH15" s="144">
        <f t="shared" si="43"/>
        <v>-96000</v>
      </c>
      <c r="BI15" s="153">
        <f>INDEX('Baselines+Historic Spend Factor'!$F$9:$F$159,MATCH('2019-20 StepbyStep Allocations'!C15,'Baselines+Historic Spend Factor'!C$9:C$159,0))-INDEX('Baselines+Historic Spend Factor'!$G$9:$G$159,MATCH('2019-20 StepbyStep Allocations'!C15,'Baselines+Historic Spend Factor'!C$9:C$159,0))</f>
        <v>29241720.952803597</v>
      </c>
      <c r="BJ15" s="154">
        <f t="shared" si="2"/>
        <v>37166463.247192867</v>
      </c>
      <c r="BK15" s="155">
        <f t="shared" si="44"/>
        <v>0.27100806779395348</v>
      </c>
      <c r="BL15" s="156">
        <f t="shared" si="45"/>
        <v>409.2353803068109</v>
      </c>
      <c r="BM15" s="148">
        <f t="shared" si="5"/>
        <v>507.53413388877834</v>
      </c>
      <c r="BN15" s="148">
        <f t="shared" si="46"/>
        <v>434.15781496749565</v>
      </c>
      <c r="BO15" s="148">
        <f t="shared" si="6"/>
        <v>28497870.202038445</v>
      </c>
      <c r="BP15" s="144">
        <f t="shared" si="7"/>
        <v>32350083.717830617</v>
      </c>
      <c r="BQ15" s="148">
        <v>30971735.224574603</v>
      </c>
      <c r="BR15" s="157">
        <f t="shared" si="3"/>
        <v>4.4503431379019354E-2</v>
      </c>
      <c r="BT15" s="94"/>
      <c r="BU15" s="158"/>
      <c r="BX15" s="94"/>
    </row>
    <row r="16" spans="1:76" ht="15.4" x14ac:dyDescent="0.45">
      <c r="A16" s="139" t="s">
        <v>159</v>
      </c>
      <c r="B16" s="140" t="s">
        <v>109</v>
      </c>
      <c r="C16" s="102">
        <v>891</v>
      </c>
      <c r="D16" s="141" t="s">
        <v>117</v>
      </c>
      <c r="E16" s="348">
        <v>1.0041582963367661</v>
      </c>
      <c r="F16" s="142">
        <v>1038</v>
      </c>
      <c r="G16" s="143">
        <f t="shared" si="8"/>
        <v>4016.6331853470647</v>
      </c>
      <c r="H16" s="144">
        <f t="shared" si="9"/>
        <v>4169265.2463902533</v>
      </c>
      <c r="I16" s="144">
        <f>INDEX('Baselines+Historic Spend Factor'!$Q$9:$Q$159,MATCH(C16,'Baselines+Historic Spend Factor'!$C$9:$C$159,0))</f>
        <v>28901776.957548451</v>
      </c>
      <c r="J16" s="142">
        <v>157856.25700000001</v>
      </c>
      <c r="K16" s="145">
        <f t="shared" si="10"/>
        <v>158512.67009521872</v>
      </c>
      <c r="L16" s="144">
        <f t="shared" si="11"/>
        <v>18573485.522717524</v>
      </c>
      <c r="M16" s="142">
        <v>12959.5</v>
      </c>
      <c r="N16" s="145">
        <f t="shared" si="12"/>
        <v>13013.389441376321</v>
      </c>
      <c r="O16" s="144">
        <f t="shared" si="13"/>
        <v>3192634.3472306989</v>
      </c>
      <c r="P16" s="142">
        <v>15830</v>
      </c>
      <c r="Q16" s="145">
        <f t="shared" si="14"/>
        <v>15895.825831011007</v>
      </c>
      <c r="R16" s="147">
        <f t="shared" si="15"/>
        <v>541127.31821204803</v>
      </c>
      <c r="S16" s="142">
        <v>12046</v>
      </c>
      <c r="T16" s="145">
        <f t="shared" si="16"/>
        <v>12096.090837672684</v>
      </c>
      <c r="U16" s="147">
        <f t="shared" si="17"/>
        <v>534800.68137854722</v>
      </c>
      <c r="V16" s="142">
        <v>9059</v>
      </c>
      <c r="W16" s="145">
        <f t="shared" si="18"/>
        <v>9096.6700065147652</v>
      </c>
      <c r="X16" s="147">
        <f t="shared" si="19"/>
        <v>548551.04079965211</v>
      </c>
      <c r="Y16" s="142">
        <v>9399</v>
      </c>
      <c r="Z16" s="145">
        <f t="shared" si="20"/>
        <v>9438.0838272692654</v>
      </c>
      <c r="AA16" s="147">
        <f t="shared" si="21"/>
        <v>608764.17710309825</v>
      </c>
      <c r="AB16" s="142">
        <v>6838</v>
      </c>
      <c r="AC16" s="145">
        <f t="shared" si="22"/>
        <v>6866.4344303508069</v>
      </c>
      <c r="AD16" s="147">
        <f t="shared" si="23"/>
        <v>484984.36608168925</v>
      </c>
      <c r="AE16" s="142">
        <v>2085</v>
      </c>
      <c r="AF16" s="145">
        <f t="shared" si="24"/>
        <v>2093.6700478621574</v>
      </c>
      <c r="AG16" s="147">
        <f t="shared" si="25"/>
        <v>200104.46342401381</v>
      </c>
      <c r="AH16" s="144">
        <f t="shared" si="26"/>
        <v>2918332.0469990489</v>
      </c>
      <c r="AI16" s="142">
        <v>816</v>
      </c>
      <c r="AJ16" s="145">
        <f t="shared" si="27"/>
        <v>819.39316981080117</v>
      </c>
      <c r="AK16" s="147">
        <f t="shared" si="28"/>
        <v>2528972.8094473965</v>
      </c>
      <c r="AL16" s="142">
        <v>6510</v>
      </c>
      <c r="AM16" s="145">
        <f t="shared" si="29"/>
        <v>6537.0705091523478</v>
      </c>
      <c r="AN16" s="147">
        <f t="shared" si="30"/>
        <v>3332035.3006062009</v>
      </c>
      <c r="AO16" s="142">
        <v>1529</v>
      </c>
      <c r="AP16" s="145">
        <f t="shared" si="31"/>
        <v>1535.3580350989155</v>
      </c>
      <c r="AQ16" s="147">
        <f t="shared" si="32"/>
        <v>2704317.1394724017</v>
      </c>
      <c r="AR16" s="142">
        <v>1672</v>
      </c>
      <c r="AS16" s="145">
        <f t="shared" si="33"/>
        <v>1678.952671475073</v>
      </c>
      <c r="AT16" s="147">
        <f t="shared" si="34"/>
        <v>2428872.4207192757</v>
      </c>
      <c r="AU16" s="144">
        <f t="shared" si="35"/>
        <v>64580426.544740997</v>
      </c>
      <c r="AV16" s="148">
        <f>INDEX('Baselines+Historic Spend Factor'!P$9:P$159,MATCH('2019-20 StepbyStep Allocations'!C16,'Baselines+Historic Spend Factor'!C$9:C$159,0))</f>
        <v>57803553.915096901</v>
      </c>
      <c r="AW16" s="149">
        <v>156406.88799999998</v>
      </c>
      <c r="AX16" s="150">
        <f t="shared" si="36"/>
        <v>369.57166435724309</v>
      </c>
      <c r="AY16" s="148">
        <f t="shared" si="37"/>
        <v>373.26738100081553</v>
      </c>
      <c r="AZ16" s="148">
        <f t="shared" si="38"/>
        <v>409.10907031541353</v>
      </c>
      <c r="BA16" s="148">
        <f t="shared" si="39"/>
        <v>409.10907031541353</v>
      </c>
      <c r="BB16" s="151">
        <f t="shared" si="40"/>
        <v>0</v>
      </c>
      <c r="BC16" s="148">
        <f t="shared" si="41"/>
        <v>0</v>
      </c>
      <c r="BD16" s="144">
        <f t="shared" si="42"/>
        <v>0</v>
      </c>
      <c r="BE16" s="144">
        <f t="shared" si="4"/>
        <v>64580426.544740997</v>
      </c>
      <c r="BF16" s="144">
        <f>INDEX('Hospital Education Funding'!$G$9:$G$159,MATCH(C16,'Hospital Education Funding'!$C$9:$C$158,0))</f>
        <v>0</v>
      </c>
      <c r="BG16" s="152">
        <f>INDEX('Import|Export Adjustments Data'!$Q$9:$Q$159,MATCH('2019-20 StepbyStep Allocations'!$C16,'Import|Export Adjustments Data'!$C$9:$C$159,0))</f>
        <v>-284.5</v>
      </c>
      <c r="BH16" s="144">
        <f t="shared" si="43"/>
        <v>-1707000</v>
      </c>
      <c r="BI16" s="153">
        <f>INDEX('Baselines+Historic Spend Factor'!$F$9:$F$159,MATCH('2019-20 StepbyStep Allocations'!C16,'Baselines+Historic Spend Factor'!C$9:C$159,0))-INDEX('Baselines+Historic Spend Factor'!$G$9:$G$159,MATCH('2019-20 StepbyStep Allocations'!C16,'Baselines+Historic Spend Factor'!C$9:C$159,0))</f>
        <v>60464237.000000007</v>
      </c>
      <c r="BJ16" s="154">
        <f t="shared" si="2"/>
        <v>67042691.791131258</v>
      </c>
      <c r="BK16" s="155">
        <f t="shared" si="44"/>
        <v>0.10879910369382895</v>
      </c>
      <c r="BL16" s="156">
        <f t="shared" si="45"/>
        <v>369.57166435724309</v>
      </c>
      <c r="BM16" s="148">
        <f t="shared" si="5"/>
        <v>409.10907031541353</v>
      </c>
      <c r="BN16" s="148">
        <f t="shared" si="46"/>
        <v>392.07857871659917</v>
      </c>
      <c r="BO16" s="148">
        <f t="shared" si="6"/>
        <v>61892056.88608221</v>
      </c>
      <c r="BP16" s="144">
        <f t="shared" si="7"/>
        <v>64354322.132472463</v>
      </c>
      <c r="BQ16" s="148">
        <v>62240402.699475959</v>
      </c>
      <c r="BR16" s="157">
        <f t="shared" si="3"/>
        <v>3.3963781423514083E-2</v>
      </c>
      <c r="BT16" s="94"/>
      <c r="BU16" s="158"/>
      <c r="BX16" s="94"/>
    </row>
    <row r="17" spans="1:76" ht="15.4" x14ac:dyDescent="0.45">
      <c r="A17" s="139" t="s">
        <v>160</v>
      </c>
      <c r="B17" s="140" t="s">
        <v>109</v>
      </c>
      <c r="C17" s="102">
        <v>857</v>
      </c>
      <c r="D17" s="141" t="s">
        <v>118</v>
      </c>
      <c r="E17" s="348">
        <v>1</v>
      </c>
      <c r="F17" s="142">
        <v>26</v>
      </c>
      <c r="G17" s="143">
        <f t="shared" si="8"/>
        <v>4000</v>
      </c>
      <c r="H17" s="144">
        <f t="shared" si="9"/>
        <v>104000</v>
      </c>
      <c r="I17" s="144">
        <f>INDEX('Baselines+Historic Spend Factor'!$Q$9:$Q$159,MATCH(C17,'Baselines+Historic Spend Factor'!$C$9:$C$159,0))</f>
        <v>1894016.5197919146</v>
      </c>
      <c r="J17" s="142">
        <v>7626.5959999999995</v>
      </c>
      <c r="K17" s="145">
        <f t="shared" si="10"/>
        <v>7626.5959999999995</v>
      </c>
      <c r="L17" s="144">
        <f t="shared" si="11"/>
        <v>893635.00285828626</v>
      </c>
      <c r="M17" s="142">
        <v>216</v>
      </c>
      <c r="N17" s="145">
        <f t="shared" si="12"/>
        <v>216</v>
      </c>
      <c r="O17" s="144">
        <f t="shared" si="13"/>
        <v>52992.267856766499</v>
      </c>
      <c r="P17" s="142">
        <v>0</v>
      </c>
      <c r="Q17" s="145">
        <f t="shared" si="14"/>
        <v>0</v>
      </c>
      <c r="R17" s="147">
        <f t="shared" si="15"/>
        <v>0</v>
      </c>
      <c r="S17" s="142">
        <v>0</v>
      </c>
      <c r="T17" s="145">
        <f t="shared" si="16"/>
        <v>0</v>
      </c>
      <c r="U17" s="147">
        <f t="shared" si="17"/>
        <v>0</v>
      </c>
      <c r="V17" s="142">
        <v>0</v>
      </c>
      <c r="W17" s="145">
        <f t="shared" si="18"/>
        <v>0</v>
      </c>
      <c r="X17" s="147">
        <f t="shared" si="19"/>
        <v>0</v>
      </c>
      <c r="Y17" s="142">
        <v>0</v>
      </c>
      <c r="Z17" s="145">
        <f t="shared" si="20"/>
        <v>0</v>
      </c>
      <c r="AA17" s="147">
        <f t="shared" si="21"/>
        <v>0</v>
      </c>
      <c r="AB17" s="142">
        <v>0</v>
      </c>
      <c r="AC17" s="145">
        <f t="shared" si="22"/>
        <v>0</v>
      </c>
      <c r="AD17" s="147">
        <f t="shared" si="23"/>
        <v>0</v>
      </c>
      <c r="AE17" s="142">
        <v>0</v>
      </c>
      <c r="AF17" s="145">
        <f t="shared" si="24"/>
        <v>0</v>
      </c>
      <c r="AG17" s="147">
        <f t="shared" si="25"/>
        <v>0</v>
      </c>
      <c r="AH17" s="144">
        <f t="shared" si="26"/>
        <v>0</v>
      </c>
      <c r="AI17" s="142">
        <v>22</v>
      </c>
      <c r="AJ17" s="145">
        <f t="shared" si="27"/>
        <v>22</v>
      </c>
      <c r="AK17" s="147">
        <f t="shared" si="28"/>
        <v>67900.739056306105</v>
      </c>
      <c r="AL17" s="142">
        <v>190</v>
      </c>
      <c r="AM17" s="145">
        <f t="shared" si="29"/>
        <v>190</v>
      </c>
      <c r="AN17" s="147">
        <f t="shared" si="30"/>
        <v>96845.629281313901</v>
      </c>
      <c r="AO17" s="142">
        <v>70</v>
      </c>
      <c r="AP17" s="145">
        <f t="shared" si="31"/>
        <v>70</v>
      </c>
      <c r="AQ17" s="147">
        <f t="shared" si="32"/>
        <v>123295.15033988298</v>
      </c>
      <c r="AR17" s="142">
        <v>40</v>
      </c>
      <c r="AS17" s="145">
        <f t="shared" si="33"/>
        <v>40</v>
      </c>
      <c r="AT17" s="147">
        <f t="shared" si="34"/>
        <v>57866.370195780401</v>
      </c>
      <c r="AU17" s="144">
        <f t="shared" si="35"/>
        <v>3186551.6793802506</v>
      </c>
      <c r="AV17" s="148">
        <f>INDEX('Baselines+Historic Spend Factor'!P$9:P$159,MATCH('2019-20 StepbyStep Allocations'!C17,'Baselines+Historic Spend Factor'!C$9:C$159,0))</f>
        <v>3788033.0395838292</v>
      </c>
      <c r="AW17" s="149">
        <v>7576.4880000000003</v>
      </c>
      <c r="AX17" s="150">
        <f t="shared" si="36"/>
        <v>499.97215590968125</v>
      </c>
      <c r="AY17" s="148">
        <f t="shared" si="37"/>
        <v>504.97187746877808</v>
      </c>
      <c r="AZ17" s="148">
        <f t="shared" si="38"/>
        <v>417.82096224583694</v>
      </c>
      <c r="BA17" s="148">
        <f t="shared" si="39"/>
        <v>504.97187746877808</v>
      </c>
      <c r="BB17" s="151">
        <f t="shared" si="40"/>
        <v>664664.82143562194</v>
      </c>
      <c r="BC17" s="148">
        <f t="shared" si="41"/>
        <v>0</v>
      </c>
      <c r="BD17" s="144">
        <f t="shared" si="42"/>
        <v>664664.82143562194</v>
      </c>
      <c r="BE17" s="144">
        <f t="shared" si="4"/>
        <v>3851216.5008158726</v>
      </c>
      <c r="BF17" s="144">
        <f>INDEX('Hospital Education Funding'!$G$9:$G$159,MATCH(C17,'Hospital Education Funding'!$C$9:$C$158,0))</f>
        <v>0</v>
      </c>
      <c r="BG17" s="152">
        <f>INDEX('Import|Export Adjustments Data'!$Q$9:$Q$159,MATCH('2019-20 StepbyStep Allocations'!$C17,'Import|Export Adjustments Data'!$C$9:$C$159,0))</f>
        <v>-37</v>
      </c>
      <c r="BH17" s="144">
        <f t="shared" si="43"/>
        <v>-222000</v>
      </c>
      <c r="BI17" s="153">
        <f>INDEX('Baselines+Historic Spend Factor'!$F$9:$F$159,MATCH('2019-20 StepbyStep Allocations'!C17,'Baselines+Historic Spend Factor'!C$9:C$159,0))-INDEX('Baselines+Historic Spend Factor'!$G$9:$G$159,MATCH('2019-20 StepbyStep Allocations'!C17,'Baselines+Historic Spend Factor'!C$9:C$159,0))</f>
        <v>3704033.0395838292</v>
      </c>
      <c r="BJ17" s="154">
        <f t="shared" si="2"/>
        <v>3733216.5008158726</v>
      </c>
      <c r="BK17" s="155">
        <f t="shared" si="44"/>
        <v>7.8788339413198294E-3</v>
      </c>
      <c r="BL17" s="156">
        <f t="shared" si="45"/>
        <v>499.97215590968125</v>
      </c>
      <c r="BM17" s="148">
        <f t="shared" si="5"/>
        <v>504.97187746877808</v>
      </c>
      <c r="BN17" s="148">
        <f t="shared" si="46"/>
        <v>504.97187746877808</v>
      </c>
      <c r="BO17" s="148">
        <f t="shared" si="6"/>
        <v>3851216.5008158726</v>
      </c>
      <c r="BP17" s="144">
        <f t="shared" si="7"/>
        <v>3733216.5008158726</v>
      </c>
      <c r="BQ17" s="148">
        <v>3689672.3093555258</v>
      </c>
      <c r="BR17" s="157">
        <f t="shared" si="3"/>
        <v>1.1801641937127183E-2</v>
      </c>
      <c r="BT17" s="94"/>
      <c r="BU17" s="158"/>
      <c r="BX17" s="94"/>
    </row>
    <row r="18" spans="1:76" ht="15.4" x14ac:dyDescent="0.45">
      <c r="A18" s="139" t="s">
        <v>161</v>
      </c>
      <c r="B18" s="140" t="s">
        <v>119</v>
      </c>
      <c r="C18" s="102">
        <v>822</v>
      </c>
      <c r="D18" s="141" t="s">
        <v>120</v>
      </c>
      <c r="E18" s="348">
        <v>1.023570261471221</v>
      </c>
      <c r="F18" s="142">
        <v>386.5</v>
      </c>
      <c r="G18" s="143">
        <f t="shared" si="8"/>
        <v>4094.281045884884</v>
      </c>
      <c r="H18" s="144">
        <f t="shared" si="9"/>
        <v>1582439.6242345076</v>
      </c>
      <c r="I18" s="144">
        <f>INDEX('Baselines+Historic Spend Factor'!$Q$9:$Q$159,MATCH(C18,'Baselines+Historic Spend Factor'!$C$9:$C$159,0))</f>
        <v>9199260.9491955824</v>
      </c>
      <c r="J18" s="142">
        <v>38131.828000000001</v>
      </c>
      <c r="K18" s="145">
        <f t="shared" si="10"/>
        <v>39030.60515633563</v>
      </c>
      <c r="L18" s="144">
        <f t="shared" si="11"/>
        <v>4573352.9021915719</v>
      </c>
      <c r="M18" s="142">
        <v>2974</v>
      </c>
      <c r="N18" s="145">
        <f t="shared" si="12"/>
        <v>3044.0979576154114</v>
      </c>
      <c r="O18" s="144">
        <f t="shared" si="13"/>
        <v>746822.47385273944</v>
      </c>
      <c r="P18" s="142">
        <v>4251</v>
      </c>
      <c r="Q18" s="145">
        <f t="shared" si="14"/>
        <v>4351.1971815141605</v>
      </c>
      <c r="R18" s="147">
        <f t="shared" si="15"/>
        <v>148123.89660505141</v>
      </c>
      <c r="S18" s="142">
        <v>2981</v>
      </c>
      <c r="T18" s="145">
        <f t="shared" si="16"/>
        <v>3051.2629494457096</v>
      </c>
      <c r="U18" s="147">
        <f t="shared" si="17"/>
        <v>134904.53455809585</v>
      </c>
      <c r="V18" s="142">
        <v>3911</v>
      </c>
      <c r="W18" s="145">
        <f t="shared" si="18"/>
        <v>4003.1832926139455</v>
      </c>
      <c r="X18" s="147">
        <f t="shared" si="19"/>
        <v>241401.56344052093</v>
      </c>
      <c r="Y18" s="142">
        <v>2380</v>
      </c>
      <c r="Z18" s="145">
        <f t="shared" si="20"/>
        <v>2436.097222301506</v>
      </c>
      <c r="AA18" s="147">
        <f t="shared" si="21"/>
        <v>157130.27644368791</v>
      </c>
      <c r="AB18" s="142">
        <v>924</v>
      </c>
      <c r="AC18" s="145">
        <f t="shared" si="22"/>
        <v>945.77892159940825</v>
      </c>
      <c r="AD18" s="147">
        <f t="shared" si="23"/>
        <v>66801.481234253661</v>
      </c>
      <c r="AE18" s="142">
        <v>383</v>
      </c>
      <c r="AF18" s="145">
        <f t="shared" si="24"/>
        <v>392.02741014347765</v>
      </c>
      <c r="AG18" s="147">
        <f t="shared" si="25"/>
        <v>37468.384588282141</v>
      </c>
      <c r="AH18" s="144">
        <f t="shared" si="26"/>
        <v>785830.13686989178</v>
      </c>
      <c r="AI18" s="142">
        <v>193</v>
      </c>
      <c r="AJ18" s="145">
        <f t="shared" si="27"/>
        <v>197.54906046394564</v>
      </c>
      <c r="AK18" s="147">
        <f t="shared" si="28"/>
        <v>609714.87297185487</v>
      </c>
      <c r="AL18" s="142">
        <v>1210</v>
      </c>
      <c r="AM18" s="145">
        <f t="shared" si="29"/>
        <v>1238.5200163801774</v>
      </c>
      <c r="AN18" s="147">
        <f t="shared" si="30"/>
        <v>631290.79138863937</v>
      </c>
      <c r="AO18" s="142">
        <v>400</v>
      </c>
      <c r="AP18" s="145">
        <f t="shared" si="31"/>
        <v>409.4281045884884</v>
      </c>
      <c r="AQ18" s="147">
        <f t="shared" si="32"/>
        <v>721149.99583730008</v>
      </c>
      <c r="AR18" s="142">
        <v>416</v>
      </c>
      <c r="AS18" s="145">
        <f t="shared" si="33"/>
        <v>425.80522877202793</v>
      </c>
      <c r="AT18" s="147">
        <f t="shared" si="34"/>
        <v>615995.07498552825</v>
      </c>
      <c r="AU18" s="144">
        <f t="shared" si="35"/>
        <v>17883417.197293106</v>
      </c>
      <c r="AV18" s="148">
        <f>INDEX('Baselines+Historic Spend Factor'!P$9:P$159,MATCH('2019-20 StepbyStep Allocations'!C18,'Baselines+Historic Spend Factor'!C$9:C$159,0))</f>
        <v>18398521.898391165</v>
      </c>
      <c r="AW18" s="149">
        <v>36948.271000000001</v>
      </c>
      <c r="AX18" s="150">
        <f t="shared" si="36"/>
        <v>497.95352801193769</v>
      </c>
      <c r="AY18" s="148">
        <f t="shared" si="37"/>
        <v>502.93306329205706</v>
      </c>
      <c r="AZ18" s="148">
        <f t="shared" si="38"/>
        <v>468.98924429463767</v>
      </c>
      <c r="BA18" s="148">
        <f t="shared" si="39"/>
        <v>502.93306329205706</v>
      </c>
      <c r="BB18" s="151">
        <f t="shared" si="40"/>
        <v>1294339.8676727284</v>
      </c>
      <c r="BC18" s="148">
        <f t="shared" si="41"/>
        <v>0</v>
      </c>
      <c r="BD18" s="144">
        <f t="shared" si="42"/>
        <v>1294339.8676727284</v>
      </c>
      <c r="BE18" s="144">
        <f t="shared" si="4"/>
        <v>19177757.064965833</v>
      </c>
      <c r="BF18" s="144">
        <f>INDEX('Hospital Education Funding'!$G$9:$G$159,MATCH(C18,'Hospital Education Funding'!$C$9:$C$158,0))</f>
        <v>672660</v>
      </c>
      <c r="BG18" s="152">
        <f>INDEX('Import|Export Adjustments Data'!$Q$9:$Q$159,MATCH('2019-20 StepbyStep Allocations'!$C18,'Import|Export Adjustments Data'!$C$9:$C$159,0))</f>
        <v>79.5</v>
      </c>
      <c r="BH18" s="144">
        <f t="shared" si="43"/>
        <v>477000</v>
      </c>
      <c r="BI18" s="153">
        <f>INDEX('Baselines+Historic Spend Factor'!$F$9:$F$159,MATCH('2019-20 StepbyStep Allocations'!C18,'Baselines+Historic Spend Factor'!C$9:C$159,0))-INDEX('Baselines+Historic Spend Factor'!$G$9:$G$159,MATCH('2019-20 StepbyStep Allocations'!C18,'Baselines+Historic Spend Factor'!C$9:C$159,0))</f>
        <v>20899735.869029168</v>
      </c>
      <c r="BJ18" s="154">
        <f t="shared" si="2"/>
        <v>21909856.689200342</v>
      </c>
      <c r="BK18" s="155">
        <f t="shared" si="44"/>
        <v>4.8331750530304474E-2</v>
      </c>
      <c r="BL18" s="156">
        <f t="shared" si="45"/>
        <v>497.95352801193769</v>
      </c>
      <c r="BM18" s="148">
        <f t="shared" si="5"/>
        <v>502.93306329205706</v>
      </c>
      <c r="BN18" s="148">
        <f t="shared" si="46"/>
        <v>502.93306329205706</v>
      </c>
      <c r="BO18" s="148">
        <f t="shared" si="6"/>
        <v>19177757.064965833</v>
      </c>
      <c r="BP18" s="144">
        <f t="shared" si="7"/>
        <v>21909856.689200342</v>
      </c>
      <c r="BQ18" s="148">
        <v>21418668.78996988</v>
      </c>
      <c r="BR18" s="157">
        <f t="shared" si="3"/>
        <v>2.293269969515932E-2</v>
      </c>
      <c r="BT18" s="94"/>
      <c r="BU18" s="158"/>
      <c r="BX18" s="94"/>
    </row>
    <row r="19" spans="1:76" ht="15.4" x14ac:dyDescent="0.45">
      <c r="A19" s="139" t="s">
        <v>224</v>
      </c>
      <c r="B19" s="140" t="s">
        <v>119</v>
      </c>
      <c r="C19" s="102">
        <v>873</v>
      </c>
      <c r="D19" s="141" t="s">
        <v>121</v>
      </c>
      <c r="E19" s="348">
        <v>1.0193022956972073</v>
      </c>
      <c r="F19" s="142">
        <v>1196.5</v>
      </c>
      <c r="G19" s="143">
        <f t="shared" si="8"/>
        <v>4077.2091827888294</v>
      </c>
      <c r="H19" s="144">
        <f t="shared" si="9"/>
        <v>4878380.7872068342</v>
      </c>
      <c r="I19" s="144">
        <f>INDEX('Baselines+Historic Spend Factor'!$Q$9:$Q$159,MATCH(C19,'Baselines+Historic Spend Factor'!$C$9:$C$159,0))</f>
        <v>29942833.983290799</v>
      </c>
      <c r="J19" s="142">
        <v>129943.50399999999</v>
      </c>
      <c r="K19" s="145">
        <f t="shared" si="10"/>
        <v>132451.71193813923</v>
      </c>
      <c r="L19" s="144">
        <f t="shared" si="11"/>
        <v>15519831.649194995</v>
      </c>
      <c r="M19" s="142">
        <v>8028.0000000000055</v>
      </c>
      <c r="N19" s="145">
        <f t="shared" si="12"/>
        <v>8182.9588298571862</v>
      </c>
      <c r="O19" s="144">
        <f t="shared" si="13"/>
        <v>2007562.7137624286</v>
      </c>
      <c r="P19" s="142">
        <v>11148</v>
      </c>
      <c r="Q19" s="145">
        <f t="shared" si="14"/>
        <v>11363.181992432466</v>
      </c>
      <c r="R19" s="147">
        <f t="shared" si="15"/>
        <v>386826.59606929857</v>
      </c>
      <c r="S19" s="142">
        <v>7351</v>
      </c>
      <c r="T19" s="145">
        <f t="shared" si="16"/>
        <v>7492.8911756701709</v>
      </c>
      <c r="U19" s="147">
        <f t="shared" si="17"/>
        <v>331280.85428752506</v>
      </c>
      <c r="V19" s="142">
        <v>3521</v>
      </c>
      <c r="W19" s="145">
        <f t="shared" si="18"/>
        <v>3588.9633831498668</v>
      </c>
      <c r="X19" s="147">
        <f t="shared" si="19"/>
        <v>216423.10843514762</v>
      </c>
      <c r="Y19" s="142">
        <v>1039</v>
      </c>
      <c r="Z19" s="145">
        <f t="shared" si="20"/>
        <v>1059.0550852293984</v>
      </c>
      <c r="AA19" s="147">
        <f t="shared" si="21"/>
        <v>68309.924902739775</v>
      </c>
      <c r="AB19" s="142">
        <v>1579</v>
      </c>
      <c r="AC19" s="145">
        <f t="shared" si="22"/>
        <v>1609.4783249058903</v>
      </c>
      <c r="AD19" s="147">
        <f t="shared" si="23"/>
        <v>113679.35324284788</v>
      </c>
      <c r="AE19" s="142">
        <v>348</v>
      </c>
      <c r="AF19" s="145">
        <f t="shared" si="24"/>
        <v>354.71719890262813</v>
      </c>
      <c r="AG19" s="147">
        <f t="shared" si="25"/>
        <v>33902.426423952347</v>
      </c>
      <c r="AH19" s="144">
        <f t="shared" si="26"/>
        <v>1150422.2633615113</v>
      </c>
      <c r="AI19" s="142">
        <v>527</v>
      </c>
      <c r="AJ19" s="145">
        <f t="shared" si="27"/>
        <v>537.17230983242825</v>
      </c>
      <c r="AK19" s="147">
        <f t="shared" si="28"/>
        <v>1657927.1290093146</v>
      </c>
      <c r="AL19" s="142">
        <v>3880</v>
      </c>
      <c r="AM19" s="145">
        <f t="shared" si="29"/>
        <v>3954.8929073051645</v>
      </c>
      <c r="AN19" s="147">
        <f t="shared" si="30"/>
        <v>2015863.6439377563</v>
      </c>
      <c r="AO19" s="142">
        <v>1328</v>
      </c>
      <c r="AP19" s="145">
        <f t="shared" si="31"/>
        <v>1353.6334486858914</v>
      </c>
      <c r="AQ19" s="147">
        <f t="shared" si="32"/>
        <v>2384234.8508688752</v>
      </c>
      <c r="AR19" s="142">
        <v>1648</v>
      </c>
      <c r="AS19" s="145">
        <f t="shared" si="33"/>
        <v>1679.8101833089977</v>
      </c>
      <c r="AT19" s="147">
        <f t="shared" si="34"/>
        <v>2430112.9481500047</v>
      </c>
      <c r="AU19" s="144">
        <f t="shared" si="35"/>
        <v>57108789.181575686</v>
      </c>
      <c r="AV19" s="148">
        <f>INDEX('Baselines+Historic Spend Factor'!P$9:P$159,MATCH('2019-20 StepbyStep Allocations'!C19,'Baselines+Historic Spend Factor'!C$9:C$159,0))</f>
        <v>59885667.966581598</v>
      </c>
      <c r="AW19" s="149">
        <v>127472.723</v>
      </c>
      <c r="AX19" s="150">
        <f t="shared" si="36"/>
        <v>469.79201947840716</v>
      </c>
      <c r="AY19" s="148">
        <f t="shared" si="37"/>
        <v>474.48993967319126</v>
      </c>
      <c r="AZ19" s="148">
        <f t="shared" si="38"/>
        <v>439.48937364022208</v>
      </c>
      <c r="BA19" s="148">
        <f t="shared" si="39"/>
        <v>474.48993967319126</v>
      </c>
      <c r="BB19" s="151">
        <f t="shared" si="40"/>
        <v>4548096.192307394</v>
      </c>
      <c r="BC19" s="148">
        <f t="shared" si="41"/>
        <v>0</v>
      </c>
      <c r="BD19" s="144">
        <f t="shared" si="42"/>
        <v>4548096.192307394</v>
      </c>
      <c r="BE19" s="144">
        <f t="shared" si="4"/>
        <v>61656885.373883083</v>
      </c>
      <c r="BF19" s="144">
        <f>INDEX('Hospital Education Funding'!$G$9:$G$159,MATCH(C19,'Hospital Education Funding'!$C$9:$C$158,0))</f>
        <v>630240</v>
      </c>
      <c r="BG19" s="152">
        <f>INDEX('Import|Export Adjustments Data'!$Q$9:$Q$159,MATCH('2019-20 StepbyStep Allocations'!$C19,'Import|Export Adjustments Data'!$C$9:$C$159,0))</f>
        <v>-82</v>
      </c>
      <c r="BH19" s="144">
        <f t="shared" si="43"/>
        <v>-492000</v>
      </c>
      <c r="BI19" s="153">
        <f>INDEX('Baselines+Historic Spend Factor'!$F$9:$F$159,MATCH('2019-20 StepbyStep Allocations'!C19,'Baselines+Historic Spend Factor'!C$9:C$159,0))-INDEX('Baselines+Historic Spend Factor'!$G$9:$G$159,MATCH('2019-20 StepbyStep Allocations'!C19,'Baselines+Historic Spend Factor'!C$9:C$159,0))</f>
        <v>64768219.46048788</v>
      </c>
      <c r="BJ19" s="154">
        <f t="shared" si="2"/>
        <v>66673506.161089927</v>
      </c>
      <c r="BK19" s="155">
        <f t="shared" si="44"/>
        <v>2.9416999826039403E-2</v>
      </c>
      <c r="BL19" s="156">
        <f t="shared" si="45"/>
        <v>469.79201947840716</v>
      </c>
      <c r="BM19" s="148">
        <f t="shared" si="5"/>
        <v>474.48993967319126</v>
      </c>
      <c r="BN19" s="148">
        <f t="shared" si="46"/>
        <v>474.48993967319126</v>
      </c>
      <c r="BO19" s="148">
        <f t="shared" si="6"/>
        <v>61656885.373883083</v>
      </c>
      <c r="BP19" s="144">
        <f t="shared" si="7"/>
        <v>66673506.16108992</v>
      </c>
      <c r="BQ19" s="148">
        <v>65730107.983259939</v>
      </c>
      <c r="BR19" s="157">
        <f t="shared" si="3"/>
        <v>1.4352603498996919E-2</v>
      </c>
      <c r="BT19" s="94"/>
      <c r="BU19" s="158"/>
      <c r="BX19" s="94"/>
    </row>
    <row r="20" spans="1:76" ht="15.4" x14ac:dyDescent="0.45">
      <c r="A20" s="139" t="s">
        <v>203</v>
      </c>
      <c r="B20" s="140" t="s">
        <v>119</v>
      </c>
      <c r="C20" s="102">
        <v>823</v>
      </c>
      <c r="D20" s="141" t="s">
        <v>122</v>
      </c>
      <c r="E20" s="348">
        <v>1.023570261471221</v>
      </c>
      <c r="F20" s="142">
        <v>622</v>
      </c>
      <c r="G20" s="143">
        <f t="shared" si="8"/>
        <v>4094.281045884884</v>
      </c>
      <c r="H20" s="144">
        <f t="shared" si="9"/>
        <v>2546642.8105403977</v>
      </c>
      <c r="I20" s="144">
        <f>INDEX('Baselines+Historic Spend Factor'!$Q$9:$Q$159,MATCH(C20,'Baselines+Historic Spend Factor'!$C$9:$C$159,0))</f>
        <v>11851259.56958691</v>
      </c>
      <c r="J20" s="142">
        <v>59826.716000000008</v>
      </c>
      <c r="K20" s="145">
        <f t="shared" si="10"/>
        <v>61236.847339084488</v>
      </c>
      <c r="L20" s="144">
        <f t="shared" si="11"/>
        <v>7175336.1849631481</v>
      </c>
      <c r="M20" s="142">
        <v>3021</v>
      </c>
      <c r="N20" s="145">
        <f t="shared" si="12"/>
        <v>3092.2057599045588</v>
      </c>
      <c r="O20" s="144">
        <f t="shared" si="13"/>
        <v>758624.98100508598</v>
      </c>
      <c r="P20" s="142">
        <v>3956</v>
      </c>
      <c r="Q20" s="145">
        <f t="shared" si="14"/>
        <v>4049.2439543801502</v>
      </c>
      <c r="R20" s="147">
        <f t="shared" si="15"/>
        <v>137844.77416362817</v>
      </c>
      <c r="S20" s="142">
        <v>4167</v>
      </c>
      <c r="T20" s="145">
        <f t="shared" si="16"/>
        <v>4265.2172795505776</v>
      </c>
      <c r="U20" s="147">
        <f t="shared" si="17"/>
        <v>188576.71771337988</v>
      </c>
      <c r="V20" s="142">
        <v>1583</v>
      </c>
      <c r="W20" s="145">
        <f t="shared" si="18"/>
        <v>1620.3117239089429</v>
      </c>
      <c r="X20" s="147">
        <f t="shared" si="19"/>
        <v>97708.68701773067</v>
      </c>
      <c r="Y20" s="142">
        <v>2728</v>
      </c>
      <c r="Z20" s="145">
        <f t="shared" si="20"/>
        <v>2792.2996732934907</v>
      </c>
      <c r="AA20" s="147">
        <f t="shared" si="21"/>
        <v>180105.62778923553</v>
      </c>
      <c r="AB20" s="142">
        <v>0</v>
      </c>
      <c r="AC20" s="145">
        <f t="shared" si="22"/>
        <v>0</v>
      </c>
      <c r="AD20" s="147">
        <f t="shared" si="23"/>
        <v>0</v>
      </c>
      <c r="AE20" s="142">
        <v>0</v>
      </c>
      <c r="AF20" s="145">
        <f t="shared" si="24"/>
        <v>0</v>
      </c>
      <c r="AG20" s="147">
        <f t="shared" si="25"/>
        <v>0</v>
      </c>
      <c r="AH20" s="144">
        <f t="shared" si="26"/>
        <v>604235.80668397434</v>
      </c>
      <c r="AI20" s="142">
        <v>230</v>
      </c>
      <c r="AJ20" s="145">
        <f t="shared" si="27"/>
        <v>235.42116013838083</v>
      </c>
      <c r="AK20" s="147">
        <f t="shared" si="28"/>
        <v>726603.21649495675</v>
      </c>
      <c r="AL20" s="142">
        <v>1950</v>
      </c>
      <c r="AM20" s="145">
        <f t="shared" si="29"/>
        <v>1995.9620098688808</v>
      </c>
      <c r="AN20" s="147">
        <f t="shared" si="30"/>
        <v>1017369.4571965676</v>
      </c>
      <c r="AO20" s="142">
        <v>572</v>
      </c>
      <c r="AP20" s="145">
        <f t="shared" si="31"/>
        <v>585.48218956153846</v>
      </c>
      <c r="AQ20" s="147">
        <f t="shared" si="32"/>
        <v>1031244.4940473393</v>
      </c>
      <c r="AR20" s="142">
        <v>696</v>
      </c>
      <c r="AS20" s="145">
        <f t="shared" si="33"/>
        <v>712.40490198396981</v>
      </c>
      <c r="AT20" s="147">
        <f t="shared" si="34"/>
        <v>1030607.144687326</v>
      </c>
      <c r="AU20" s="144">
        <f t="shared" si="35"/>
        <v>24195280.854665309</v>
      </c>
      <c r="AV20" s="148">
        <f>INDEX('Baselines+Historic Spend Factor'!P$9:P$159,MATCH('2019-20 StepbyStep Allocations'!C20,'Baselines+Historic Spend Factor'!C$9:C$159,0))</f>
        <v>23702519.139173821</v>
      </c>
      <c r="AW20" s="149">
        <v>57796.138000000006</v>
      </c>
      <c r="AX20" s="150">
        <f t="shared" si="36"/>
        <v>410.10558766355319</v>
      </c>
      <c r="AY20" s="148">
        <f t="shared" si="37"/>
        <v>414.20664354018874</v>
      </c>
      <c r="AZ20" s="148">
        <f t="shared" si="38"/>
        <v>404.42268057409848</v>
      </c>
      <c r="BA20" s="148">
        <f t="shared" si="39"/>
        <v>414.20664354018874</v>
      </c>
      <c r="BB20" s="151">
        <f t="shared" si="40"/>
        <v>585342.3737267995</v>
      </c>
      <c r="BC20" s="148">
        <f t="shared" si="41"/>
        <v>0</v>
      </c>
      <c r="BD20" s="144">
        <f t="shared" si="42"/>
        <v>585342.3737267995</v>
      </c>
      <c r="BE20" s="144">
        <f t="shared" si="4"/>
        <v>24780623.228392109</v>
      </c>
      <c r="BF20" s="144">
        <f>INDEX('Hospital Education Funding'!$G$9:$G$159,MATCH(C20,'Hospital Education Funding'!$C$9:$C$158,0))</f>
        <v>669119.94999999995</v>
      </c>
      <c r="BG20" s="152">
        <f>INDEX('Import|Export Adjustments Data'!$Q$9:$Q$159,MATCH('2019-20 StepbyStep Allocations'!$C20,'Import|Export Adjustments Data'!$C$9:$C$159,0))</f>
        <v>27.5</v>
      </c>
      <c r="BH20" s="144">
        <f t="shared" si="43"/>
        <v>165000</v>
      </c>
      <c r="BI20" s="153">
        <f>INDEX('Baselines+Historic Spend Factor'!$F$9:$F$159,MATCH('2019-20 StepbyStep Allocations'!C20,'Baselines+Historic Spend Factor'!C$9:C$159,0))-INDEX('Baselines+Historic Spend Factor'!$G$9:$G$159,MATCH('2019-20 StepbyStep Allocations'!C20,'Baselines+Historic Spend Factor'!C$9:C$159,0))</f>
        <v>27053677.047750637</v>
      </c>
      <c r="BJ20" s="154">
        <f t="shared" si="2"/>
        <v>28161385.988932505</v>
      </c>
      <c r="BK20" s="155">
        <f t="shared" si="44"/>
        <v>4.0944857115974509E-2</v>
      </c>
      <c r="BL20" s="156">
        <f t="shared" si="45"/>
        <v>410.10558766355319</v>
      </c>
      <c r="BM20" s="148">
        <f t="shared" si="5"/>
        <v>414.20664354018874</v>
      </c>
      <c r="BN20" s="148">
        <f t="shared" si="46"/>
        <v>414.20664354018874</v>
      </c>
      <c r="BO20" s="148">
        <f t="shared" si="6"/>
        <v>24780623.228392109</v>
      </c>
      <c r="BP20" s="144">
        <f t="shared" si="7"/>
        <v>28161385.988932505</v>
      </c>
      <c r="BQ20" s="148">
        <v>27554625.119478635</v>
      </c>
      <c r="BR20" s="157">
        <f t="shared" si="3"/>
        <v>2.2020291215101517E-2</v>
      </c>
      <c r="BT20" s="94"/>
      <c r="BU20" s="158"/>
      <c r="BX20" s="94"/>
    </row>
    <row r="21" spans="1:76" ht="15.4" x14ac:dyDescent="0.45">
      <c r="A21" s="139" t="s">
        <v>255</v>
      </c>
      <c r="B21" s="140" t="s">
        <v>119</v>
      </c>
      <c r="C21" s="102">
        <v>881</v>
      </c>
      <c r="D21" s="141" t="s">
        <v>123</v>
      </c>
      <c r="E21" s="348">
        <v>1.0189419796053065</v>
      </c>
      <c r="F21" s="142">
        <v>2839.5</v>
      </c>
      <c r="G21" s="143">
        <f t="shared" si="8"/>
        <v>4075.7679184212261</v>
      </c>
      <c r="H21" s="144">
        <f t="shared" si="9"/>
        <v>11573143.004357072</v>
      </c>
      <c r="I21" s="144">
        <f>INDEX('Baselines+Historic Spend Factor'!$Q$9:$Q$159,MATCH(C21,'Baselines+Historic Spend Factor'!$C$9:$C$159,0))</f>
        <v>60382948.208275236</v>
      </c>
      <c r="J21" s="142">
        <v>297024.22799999994</v>
      </c>
      <c r="K21" s="145">
        <f t="shared" si="10"/>
        <v>302650.45486905787</v>
      </c>
      <c r="L21" s="144">
        <f t="shared" si="11"/>
        <v>35462615.313827053</v>
      </c>
      <c r="M21" s="142">
        <v>20621.500000000015</v>
      </c>
      <c r="N21" s="145">
        <f t="shared" si="12"/>
        <v>21012.112032430843</v>
      </c>
      <c r="O21" s="144">
        <f t="shared" si="13"/>
        <v>5154997.5419396376</v>
      </c>
      <c r="P21" s="142">
        <v>29713</v>
      </c>
      <c r="Q21" s="145">
        <f t="shared" si="14"/>
        <v>30275.823040012474</v>
      </c>
      <c r="R21" s="147">
        <f t="shared" si="15"/>
        <v>1030652.6444409646</v>
      </c>
      <c r="S21" s="142">
        <v>22408</v>
      </c>
      <c r="T21" s="145">
        <f t="shared" si="16"/>
        <v>22832.451878995707</v>
      </c>
      <c r="U21" s="147">
        <f t="shared" si="17"/>
        <v>1009484.0545012957</v>
      </c>
      <c r="V21" s="142">
        <v>13398</v>
      </c>
      <c r="W21" s="145">
        <f t="shared" si="18"/>
        <v>13651.784642751896</v>
      </c>
      <c r="X21" s="147">
        <f t="shared" si="19"/>
        <v>823235.38934479037</v>
      </c>
      <c r="Y21" s="142">
        <v>11571</v>
      </c>
      <c r="Z21" s="145">
        <f t="shared" si="20"/>
        <v>11790.177646013002</v>
      </c>
      <c r="AA21" s="147">
        <f t="shared" si="21"/>
        <v>760476.1648584666</v>
      </c>
      <c r="AB21" s="142">
        <v>12119</v>
      </c>
      <c r="AC21" s="145">
        <f t="shared" si="22"/>
        <v>12348.557850836709</v>
      </c>
      <c r="AD21" s="147">
        <f t="shared" si="23"/>
        <v>872193.21207515511</v>
      </c>
      <c r="AE21" s="142">
        <v>4685</v>
      </c>
      <c r="AF21" s="145">
        <f t="shared" si="24"/>
        <v>4773.7431744508613</v>
      </c>
      <c r="AG21" s="147">
        <f t="shared" si="25"/>
        <v>456254.94686850935</v>
      </c>
      <c r="AH21" s="144">
        <f t="shared" si="26"/>
        <v>4952296.4120891821</v>
      </c>
      <c r="AI21" s="142">
        <v>1427</v>
      </c>
      <c r="AJ21" s="145">
        <f t="shared" si="27"/>
        <v>1454.0302048967724</v>
      </c>
      <c r="AK21" s="147">
        <f t="shared" si="28"/>
        <v>4487714.7964855926</v>
      </c>
      <c r="AL21" s="142">
        <v>10800</v>
      </c>
      <c r="AM21" s="145">
        <f t="shared" si="29"/>
        <v>11004.57337973731</v>
      </c>
      <c r="AN21" s="147">
        <f t="shared" si="30"/>
        <v>5609183.336489764</v>
      </c>
      <c r="AO21" s="142">
        <v>2932</v>
      </c>
      <c r="AP21" s="145">
        <f t="shared" si="31"/>
        <v>2987.5378842027585</v>
      </c>
      <c r="AQ21" s="147">
        <f t="shared" si="32"/>
        <v>5262127.608269643</v>
      </c>
      <c r="AR21" s="142">
        <v>3864</v>
      </c>
      <c r="AS21" s="145">
        <f t="shared" si="33"/>
        <v>3937.1918091949046</v>
      </c>
      <c r="AT21" s="147">
        <f t="shared" si="34"/>
        <v>5695774.9690666683</v>
      </c>
      <c r="AU21" s="144">
        <f t="shared" si="35"/>
        <v>127007658.18644278</v>
      </c>
      <c r="AV21" s="148">
        <f>INDEX('Baselines+Historic Spend Factor'!P$9:P$159,MATCH('2019-20 StepbyStep Allocations'!C21,'Baselines+Historic Spend Factor'!C$9:C$159,0))</f>
        <v>120765896.41655047</v>
      </c>
      <c r="AW21" s="149">
        <v>291724.78500000003</v>
      </c>
      <c r="AX21" s="150">
        <f t="shared" si="36"/>
        <v>413.97201275356309</v>
      </c>
      <c r="AY21" s="148">
        <f t="shared" si="37"/>
        <v>418.1117328810987</v>
      </c>
      <c r="AZ21" s="148">
        <f t="shared" si="38"/>
        <v>427.60033092803059</v>
      </c>
      <c r="BA21" s="148">
        <f t="shared" si="39"/>
        <v>427.60033092803059</v>
      </c>
      <c r="BB21" s="151">
        <f t="shared" si="40"/>
        <v>0</v>
      </c>
      <c r="BC21" s="148">
        <f t="shared" si="41"/>
        <v>0</v>
      </c>
      <c r="BD21" s="144">
        <f t="shared" si="42"/>
        <v>0</v>
      </c>
      <c r="BE21" s="144">
        <f t="shared" si="4"/>
        <v>127007658.18644279</v>
      </c>
      <c r="BF21" s="144">
        <f>INDEX('Hospital Education Funding'!$G$9:$G$159,MATCH(C21,'Hospital Education Funding'!$C$9:$C$158,0))</f>
        <v>0</v>
      </c>
      <c r="BG21" s="152">
        <f>INDEX('Import|Export Adjustments Data'!$Q$9:$Q$159,MATCH('2019-20 StepbyStep Allocations'!$C21,'Import|Export Adjustments Data'!$C$9:$C$159,0))</f>
        <v>-167.5</v>
      </c>
      <c r="BH21" s="144">
        <f t="shared" si="43"/>
        <v>-1005000</v>
      </c>
      <c r="BI21" s="153">
        <f>INDEX('Baselines+Historic Spend Factor'!$F$9:$F$159,MATCH('2019-20 StepbyStep Allocations'!C21,'Baselines+Historic Spend Factor'!C$9:C$159,0))-INDEX('Baselines+Historic Spend Factor'!$G$9:$G$159,MATCH('2019-20 StepbyStep Allocations'!C21,'Baselines+Historic Spend Factor'!C$9:C$159,0))</f>
        <v>130526249.65975489</v>
      </c>
      <c r="BJ21" s="154">
        <f t="shared" si="2"/>
        <v>137575801.19079986</v>
      </c>
      <c r="BK21" s="155">
        <f t="shared" si="44"/>
        <v>5.4008688286234952E-2</v>
      </c>
      <c r="BL21" s="156">
        <f t="shared" si="45"/>
        <v>413.97201275356309</v>
      </c>
      <c r="BM21" s="148">
        <f t="shared" si="5"/>
        <v>427.60033092803059</v>
      </c>
      <c r="BN21" s="148">
        <f t="shared" si="46"/>
        <v>427.60033092803059</v>
      </c>
      <c r="BO21" s="148">
        <f t="shared" si="6"/>
        <v>127007658.18644279</v>
      </c>
      <c r="BP21" s="144">
        <f t="shared" si="7"/>
        <v>137575801.19079986</v>
      </c>
      <c r="BQ21" s="148">
        <v>135837248.08483994</v>
      </c>
      <c r="BR21" s="157">
        <f t="shared" si="3"/>
        <v>1.2798795105699368E-2</v>
      </c>
      <c r="BT21" s="94"/>
      <c r="BU21" s="158"/>
      <c r="BX21" s="94"/>
    </row>
    <row r="22" spans="1:76" ht="15.4" x14ac:dyDescent="0.45">
      <c r="A22" s="139" t="s">
        <v>186</v>
      </c>
      <c r="B22" s="140" t="s">
        <v>119</v>
      </c>
      <c r="C22" s="102">
        <v>919</v>
      </c>
      <c r="D22" s="141" t="s">
        <v>124</v>
      </c>
      <c r="E22" s="348">
        <v>1.0525261171555516</v>
      </c>
      <c r="F22" s="142">
        <v>2329.5</v>
      </c>
      <c r="G22" s="143">
        <f t="shared" si="8"/>
        <v>4210.1044686222058</v>
      </c>
      <c r="H22" s="144">
        <f t="shared" si="9"/>
        <v>9807438.3596554287</v>
      </c>
      <c r="I22" s="144">
        <f>INDEX('Baselines+Historic Spend Factor'!$Q$9:$Q$159,MATCH(C22,'Baselines+Historic Spend Factor'!$C$9:$C$159,0))</f>
        <v>45998113.497759625</v>
      </c>
      <c r="J22" s="142">
        <v>260151.57500000004</v>
      </c>
      <c r="K22" s="145">
        <f t="shared" si="10"/>
        <v>273816.32710665133</v>
      </c>
      <c r="L22" s="144">
        <f t="shared" si="11"/>
        <v>32084019.431027658</v>
      </c>
      <c r="M22" s="142">
        <v>14039.000000000002</v>
      </c>
      <c r="N22" s="145">
        <f t="shared" si="12"/>
        <v>14776.414158746789</v>
      </c>
      <c r="O22" s="144">
        <f t="shared" si="13"/>
        <v>3625165.2641797541</v>
      </c>
      <c r="P22" s="142">
        <v>23791</v>
      </c>
      <c r="Q22" s="145">
        <f t="shared" si="14"/>
        <v>25040.648853247727</v>
      </c>
      <c r="R22" s="147">
        <f t="shared" si="15"/>
        <v>852436.31279682426</v>
      </c>
      <c r="S22" s="142">
        <v>18901</v>
      </c>
      <c r="T22" s="145">
        <f t="shared" si="16"/>
        <v>19893.796140357081</v>
      </c>
      <c r="U22" s="147">
        <f t="shared" si="17"/>
        <v>879558.18733880227</v>
      </c>
      <c r="V22" s="142">
        <v>7224</v>
      </c>
      <c r="W22" s="145">
        <f t="shared" si="18"/>
        <v>7603.4486703317043</v>
      </c>
      <c r="X22" s="147">
        <f t="shared" si="19"/>
        <v>458506.20928209188</v>
      </c>
      <c r="Y22" s="142">
        <v>3682</v>
      </c>
      <c r="Z22" s="145">
        <f t="shared" si="20"/>
        <v>3875.401163366741</v>
      </c>
      <c r="AA22" s="147">
        <f t="shared" si="21"/>
        <v>249966.5656014772</v>
      </c>
      <c r="AB22" s="142">
        <v>2101</v>
      </c>
      <c r="AC22" s="145">
        <f t="shared" si="22"/>
        <v>2211.3573721438138</v>
      </c>
      <c r="AD22" s="147">
        <f t="shared" si="23"/>
        <v>156190.78055543959</v>
      </c>
      <c r="AE22" s="142">
        <v>0</v>
      </c>
      <c r="AF22" s="145">
        <f t="shared" si="24"/>
        <v>0</v>
      </c>
      <c r="AG22" s="147">
        <f t="shared" si="25"/>
        <v>0</v>
      </c>
      <c r="AH22" s="144">
        <f t="shared" si="26"/>
        <v>2596658.055574635</v>
      </c>
      <c r="AI22" s="142">
        <v>1113</v>
      </c>
      <c r="AJ22" s="145">
        <f t="shared" si="27"/>
        <v>1171.4615683941288</v>
      </c>
      <c r="AK22" s="147">
        <f t="shared" si="28"/>
        <v>3615595.739546401</v>
      </c>
      <c r="AL22" s="142">
        <v>7440</v>
      </c>
      <c r="AM22" s="145">
        <f t="shared" si="29"/>
        <v>7830.7943116373035</v>
      </c>
      <c r="AN22" s="147">
        <f t="shared" si="30"/>
        <v>3991464.2257002522</v>
      </c>
      <c r="AO22" s="142">
        <v>1870</v>
      </c>
      <c r="AP22" s="145">
        <f t="shared" si="31"/>
        <v>1968.2238390808814</v>
      </c>
      <c r="AQ22" s="147">
        <f t="shared" si="32"/>
        <v>3466749.3448859849</v>
      </c>
      <c r="AR22" s="142">
        <v>2449</v>
      </c>
      <c r="AS22" s="145">
        <f t="shared" si="33"/>
        <v>2577.6364609139459</v>
      </c>
      <c r="AT22" s="147">
        <f t="shared" si="34"/>
        <v>3728961.6419346905</v>
      </c>
      <c r="AU22" s="144">
        <f t="shared" si="35"/>
        <v>99106727.200609028</v>
      </c>
      <c r="AV22" s="148">
        <f>INDEX('Baselines+Historic Spend Factor'!P$9:P$159,MATCH('2019-20 StepbyStep Allocations'!C22,'Baselines+Historic Spend Factor'!C$9:C$159,0))</f>
        <v>91996226.995519251</v>
      </c>
      <c r="AW22" s="149">
        <v>254053.45</v>
      </c>
      <c r="AX22" s="150">
        <f t="shared" si="36"/>
        <v>362.11366936965135</v>
      </c>
      <c r="AY22" s="148">
        <f t="shared" si="37"/>
        <v>365.73480606334789</v>
      </c>
      <c r="AZ22" s="148">
        <f t="shared" si="38"/>
        <v>380.95762903072568</v>
      </c>
      <c r="BA22" s="148">
        <f t="shared" si="39"/>
        <v>380.95762903072568</v>
      </c>
      <c r="BB22" s="151">
        <f t="shared" si="40"/>
        <v>0</v>
      </c>
      <c r="BC22" s="148">
        <f t="shared" si="41"/>
        <v>0</v>
      </c>
      <c r="BD22" s="144">
        <f t="shared" si="42"/>
        <v>0</v>
      </c>
      <c r="BE22" s="144">
        <f t="shared" si="4"/>
        <v>99106727.200609028</v>
      </c>
      <c r="BF22" s="144">
        <f>INDEX('Hospital Education Funding'!$G$9:$G$159,MATCH(C22,'Hospital Education Funding'!$C$9:$C$158,0))</f>
        <v>1341843.58</v>
      </c>
      <c r="BG22" s="152">
        <f>INDEX('Import|Export Adjustments Data'!$Q$9:$Q$159,MATCH('2019-20 StepbyStep Allocations'!$C22,'Import|Export Adjustments Data'!$C$9:$C$159,0))</f>
        <v>143</v>
      </c>
      <c r="BH22" s="144">
        <f t="shared" si="43"/>
        <v>858000</v>
      </c>
      <c r="BI22" s="153">
        <f>INDEX('Baselines+Historic Spend Factor'!$F$9:$F$159,MATCH('2019-20 StepbyStep Allocations'!C22,'Baselines+Historic Spend Factor'!C$9:C$159,0))-INDEX('Baselines+Historic Spend Factor'!$G$9:$G$159,MATCH('2019-20 StepbyStep Allocations'!C22,'Baselines+Historic Spend Factor'!C$9:C$159,0))</f>
        <v>103501625.10215352</v>
      </c>
      <c r="BJ22" s="154">
        <f t="shared" si="2"/>
        <v>111114009.14026445</v>
      </c>
      <c r="BK22" s="155">
        <f t="shared" si="44"/>
        <v>7.3548449414177819E-2</v>
      </c>
      <c r="BL22" s="156">
        <f t="shared" si="45"/>
        <v>362.11366936965135</v>
      </c>
      <c r="BM22" s="148">
        <f t="shared" si="5"/>
        <v>380.95762903072568</v>
      </c>
      <c r="BN22" s="148">
        <f t="shared" si="46"/>
        <v>380.95762903072568</v>
      </c>
      <c r="BO22" s="148">
        <f t="shared" si="6"/>
        <v>99106727.200609028</v>
      </c>
      <c r="BP22" s="144">
        <f t="shared" si="7"/>
        <v>111114009.14026445</v>
      </c>
      <c r="BQ22" s="148">
        <v>107947640.664643</v>
      </c>
      <c r="BR22" s="157">
        <f t="shared" si="3"/>
        <v>2.9332447250591587E-2</v>
      </c>
      <c r="BT22" s="94"/>
      <c r="BU22" s="158"/>
      <c r="BX22" s="94"/>
    </row>
    <row r="23" spans="1:76" ht="15.4" x14ac:dyDescent="0.45">
      <c r="A23" s="139" t="s">
        <v>204</v>
      </c>
      <c r="B23" s="140" t="s">
        <v>119</v>
      </c>
      <c r="C23" s="102">
        <v>821</v>
      </c>
      <c r="D23" s="141" t="s">
        <v>125</v>
      </c>
      <c r="E23" s="348">
        <v>1.023570261471221</v>
      </c>
      <c r="F23" s="142">
        <v>506</v>
      </c>
      <c r="G23" s="143">
        <f t="shared" si="8"/>
        <v>4094.281045884884</v>
      </c>
      <c r="H23" s="144">
        <f t="shared" si="9"/>
        <v>2071706.2092177512</v>
      </c>
      <c r="I23" s="144">
        <f>INDEX('Baselines+Historic Spend Factor'!$Q$9:$Q$159,MATCH(C23,'Baselines+Historic Spend Factor'!$C$9:$C$159,0))</f>
        <v>12903647.308808958</v>
      </c>
      <c r="J23" s="142">
        <v>54934.473999999995</v>
      </c>
      <c r="K23" s="145">
        <f t="shared" si="10"/>
        <v>56229.293915963986</v>
      </c>
      <c r="L23" s="144">
        <f t="shared" si="11"/>
        <v>6588583.5868730815</v>
      </c>
      <c r="M23" s="142">
        <v>5605</v>
      </c>
      <c r="N23" s="145">
        <f t="shared" si="12"/>
        <v>5737.1113155461935</v>
      </c>
      <c r="O23" s="144">
        <f t="shared" si="13"/>
        <v>1407511.757210694</v>
      </c>
      <c r="P23" s="142">
        <v>9372</v>
      </c>
      <c r="Q23" s="145">
        <f t="shared" si="14"/>
        <v>9592.9004905082838</v>
      </c>
      <c r="R23" s="147">
        <f t="shared" si="15"/>
        <v>326562.49329158833</v>
      </c>
      <c r="S23" s="142">
        <v>4589</v>
      </c>
      <c r="T23" s="145">
        <f t="shared" si="16"/>
        <v>4697.1639298914333</v>
      </c>
      <c r="U23" s="147">
        <f t="shared" si="17"/>
        <v>207674.23988161754</v>
      </c>
      <c r="V23" s="142">
        <v>10239</v>
      </c>
      <c r="W23" s="145">
        <f t="shared" si="18"/>
        <v>10480.335907203831</v>
      </c>
      <c r="X23" s="147">
        <f t="shared" si="19"/>
        <v>631989.41653477203</v>
      </c>
      <c r="Y23" s="142">
        <v>2745</v>
      </c>
      <c r="Z23" s="145">
        <f t="shared" si="20"/>
        <v>2809.7003677385014</v>
      </c>
      <c r="AA23" s="147">
        <f t="shared" si="21"/>
        <v>181227.98690669044</v>
      </c>
      <c r="AB23" s="142">
        <v>3600</v>
      </c>
      <c r="AC23" s="145">
        <f t="shared" si="22"/>
        <v>3684.8529412963953</v>
      </c>
      <c r="AD23" s="147">
        <f t="shared" si="23"/>
        <v>260265.51130228696</v>
      </c>
      <c r="AE23" s="142">
        <v>384</v>
      </c>
      <c r="AF23" s="145">
        <f t="shared" si="24"/>
        <v>393.05098040494886</v>
      </c>
      <c r="AG23" s="147">
        <f t="shared" si="25"/>
        <v>37566.2132686693</v>
      </c>
      <c r="AH23" s="144">
        <f t="shared" si="26"/>
        <v>1645285.8611856245</v>
      </c>
      <c r="AI23" s="142">
        <v>366</v>
      </c>
      <c r="AJ23" s="145">
        <f t="shared" si="27"/>
        <v>374.62671569846691</v>
      </c>
      <c r="AK23" s="147">
        <f t="shared" si="28"/>
        <v>1156246.8575528443</v>
      </c>
      <c r="AL23" s="142">
        <v>1890</v>
      </c>
      <c r="AM23" s="145">
        <f t="shared" si="29"/>
        <v>1934.5477941806078</v>
      </c>
      <c r="AN23" s="147">
        <f t="shared" si="30"/>
        <v>986065.78159051936</v>
      </c>
      <c r="AO23" s="142">
        <v>711</v>
      </c>
      <c r="AP23" s="145">
        <f t="shared" si="31"/>
        <v>727.75845590603808</v>
      </c>
      <c r="AQ23" s="147">
        <f t="shared" si="32"/>
        <v>1281844.1176008009</v>
      </c>
      <c r="AR23" s="142">
        <v>654</v>
      </c>
      <c r="AS23" s="145">
        <f t="shared" si="33"/>
        <v>669.41495100217855</v>
      </c>
      <c r="AT23" s="147">
        <f t="shared" si="34"/>
        <v>968415.3342320564</v>
      </c>
      <c r="AU23" s="144">
        <f t="shared" si="35"/>
        <v>26937600.60505458</v>
      </c>
      <c r="AV23" s="148">
        <f>INDEX('Baselines+Historic Spend Factor'!P$9:P$159,MATCH('2019-20 StepbyStep Allocations'!C23,'Baselines+Historic Spend Factor'!C$9:C$159,0))</f>
        <v>25807294.617617916</v>
      </c>
      <c r="AW23" s="149">
        <v>53290.075000000012</v>
      </c>
      <c r="AX23" s="150">
        <f t="shared" si="36"/>
        <v>484.27957021298829</v>
      </c>
      <c r="AY23" s="148">
        <f t="shared" si="37"/>
        <v>489.12236591511817</v>
      </c>
      <c r="AZ23" s="148">
        <f t="shared" si="38"/>
        <v>490.35876096774098</v>
      </c>
      <c r="BA23" s="148">
        <f t="shared" si="39"/>
        <v>490.35876096774098</v>
      </c>
      <c r="BB23" s="151">
        <f t="shared" si="40"/>
        <v>0</v>
      </c>
      <c r="BC23" s="148">
        <f t="shared" si="41"/>
        <v>0</v>
      </c>
      <c r="BD23" s="144">
        <f t="shared" si="42"/>
        <v>0</v>
      </c>
      <c r="BE23" s="144">
        <f t="shared" si="4"/>
        <v>26937600.60505458</v>
      </c>
      <c r="BF23" s="144">
        <f>INDEX('Hospital Education Funding'!$G$9:$G$159,MATCH(C23,'Hospital Education Funding'!$C$9:$C$158,0))</f>
        <v>55823.71</v>
      </c>
      <c r="BG23" s="152">
        <f>INDEX('Import|Export Adjustments Data'!$Q$9:$Q$159,MATCH('2019-20 StepbyStep Allocations'!$C23,'Import|Export Adjustments Data'!$C$9:$C$159,0))</f>
        <v>-133</v>
      </c>
      <c r="BH23" s="144">
        <f t="shared" si="43"/>
        <v>-798000</v>
      </c>
      <c r="BI23" s="153">
        <f>INDEX('Baselines+Historic Spend Factor'!$F$9:$F$159,MATCH('2019-20 StepbyStep Allocations'!C23,'Baselines+Historic Spend Factor'!C$9:C$159,0))-INDEX('Baselines+Historic Spend Factor'!$G$9:$G$159,MATCH('2019-20 StepbyStep Allocations'!C23,'Baselines+Historic Spend Factor'!C$9:C$159,0))</f>
        <v>26948217.741862617</v>
      </c>
      <c r="BJ23" s="154">
        <f t="shared" si="2"/>
        <v>28267130.52427233</v>
      </c>
      <c r="BK23" s="155">
        <f t="shared" si="44"/>
        <v>4.8942486476975855E-2</v>
      </c>
      <c r="BL23" s="156">
        <f t="shared" si="45"/>
        <v>484.27957021298829</v>
      </c>
      <c r="BM23" s="148">
        <f t="shared" si="5"/>
        <v>490.35876096774098</v>
      </c>
      <c r="BN23" s="148">
        <f t="shared" si="46"/>
        <v>490.35876096774098</v>
      </c>
      <c r="BO23" s="148">
        <f t="shared" si="6"/>
        <v>26937600.60505458</v>
      </c>
      <c r="BP23" s="144">
        <f t="shared" si="7"/>
        <v>28267130.52427233</v>
      </c>
      <c r="BQ23" s="148">
        <v>27961099.893980816</v>
      </c>
      <c r="BR23" s="157">
        <f t="shared" si="3"/>
        <v>1.0944870961867803E-2</v>
      </c>
      <c r="BT23" s="94"/>
      <c r="BU23" s="158"/>
      <c r="BX23" s="94"/>
    </row>
    <row r="24" spans="1:76" ht="15.4" x14ac:dyDescent="0.45">
      <c r="A24" s="139" t="s">
        <v>225</v>
      </c>
      <c r="B24" s="140" t="s">
        <v>119</v>
      </c>
      <c r="C24" s="102">
        <v>926</v>
      </c>
      <c r="D24" s="141" t="s">
        <v>126</v>
      </c>
      <c r="E24" s="348">
        <v>1</v>
      </c>
      <c r="F24" s="142">
        <v>1749.5</v>
      </c>
      <c r="G24" s="143">
        <f t="shared" si="8"/>
        <v>4000</v>
      </c>
      <c r="H24" s="144">
        <f t="shared" si="9"/>
        <v>6998000</v>
      </c>
      <c r="I24" s="144">
        <f>INDEX('Baselines+Historic Spend Factor'!$Q$9:$Q$159,MATCH(C24,'Baselines+Historic Spend Factor'!$C$9:$C$159,0))</f>
        <v>34785120.359491892</v>
      </c>
      <c r="J24" s="142">
        <v>163856.94799999997</v>
      </c>
      <c r="K24" s="145">
        <f t="shared" si="10"/>
        <v>163856.94799999997</v>
      </c>
      <c r="L24" s="144">
        <f t="shared" si="11"/>
        <v>19199693.30935191</v>
      </c>
      <c r="M24" s="142">
        <v>14534.000000000005</v>
      </c>
      <c r="N24" s="145">
        <f t="shared" si="12"/>
        <v>14534.000000000005</v>
      </c>
      <c r="O24" s="144">
        <f t="shared" si="13"/>
        <v>3565692.6899548359</v>
      </c>
      <c r="P24" s="142">
        <v>13112</v>
      </c>
      <c r="Q24" s="145">
        <f t="shared" si="14"/>
        <v>13112</v>
      </c>
      <c r="R24" s="147">
        <f t="shared" si="15"/>
        <v>446360.03639108199</v>
      </c>
      <c r="S24" s="142">
        <v>10062</v>
      </c>
      <c r="T24" s="145">
        <f t="shared" si="16"/>
        <v>10062</v>
      </c>
      <c r="U24" s="147">
        <f t="shared" si="17"/>
        <v>444868.05929660914</v>
      </c>
      <c r="V24" s="142">
        <v>8640</v>
      </c>
      <c r="W24" s="145">
        <f t="shared" si="18"/>
        <v>8640</v>
      </c>
      <c r="X24" s="147">
        <f t="shared" si="19"/>
        <v>521012.74302736262</v>
      </c>
      <c r="Y24" s="142">
        <v>6469</v>
      </c>
      <c r="Z24" s="145">
        <f t="shared" si="20"/>
        <v>6469</v>
      </c>
      <c r="AA24" s="147">
        <f t="shared" si="21"/>
        <v>417255.82583846973</v>
      </c>
      <c r="AB24" s="142">
        <v>8991</v>
      </c>
      <c r="AC24" s="145">
        <f t="shared" si="22"/>
        <v>8991</v>
      </c>
      <c r="AD24" s="147">
        <f t="shared" si="23"/>
        <v>635044.93921420723</v>
      </c>
      <c r="AE24" s="142">
        <v>3103</v>
      </c>
      <c r="AF24" s="145">
        <f t="shared" si="24"/>
        <v>3103</v>
      </c>
      <c r="AG24" s="147">
        <f t="shared" si="25"/>
        <v>296572.11299303797</v>
      </c>
      <c r="AH24" s="144">
        <f t="shared" si="26"/>
        <v>2761113.7167607686</v>
      </c>
      <c r="AI24" s="142">
        <v>911</v>
      </c>
      <c r="AJ24" s="145">
        <f t="shared" si="27"/>
        <v>911</v>
      </c>
      <c r="AK24" s="147">
        <f t="shared" si="28"/>
        <v>2811707.8763770391</v>
      </c>
      <c r="AL24" s="142">
        <v>6310</v>
      </c>
      <c r="AM24" s="145">
        <f t="shared" si="29"/>
        <v>6310</v>
      </c>
      <c r="AN24" s="147">
        <f t="shared" si="30"/>
        <v>3216294.3198162671</v>
      </c>
      <c r="AO24" s="142">
        <v>1830</v>
      </c>
      <c r="AP24" s="145">
        <f t="shared" si="31"/>
        <v>1830</v>
      </c>
      <c r="AQ24" s="147">
        <f t="shared" si="32"/>
        <v>3223287.5017426549</v>
      </c>
      <c r="AR24" s="142">
        <v>1946</v>
      </c>
      <c r="AS24" s="145">
        <f t="shared" si="33"/>
        <v>1946</v>
      </c>
      <c r="AT24" s="147">
        <f t="shared" si="34"/>
        <v>2815198.9100247161</v>
      </c>
      <c r="AU24" s="144">
        <f t="shared" si="35"/>
        <v>72378108.683520094</v>
      </c>
      <c r="AV24" s="148">
        <f>INDEX('Baselines+Historic Spend Factor'!P$9:P$159,MATCH('2019-20 StepbyStep Allocations'!C24,'Baselines+Historic Spend Factor'!C$9:C$159,0))</f>
        <v>69570240.718983784</v>
      </c>
      <c r="AW24" s="149">
        <v>161470.84999999998</v>
      </c>
      <c r="AX24" s="150">
        <f t="shared" si="36"/>
        <v>430.85325133907327</v>
      </c>
      <c r="AY24" s="148">
        <f t="shared" si="37"/>
        <v>435.161783852464</v>
      </c>
      <c r="AZ24" s="148">
        <f t="shared" si="38"/>
        <v>441.71522518239573</v>
      </c>
      <c r="BA24" s="148">
        <f t="shared" si="39"/>
        <v>441.71522518239573</v>
      </c>
      <c r="BB24" s="151">
        <f t="shared" si="40"/>
        <v>0</v>
      </c>
      <c r="BC24" s="148">
        <f t="shared" si="41"/>
        <v>0</v>
      </c>
      <c r="BD24" s="144">
        <f t="shared" si="42"/>
        <v>0</v>
      </c>
      <c r="BE24" s="144">
        <f t="shared" si="4"/>
        <v>72378108.683520094</v>
      </c>
      <c r="BF24" s="144">
        <f>INDEX('Hospital Education Funding'!$G$9:$G$159,MATCH(C24,'Hospital Education Funding'!$C$9:$C$158,0))</f>
        <v>0</v>
      </c>
      <c r="BG24" s="152">
        <f>INDEX('Import|Export Adjustments Data'!$Q$9:$Q$159,MATCH('2019-20 StepbyStep Allocations'!$C24,'Import|Export Adjustments Data'!$C$9:$C$159,0))</f>
        <v>-42.5</v>
      </c>
      <c r="BH24" s="144">
        <f t="shared" si="43"/>
        <v>-255000</v>
      </c>
      <c r="BI24" s="153">
        <f>INDEX('Baselines+Historic Spend Factor'!$F$9:$F$159,MATCH('2019-20 StepbyStep Allocations'!C24,'Baselines+Historic Spend Factor'!C$9:C$159,0))-INDEX('Baselines+Historic Spend Factor'!$G$9:$G$159,MATCH('2019-20 StepbyStep Allocations'!C24,'Baselines+Historic Spend Factor'!C$9:C$159,0))</f>
        <v>76456240.718983784</v>
      </c>
      <c r="BJ24" s="154">
        <f t="shared" si="2"/>
        <v>79121108.683520094</v>
      </c>
      <c r="BK24" s="155">
        <f t="shared" si="44"/>
        <v>3.4854812890043663E-2</v>
      </c>
      <c r="BL24" s="156">
        <f t="shared" si="45"/>
        <v>430.85325133907327</v>
      </c>
      <c r="BM24" s="148">
        <f t="shared" si="5"/>
        <v>441.71522518239573</v>
      </c>
      <c r="BN24" s="148">
        <f t="shared" si="46"/>
        <v>441.71522518239573</v>
      </c>
      <c r="BO24" s="148">
        <f t="shared" si="6"/>
        <v>72378108.683520094</v>
      </c>
      <c r="BP24" s="144">
        <f t="shared" si="7"/>
        <v>79121108.683520094</v>
      </c>
      <c r="BQ24" s="148">
        <v>78659534.951663211</v>
      </c>
      <c r="BR24" s="157">
        <f t="shared" si="3"/>
        <v>5.8679946702013819E-3</v>
      </c>
      <c r="BT24" s="94"/>
      <c r="BU24" s="158"/>
      <c r="BX24" s="94"/>
    </row>
    <row r="25" spans="1:76" ht="15.4" x14ac:dyDescent="0.45">
      <c r="A25" s="139" t="s">
        <v>187</v>
      </c>
      <c r="B25" s="140" t="s">
        <v>119</v>
      </c>
      <c r="C25" s="102">
        <v>874</v>
      </c>
      <c r="D25" s="141" t="s">
        <v>127</v>
      </c>
      <c r="E25" s="348">
        <v>1.0193022956972073</v>
      </c>
      <c r="F25" s="142">
        <v>606</v>
      </c>
      <c r="G25" s="143">
        <f t="shared" si="8"/>
        <v>4077.2091827888294</v>
      </c>
      <c r="H25" s="144">
        <f t="shared" si="9"/>
        <v>2470788.7647700305</v>
      </c>
      <c r="I25" s="144">
        <f>INDEX('Baselines+Historic Spend Factor'!$Q$9:$Q$159,MATCH(C25,'Baselines+Historic Spend Factor'!$C$9:$C$159,0))</f>
        <v>12304297.130860716</v>
      </c>
      <c r="J25" s="142">
        <v>47405.159000000007</v>
      </c>
      <c r="K25" s="145">
        <f t="shared" si="10"/>
        <v>48320.187396591136</v>
      </c>
      <c r="L25" s="144">
        <f t="shared" si="11"/>
        <v>5661845.8355819099</v>
      </c>
      <c r="M25" s="142">
        <v>5049.0000000000018</v>
      </c>
      <c r="N25" s="145">
        <f t="shared" si="12"/>
        <v>5146.4572909752014</v>
      </c>
      <c r="O25" s="144">
        <f t="shared" si="13"/>
        <v>1262603.9040591053</v>
      </c>
      <c r="P25" s="142">
        <v>5807</v>
      </c>
      <c r="Q25" s="145">
        <f t="shared" si="14"/>
        <v>5919.0884311136833</v>
      </c>
      <c r="R25" s="147">
        <f t="shared" si="15"/>
        <v>201498.20984700549</v>
      </c>
      <c r="S25" s="142">
        <v>7178</v>
      </c>
      <c r="T25" s="145">
        <f t="shared" si="16"/>
        <v>7316.5518785145541</v>
      </c>
      <c r="U25" s="147">
        <f t="shared" si="17"/>
        <v>323484.42008921981</v>
      </c>
      <c r="V25" s="142">
        <v>4691</v>
      </c>
      <c r="W25" s="145">
        <f t="shared" si="18"/>
        <v>4781.5470691155997</v>
      </c>
      <c r="X25" s="147">
        <f t="shared" si="19"/>
        <v>288338.76786971814</v>
      </c>
      <c r="Y25" s="142">
        <v>4515</v>
      </c>
      <c r="Z25" s="145">
        <f t="shared" si="20"/>
        <v>4602.1498650728909</v>
      </c>
      <c r="AA25" s="147">
        <f t="shared" si="21"/>
        <v>296842.45518370555</v>
      </c>
      <c r="AB25" s="142">
        <v>4764</v>
      </c>
      <c r="AC25" s="145">
        <f t="shared" si="22"/>
        <v>4855.9561367014958</v>
      </c>
      <c r="AD25" s="147">
        <f t="shared" si="23"/>
        <v>342981.91187392484</v>
      </c>
      <c r="AE25" s="142">
        <v>1857</v>
      </c>
      <c r="AF25" s="145">
        <f t="shared" si="24"/>
        <v>1892.8443631097141</v>
      </c>
      <c r="AG25" s="147">
        <f t="shared" si="25"/>
        <v>180910.36169333197</v>
      </c>
      <c r="AH25" s="144">
        <f t="shared" si="26"/>
        <v>1634056.1265569059</v>
      </c>
      <c r="AI25" s="142">
        <v>335</v>
      </c>
      <c r="AJ25" s="145">
        <f t="shared" si="27"/>
        <v>341.46626905856448</v>
      </c>
      <c r="AK25" s="147">
        <f t="shared" si="28"/>
        <v>1053900.5469034545</v>
      </c>
      <c r="AL25" s="142">
        <v>1940</v>
      </c>
      <c r="AM25" s="145">
        <f t="shared" si="29"/>
        <v>1977.4464536525822</v>
      </c>
      <c r="AN25" s="147">
        <f t="shared" si="30"/>
        <v>1007931.8219688782</v>
      </c>
      <c r="AO25" s="142">
        <v>640</v>
      </c>
      <c r="AP25" s="145">
        <f t="shared" si="31"/>
        <v>652.35346924621263</v>
      </c>
      <c r="AQ25" s="147">
        <f t="shared" si="32"/>
        <v>1149028.8437922287</v>
      </c>
      <c r="AR25" s="142">
        <v>670</v>
      </c>
      <c r="AS25" s="145">
        <f t="shared" si="33"/>
        <v>682.93253811712896</v>
      </c>
      <c r="AT25" s="147">
        <f t="shared" si="34"/>
        <v>987970.67673574225</v>
      </c>
      <c r="AU25" s="144">
        <f t="shared" si="35"/>
        <v>25061634.886458945</v>
      </c>
      <c r="AV25" s="148">
        <f>INDEX('Baselines+Historic Spend Factor'!P$9:P$159,MATCH('2019-20 StepbyStep Allocations'!C25,'Baselines+Historic Spend Factor'!C$9:C$159,0))</f>
        <v>24608594.261721432</v>
      </c>
      <c r="AW25" s="149">
        <v>45724.955999999998</v>
      </c>
      <c r="AX25" s="150">
        <f t="shared" si="36"/>
        <v>538.18737981336562</v>
      </c>
      <c r="AY25" s="148">
        <f t="shared" si="37"/>
        <v>543.56925361149933</v>
      </c>
      <c r="AZ25" s="148">
        <f t="shared" si="38"/>
        <v>528.66893424951786</v>
      </c>
      <c r="BA25" s="148">
        <f t="shared" si="39"/>
        <v>543.56925361149933</v>
      </c>
      <c r="BB25" s="151">
        <f t="shared" si="40"/>
        <v>706352.0085055104</v>
      </c>
      <c r="BC25" s="148">
        <f t="shared" si="41"/>
        <v>0</v>
      </c>
      <c r="BD25" s="144">
        <f t="shared" si="42"/>
        <v>706352.0085055104</v>
      </c>
      <c r="BE25" s="144">
        <f t="shared" si="4"/>
        <v>25767986.894964453</v>
      </c>
      <c r="BF25" s="144">
        <f>INDEX('Hospital Education Funding'!$G$9:$G$159,MATCH(C25,'Hospital Education Funding'!$C$9:$C$158,0))</f>
        <v>251490</v>
      </c>
      <c r="BG25" s="152">
        <f>INDEX('Import|Export Adjustments Data'!$Q$9:$Q$159,MATCH('2019-20 StepbyStep Allocations'!$C25,'Import|Export Adjustments Data'!$C$9:$C$159,0))</f>
        <v>63</v>
      </c>
      <c r="BH25" s="144">
        <f t="shared" si="43"/>
        <v>378000</v>
      </c>
      <c r="BI25" s="153">
        <f>INDEX('Baselines+Historic Spend Factor'!$F$9:$F$159,MATCH('2019-20 StepbyStep Allocations'!C25,'Baselines+Historic Spend Factor'!C$9:C$159,0))-INDEX('Baselines+Historic Spend Factor'!$G$9:$G$159,MATCH('2019-20 StepbyStep Allocations'!C25,'Baselines+Historic Spend Factor'!C$9:C$159,0))</f>
        <v>27461031.865792658</v>
      </c>
      <c r="BJ25" s="154">
        <f t="shared" si="2"/>
        <v>28868265.659734484</v>
      </c>
      <c r="BK25" s="155">
        <f t="shared" si="44"/>
        <v>5.1244752958273576E-2</v>
      </c>
      <c r="BL25" s="156">
        <f t="shared" si="45"/>
        <v>538.18737981336562</v>
      </c>
      <c r="BM25" s="148">
        <f t="shared" si="5"/>
        <v>543.56925361149933</v>
      </c>
      <c r="BN25" s="148">
        <f t="shared" si="46"/>
        <v>543.56925361149933</v>
      </c>
      <c r="BO25" s="148">
        <f t="shared" si="6"/>
        <v>25767986.894964453</v>
      </c>
      <c r="BP25" s="144">
        <f t="shared" si="7"/>
        <v>28868265.659734484</v>
      </c>
      <c r="BQ25" s="148">
        <v>28181378.772093788</v>
      </c>
      <c r="BR25" s="157">
        <f t="shared" si="3"/>
        <v>2.4373785725518626E-2</v>
      </c>
      <c r="BT25" s="94"/>
      <c r="BU25" s="158"/>
      <c r="BX25" s="94"/>
    </row>
    <row r="26" spans="1:76" ht="15.4" x14ac:dyDescent="0.45">
      <c r="A26" s="139" t="s">
        <v>205</v>
      </c>
      <c r="B26" s="140" t="s">
        <v>119</v>
      </c>
      <c r="C26" s="102">
        <v>882</v>
      </c>
      <c r="D26" s="141" t="s">
        <v>128</v>
      </c>
      <c r="E26" s="348">
        <v>1.0053237953143217</v>
      </c>
      <c r="F26" s="142">
        <v>566</v>
      </c>
      <c r="G26" s="143">
        <f t="shared" si="8"/>
        <v>4021.2951812572869</v>
      </c>
      <c r="H26" s="144">
        <f t="shared" si="9"/>
        <v>2276053.0725916242</v>
      </c>
      <c r="I26" s="144">
        <f>INDEX('Baselines+Historic Spend Factor'!$Q$9:$Q$159,MATCH(C26,'Baselines+Historic Spend Factor'!$C$9:$C$159,0))</f>
        <v>7495531.3969595022</v>
      </c>
      <c r="J26" s="142">
        <v>37235.361999999994</v>
      </c>
      <c r="K26" s="145">
        <f t="shared" si="10"/>
        <v>37433.595445742663</v>
      </c>
      <c r="L26" s="144">
        <f t="shared" si="11"/>
        <v>4386225.6730462946</v>
      </c>
      <c r="M26" s="142">
        <v>3397.0000000000032</v>
      </c>
      <c r="N26" s="145">
        <f t="shared" si="12"/>
        <v>3415.0849326827538</v>
      </c>
      <c r="O26" s="144">
        <f t="shared" si="13"/>
        <v>837838.40512190689</v>
      </c>
      <c r="P26" s="142">
        <v>3634</v>
      </c>
      <c r="Q26" s="145">
        <f t="shared" si="14"/>
        <v>3653.3466721722452</v>
      </c>
      <c r="R26" s="147">
        <f t="shared" si="15"/>
        <v>124367.59865314534</v>
      </c>
      <c r="S26" s="142">
        <v>5588</v>
      </c>
      <c r="T26" s="145">
        <f t="shared" si="16"/>
        <v>5617.7493682164295</v>
      </c>
      <c r="U26" s="147">
        <f t="shared" si="17"/>
        <v>248375.79597030362</v>
      </c>
      <c r="V26" s="142">
        <v>2945</v>
      </c>
      <c r="W26" s="145">
        <f t="shared" si="18"/>
        <v>2960.6785772006774</v>
      </c>
      <c r="X26" s="147">
        <f t="shared" si="19"/>
        <v>178536.02624186041</v>
      </c>
      <c r="Y26" s="142">
        <v>3028</v>
      </c>
      <c r="Z26" s="145">
        <f t="shared" si="20"/>
        <v>3044.120452211766</v>
      </c>
      <c r="AA26" s="147">
        <f t="shared" si="21"/>
        <v>196348.27535003811</v>
      </c>
      <c r="AB26" s="142">
        <v>2511</v>
      </c>
      <c r="AC26" s="145">
        <f t="shared" si="22"/>
        <v>2524.3680500342616</v>
      </c>
      <c r="AD26" s="147">
        <f t="shared" si="23"/>
        <v>178299.09408166996</v>
      </c>
      <c r="AE26" s="142">
        <v>2043</v>
      </c>
      <c r="AF26" s="145">
        <f t="shared" si="24"/>
        <v>2053.8765138271592</v>
      </c>
      <c r="AG26" s="147">
        <f t="shared" si="25"/>
        <v>196301.15937238</v>
      </c>
      <c r="AH26" s="144">
        <f t="shared" si="26"/>
        <v>1122227.9496693972</v>
      </c>
      <c r="AI26" s="142">
        <v>224</v>
      </c>
      <c r="AJ26" s="145">
        <f t="shared" si="27"/>
        <v>225.19253015040806</v>
      </c>
      <c r="AK26" s="147">
        <f t="shared" si="28"/>
        <v>695033.60123510018</v>
      </c>
      <c r="AL26" s="142">
        <v>1330</v>
      </c>
      <c r="AM26" s="145">
        <f t="shared" si="29"/>
        <v>1337.0806477680478</v>
      </c>
      <c r="AN26" s="147">
        <f t="shared" si="30"/>
        <v>681528.50912086002</v>
      </c>
      <c r="AO26" s="142">
        <v>411</v>
      </c>
      <c r="AP26" s="145">
        <f t="shared" si="31"/>
        <v>413.1880798741862</v>
      </c>
      <c r="AQ26" s="147">
        <f t="shared" si="32"/>
        <v>727772.66323907662</v>
      </c>
      <c r="AR26" s="142">
        <v>645</v>
      </c>
      <c r="AS26" s="145">
        <f t="shared" si="33"/>
        <v>648.43384797773751</v>
      </c>
      <c r="AT26" s="147">
        <f t="shared" si="34"/>
        <v>938062.82736385369</v>
      </c>
      <c r="AU26" s="144">
        <f t="shared" si="35"/>
        <v>16884221.02575599</v>
      </c>
      <c r="AV26" s="148">
        <f>INDEX('Baselines+Historic Spend Factor'!P$9:P$159,MATCH('2019-20 StepbyStep Allocations'!C26,'Baselines+Historic Spend Factor'!C$9:C$159,0))</f>
        <v>14991062.793919004</v>
      </c>
      <c r="AW26" s="149">
        <v>36579.205999999998</v>
      </c>
      <c r="AX26" s="150">
        <f t="shared" si="36"/>
        <v>409.8247182817201</v>
      </c>
      <c r="AY26" s="148">
        <f t="shared" si="37"/>
        <v>413.9229654645373</v>
      </c>
      <c r="AZ26" s="148">
        <f t="shared" si="38"/>
        <v>453.44586755342925</v>
      </c>
      <c r="BA26" s="148">
        <f t="shared" si="39"/>
        <v>453.44586755342925</v>
      </c>
      <c r="BB26" s="151">
        <f t="shared" si="40"/>
        <v>0</v>
      </c>
      <c r="BC26" s="148">
        <f t="shared" si="41"/>
        <v>0</v>
      </c>
      <c r="BD26" s="144">
        <f t="shared" si="42"/>
        <v>0</v>
      </c>
      <c r="BE26" s="144">
        <f t="shared" si="4"/>
        <v>16884221.02575599</v>
      </c>
      <c r="BF26" s="144">
        <f>INDEX('Hospital Education Funding'!$G$9:$G$159,MATCH(C26,'Hospital Education Funding'!$C$9:$C$158,0))</f>
        <v>32320</v>
      </c>
      <c r="BG26" s="152">
        <f>INDEX('Import|Export Adjustments Data'!$Q$9:$Q$159,MATCH('2019-20 StepbyStep Allocations'!$C26,'Import|Export Adjustments Data'!$C$9:$C$159,0))</f>
        <v>64</v>
      </c>
      <c r="BH26" s="144">
        <f t="shared" si="43"/>
        <v>384000</v>
      </c>
      <c r="BI26" s="153">
        <f>INDEX('Baselines+Historic Spend Factor'!$F$9:$F$159,MATCH('2019-20 StepbyStep Allocations'!C26,'Baselines+Historic Spend Factor'!C$9:C$159,0))-INDEX('Baselines+Historic Spend Factor'!$G$9:$G$159,MATCH('2019-20 StepbyStep Allocations'!C26,'Baselines+Historic Spend Factor'!C$9:C$159,0))</f>
        <v>17539434.420710396</v>
      </c>
      <c r="BJ26" s="154">
        <f t="shared" si="2"/>
        <v>19576594.098347615</v>
      </c>
      <c r="BK26" s="155">
        <f t="shared" si="44"/>
        <v>0.11614739841506871</v>
      </c>
      <c r="BL26" s="156">
        <f t="shared" si="45"/>
        <v>409.8247182817201</v>
      </c>
      <c r="BM26" s="148">
        <f t="shared" si="5"/>
        <v>453.44586755342925</v>
      </c>
      <c r="BN26" s="148">
        <f t="shared" si="46"/>
        <v>434.78304362507686</v>
      </c>
      <c r="BO26" s="148">
        <f t="shared" si="6"/>
        <v>16189304.020841526</v>
      </c>
      <c r="BP26" s="144">
        <f t="shared" si="7"/>
        <v>18881677.093433149</v>
      </c>
      <c r="BQ26" s="148">
        <v>18223998.893287893</v>
      </c>
      <c r="BR26" s="157">
        <f t="shared" si="3"/>
        <v>3.6088577704396441E-2</v>
      </c>
      <c r="BT26" s="94"/>
      <c r="BU26" s="158"/>
      <c r="BX26" s="94"/>
    </row>
    <row r="27" spans="1:76" ht="15.4" x14ac:dyDescent="0.45">
      <c r="A27" s="139" t="s">
        <v>162</v>
      </c>
      <c r="B27" s="140" t="s">
        <v>119</v>
      </c>
      <c r="C27" s="102">
        <v>935</v>
      </c>
      <c r="D27" s="141" t="s">
        <v>129</v>
      </c>
      <c r="E27" s="348">
        <v>1.0000359327175439</v>
      </c>
      <c r="F27" s="142">
        <v>1208</v>
      </c>
      <c r="G27" s="143">
        <f t="shared" si="8"/>
        <v>4000.1437308701757</v>
      </c>
      <c r="H27" s="144">
        <f t="shared" si="9"/>
        <v>4832173.6268911725</v>
      </c>
      <c r="I27" s="144">
        <f>INDEX('Baselines+Historic Spend Factor'!$Q$9:$Q$159,MATCH(C27,'Baselines+Historic Spend Factor'!$C$9:$C$159,0))</f>
        <v>26558784.819752611</v>
      </c>
      <c r="J27" s="142">
        <v>145356.17199999999</v>
      </c>
      <c r="K27" s="145">
        <f t="shared" si="10"/>
        <v>145361.39504227173</v>
      </c>
      <c r="L27" s="144">
        <f t="shared" si="11"/>
        <v>17032504.497954916</v>
      </c>
      <c r="M27" s="142">
        <v>10992.500000000007</v>
      </c>
      <c r="N27" s="145">
        <f t="shared" si="12"/>
        <v>10992.894990397608</v>
      </c>
      <c r="O27" s="144">
        <f t="shared" si="13"/>
        <v>2696937.2030206327</v>
      </c>
      <c r="P27" s="142">
        <v>11995</v>
      </c>
      <c r="Q27" s="145">
        <f t="shared" si="14"/>
        <v>11995.43101294694</v>
      </c>
      <c r="R27" s="147">
        <f t="shared" si="15"/>
        <v>408349.68147236953</v>
      </c>
      <c r="S27" s="142">
        <v>7109</v>
      </c>
      <c r="T27" s="145">
        <f t="shared" si="16"/>
        <v>7109.2554456890193</v>
      </c>
      <c r="U27" s="147">
        <f t="shared" si="17"/>
        <v>314319.28773280897</v>
      </c>
      <c r="V27" s="142">
        <v>7904</v>
      </c>
      <c r="W27" s="145">
        <f t="shared" si="18"/>
        <v>7904.2840121994668</v>
      </c>
      <c r="X27" s="147">
        <f t="shared" si="19"/>
        <v>476647.30264622351</v>
      </c>
      <c r="Y27" s="142">
        <v>4913</v>
      </c>
      <c r="Z27" s="145">
        <f t="shared" si="20"/>
        <v>4913.1765374412935</v>
      </c>
      <c r="AA27" s="147">
        <f t="shared" si="21"/>
        <v>316903.93161543674</v>
      </c>
      <c r="AB27" s="142">
        <v>4253</v>
      </c>
      <c r="AC27" s="145">
        <f t="shared" si="22"/>
        <v>4253.1528218477142</v>
      </c>
      <c r="AD27" s="147">
        <f t="shared" si="23"/>
        <v>300405.20244900632</v>
      </c>
      <c r="AE27" s="142">
        <v>904</v>
      </c>
      <c r="AF27" s="145">
        <f t="shared" si="24"/>
        <v>904.03248317665964</v>
      </c>
      <c r="AG27" s="147">
        <f t="shared" si="25"/>
        <v>86403.745971654847</v>
      </c>
      <c r="AH27" s="144">
        <f t="shared" si="26"/>
        <v>1903029.1518874997</v>
      </c>
      <c r="AI27" s="142">
        <v>731</v>
      </c>
      <c r="AJ27" s="145">
        <f t="shared" si="27"/>
        <v>731.02626681652453</v>
      </c>
      <c r="AK27" s="147">
        <f t="shared" si="28"/>
        <v>2256237.4448370193</v>
      </c>
      <c r="AL27" s="142">
        <v>5080</v>
      </c>
      <c r="AM27" s="145">
        <f t="shared" si="29"/>
        <v>5080.1825382051229</v>
      </c>
      <c r="AN27" s="147">
        <f t="shared" si="30"/>
        <v>2589439.340928514</v>
      </c>
      <c r="AO27" s="142">
        <v>1641</v>
      </c>
      <c r="AP27" s="145">
        <f t="shared" si="31"/>
        <v>1641.0589655894894</v>
      </c>
      <c r="AQ27" s="147">
        <f t="shared" si="32"/>
        <v>2890494.4554138421</v>
      </c>
      <c r="AR27" s="142">
        <v>1833</v>
      </c>
      <c r="AS27" s="145">
        <f t="shared" si="33"/>
        <v>1833.0658646712579</v>
      </c>
      <c r="AT27" s="147">
        <f t="shared" si="34"/>
        <v>2651821.6979578827</v>
      </c>
      <c r="AU27" s="144">
        <f t="shared" si="35"/>
        <v>58579248.611752912</v>
      </c>
      <c r="AV27" s="148">
        <f>INDEX('Baselines+Historic Spend Factor'!P$9:P$159,MATCH('2019-20 StepbyStep Allocations'!C27,'Baselines+Historic Spend Factor'!C$9:C$159,0))</f>
        <v>53117569.639505222</v>
      </c>
      <c r="AW27" s="149">
        <v>144469.69700000001</v>
      </c>
      <c r="AX27" s="150">
        <f t="shared" si="36"/>
        <v>367.672742052648</v>
      </c>
      <c r="AY27" s="148">
        <f t="shared" si="37"/>
        <v>371.34946947317451</v>
      </c>
      <c r="AZ27" s="148">
        <f t="shared" si="38"/>
        <v>403.00489346783922</v>
      </c>
      <c r="BA27" s="148">
        <f t="shared" si="39"/>
        <v>403.00489346783922</v>
      </c>
      <c r="BB27" s="151">
        <f t="shared" si="40"/>
        <v>0</v>
      </c>
      <c r="BC27" s="148">
        <f t="shared" si="41"/>
        <v>0</v>
      </c>
      <c r="BD27" s="144">
        <f t="shared" si="42"/>
        <v>0</v>
      </c>
      <c r="BE27" s="144">
        <f t="shared" si="4"/>
        <v>58579248.611752912</v>
      </c>
      <c r="BF27" s="144">
        <f>INDEX('Hospital Education Funding'!$G$9:$G$159,MATCH(C27,'Hospital Education Funding'!$C$9:$C$158,0))</f>
        <v>121200</v>
      </c>
      <c r="BG27" s="152">
        <f>INDEX('Import|Export Adjustments Data'!$Q$9:$Q$159,MATCH('2019-20 StepbyStep Allocations'!$C27,'Import|Export Adjustments Data'!$C$9:$C$159,0))</f>
        <v>14.5</v>
      </c>
      <c r="BH27" s="144">
        <f t="shared" si="43"/>
        <v>87000</v>
      </c>
      <c r="BI27" s="153">
        <f>INDEX('Baselines+Historic Spend Factor'!$F$9:$F$159,MATCH('2019-20 StepbyStep Allocations'!C27,'Baselines+Historic Spend Factor'!C$9:C$159,0))-INDEX('Baselines+Historic Spend Factor'!$G$9:$G$159,MATCH('2019-20 StepbyStep Allocations'!C27,'Baselines+Historic Spend Factor'!C$9:C$159,0))</f>
        <v>57359730.043156341</v>
      </c>
      <c r="BJ27" s="154">
        <f t="shared" si="2"/>
        <v>63619622.238644086</v>
      </c>
      <c r="BK27" s="155">
        <f t="shared" si="44"/>
        <v>0.10913392010000611</v>
      </c>
      <c r="BL27" s="156">
        <f t="shared" si="45"/>
        <v>367.672742052648</v>
      </c>
      <c r="BM27" s="148">
        <f t="shared" si="5"/>
        <v>403.00489346783922</v>
      </c>
      <c r="BN27" s="148">
        <f t="shared" si="46"/>
        <v>390.06401204365426</v>
      </c>
      <c r="BO27" s="148">
        <f t="shared" si="6"/>
        <v>56698211.625627473</v>
      </c>
      <c r="BP27" s="144">
        <f t="shared" si="7"/>
        <v>61738585.252518646</v>
      </c>
      <c r="BQ27" s="148">
        <v>59870193.646309428</v>
      </c>
      <c r="BR27" s="157">
        <f t="shared" si="3"/>
        <v>3.1207375363556888E-2</v>
      </c>
      <c r="BT27" s="94"/>
      <c r="BU27" s="158"/>
      <c r="BX27" s="94"/>
    </row>
    <row r="28" spans="1:76" ht="15.4" x14ac:dyDescent="0.45">
      <c r="A28" s="139" t="s">
        <v>256</v>
      </c>
      <c r="B28" s="140" t="s">
        <v>119</v>
      </c>
      <c r="C28" s="102">
        <v>883</v>
      </c>
      <c r="D28" s="141" t="s">
        <v>130</v>
      </c>
      <c r="E28" s="348">
        <v>1.0452520358512145</v>
      </c>
      <c r="F28" s="142">
        <v>379</v>
      </c>
      <c r="G28" s="143">
        <f t="shared" si="8"/>
        <v>4181.0081434048579</v>
      </c>
      <c r="H28" s="144">
        <f t="shared" si="9"/>
        <v>1584602.0863504412</v>
      </c>
      <c r="I28" s="144">
        <f>INDEX('Baselines+Historic Spend Factor'!$Q$9:$Q$159,MATCH(C28,'Baselines+Historic Spend Factor'!$C$9:$C$159,0))</f>
        <v>10295137.86759166</v>
      </c>
      <c r="J28" s="142">
        <v>41100.052000000003</v>
      </c>
      <c r="K28" s="145">
        <f t="shared" si="10"/>
        <v>42959.913026590781</v>
      </c>
      <c r="L28" s="144">
        <f t="shared" si="11"/>
        <v>5033763.6870117653</v>
      </c>
      <c r="M28" s="142">
        <v>3358.0000000000005</v>
      </c>
      <c r="N28" s="145">
        <f t="shared" si="12"/>
        <v>3509.956336388379</v>
      </c>
      <c r="O28" s="144">
        <f t="shared" si="13"/>
        <v>861113.64047892496</v>
      </c>
      <c r="P28" s="142">
        <v>5821</v>
      </c>
      <c r="Q28" s="145">
        <f t="shared" si="14"/>
        <v>6084.4121006899195</v>
      </c>
      <c r="R28" s="147">
        <f t="shared" si="15"/>
        <v>207126.17500627608</v>
      </c>
      <c r="S28" s="142">
        <v>7731</v>
      </c>
      <c r="T28" s="145">
        <f t="shared" si="16"/>
        <v>8080.8434891657398</v>
      </c>
      <c r="U28" s="147">
        <f t="shared" si="17"/>
        <v>357275.8060529519</v>
      </c>
      <c r="V28" s="142">
        <v>4070</v>
      </c>
      <c r="W28" s="145">
        <f t="shared" si="18"/>
        <v>4254.1757859144427</v>
      </c>
      <c r="X28" s="147">
        <f t="shared" si="19"/>
        <v>256537.01337267013</v>
      </c>
      <c r="Y28" s="142">
        <v>721</v>
      </c>
      <c r="Z28" s="145">
        <f t="shared" si="20"/>
        <v>753.62671784872566</v>
      </c>
      <c r="AA28" s="147">
        <f t="shared" si="21"/>
        <v>48609.543751724443</v>
      </c>
      <c r="AB28" s="142">
        <v>2528</v>
      </c>
      <c r="AC28" s="145">
        <f t="shared" si="22"/>
        <v>2642.3971466318703</v>
      </c>
      <c r="AD28" s="147">
        <f t="shared" si="23"/>
        <v>186635.62844651661</v>
      </c>
      <c r="AE28" s="142">
        <v>452</v>
      </c>
      <c r="AF28" s="145">
        <f t="shared" si="24"/>
        <v>472.45392020474895</v>
      </c>
      <c r="AG28" s="147">
        <f t="shared" si="25"/>
        <v>45155.223141142938</v>
      </c>
      <c r="AH28" s="144">
        <f t="shared" si="26"/>
        <v>1101339.389771282</v>
      </c>
      <c r="AI28" s="142">
        <v>205</v>
      </c>
      <c r="AJ28" s="145">
        <f t="shared" si="27"/>
        <v>214.27666734949898</v>
      </c>
      <c r="AK28" s="147">
        <f t="shared" si="28"/>
        <v>661342.91252514708</v>
      </c>
      <c r="AL28" s="142">
        <v>1440</v>
      </c>
      <c r="AM28" s="145">
        <f t="shared" si="29"/>
        <v>1505.1629316257488</v>
      </c>
      <c r="AN28" s="147">
        <f t="shared" si="30"/>
        <v>767202.37518001522</v>
      </c>
      <c r="AO28" s="142">
        <v>439</v>
      </c>
      <c r="AP28" s="145">
        <f t="shared" si="31"/>
        <v>458.86564373868316</v>
      </c>
      <c r="AQ28" s="147">
        <f t="shared" si="32"/>
        <v>808227.26472240174</v>
      </c>
      <c r="AR28" s="142">
        <v>451</v>
      </c>
      <c r="AS28" s="145">
        <f t="shared" si="33"/>
        <v>471.40866816889775</v>
      </c>
      <c r="AT28" s="147">
        <f t="shared" si="34"/>
        <v>681967.71264403081</v>
      </c>
      <c r="AU28" s="144">
        <f t="shared" si="35"/>
        <v>20210094.849925227</v>
      </c>
      <c r="AV28" s="148">
        <f>INDEX('Baselines+Historic Spend Factor'!P$9:P$159,MATCH('2019-20 StepbyStep Allocations'!C28,'Baselines+Historic Spend Factor'!C$9:C$159,0))</f>
        <v>20590275.735183321</v>
      </c>
      <c r="AW28" s="149">
        <v>39651.904999999999</v>
      </c>
      <c r="AX28" s="150">
        <f t="shared" si="36"/>
        <v>519.27582634890609</v>
      </c>
      <c r="AY28" s="148">
        <f t="shared" si="37"/>
        <v>524.46858461239515</v>
      </c>
      <c r="AZ28" s="148">
        <f t="shared" si="38"/>
        <v>491.72917956223574</v>
      </c>
      <c r="BA28" s="148">
        <f t="shared" si="39"/>
        <v>524.46858461239515</v>
      </c>
      <c r="BB28" s="151">
        <f t="shared" si="40"/>
        <v>1345591.2500106143</v>
      </c>
      <c r="BC28" s="148">
        <f t="shared" si="41"/>
        <v>0</v>
      </c>
      <c r="BD28" s="144">
        <f t="shared" si="42"/>
        <v>1345591.2500106143</v>
      </c>
      <c r="BE28" s="144">
        <f t="shared" si="4"/>
        <v>21555686.099935841</v>
      </c>
      <c r="BF28" s="144">
        <f>INDEX('Hospital Education Funding'!$G$9:$G$159,MATCH(C28,'Hospital Education Funding'!$C$9:$C$158,0))</f>
        <v>0</v>
      </c>
      <c r="BG28" s="152">
        <f>INDEX('Import|Export Adjustments Data'!$Q$9:$Q$159,MATCH('2019-20 StepbyStep Allocations'!$C28,'Import|Export Adjustments Data'!$C$9:$C$159,0))</f>
        <v>-62.5</v>
      </c>
      <c r="BH28" s="144">
        <f t="shared" si="43"/>
        <v>-375000</v>
      </c>
      <c r="BI28" s="153">
        <f>INDEX('Baselines+Historic Spend Factor'!$F$9:$F$159,MATCH('2019-20 StepbyStep Allocations'!C28,'Baselines+Historic Spend Factor'!C$9:C$159,0))-INDEX('Baselines+Historic Spend Factor'!$G$9:$G$159,MATCH('2019-20 StepbyStep Allocations'!C28,'Baselines+Historic Spend Factor'!C$9:C$159,0))</f>
        <v>21975058.829677168</v>
      </c>
      <c r="BJ28" s="154">
        <f t="shared" si="2"/>
        <v>22765288.186286282</v>
      </c>
      <c r="BK28" s="155">
        <f t="shared" si="44"/>
        <v>3.5960284008064392E-2</v>
      </c>
      <c r="BL28" s="156">
        <f t="shared" si="45"/>
        <v>519.27582634890609</v>
      </c>
      <c r="BM28" s="148">
        <f t="shared" si="5"/>
        <v>524.46858461239515</v>
      </c>
      <c r="BN28" s="148">
        <f t="shared" si="46"/>
        <v>524.46858461239515</v>
      </c>
      <c r="BO28" s="148">
        <f t="shared" si="6"/>
        <v>21555686.099935841</v>
      </c>
      <c r="BP28" s="144">
        <f t="shared" si="7"/>
        <v>22765288.186286282</v>
      </c>
      <c r="BQ28" s="148">
        <v>22140727.373710234</v>
      </c>
      <c r="BR28" s="157">
        <f t="shared" si="3"/>
        <v>2.8208685380302745E-2</v>
      </c>
      <c r="BT28" s="94"/>
      <c r="BU28" s="158"/>
      <c r="BX28" s="94"/>
    </row>
    <row r="29" spans="1:76" ht="15.4" x14ac:dyDescent="0.45">
      <c r="A29" s="139" t="s">
        <v>121</v>
      </c>
      <c r="B29" s="140" t="s">
        <v>131</v>
      </c>
      <c r="C29" s="102">
        <v>202</v>
      </c>
      <c r="D29" s="141" t="s">
        <v>132</v>
      </c>
      <c r="E29" s="348">
        <v>1.205632878027378</v>
      </c>
      <c r="F29" s="142">
        <v>353</v>
      </c>
      <c r="G29" s="143">
        <f t="shared" si="8"/>
        <v>4822.5315121095118</v>
      </c>
      <c r="H29" s="144">
        <f t="shared" si="9"/>
        <v>1702353.6237746577</v>
      </c>
      <c r="I29" s="144">
        <f>INDEX('Baselines+Historic Spend Factor'!$Q$9:$Q$159,MATCH(C29,'Baselines+Historic Spend Factor'!$C$9:$C$159,0))</f>
        <v>14265131.572961928</v>
      </c>
      <c r="J29" s="142">
        <v>48567.960999999996</v>
      </c>
      <c r="K29" s="145">
        <f t="shared" si="10"/>
        <v>58555.130600351447</v>
      </c>
      <c r="L29" s="144">
        <f t="shared" si="11"/>
        <v>6861110.0288270665</v>
      </c>
      <c r="M29" s="142">
        <v>5365.0000000000036</v>
      </c>
      <c r="N29" s="145">
        <f t="shared" si="12"/>
        <v>6468.220390616887</v>
      </c>
      <c r="O29" s="144">
        <f t="shared" si="13"/>
        <v>1586878.0902600414</v>
      </c>
      <c r="P29" s="142">
        <v>4173</v>
      </c>
      <c r="Q29" s="145">
        <f t="shared" si="14"/>
        <v>5031.106000008248</v>
      </c>
      <c r="R29" s="147">
        <f t="shared" si="15"/>
        <v>171269.42169395002</v>
      </c>
      <c r="S29" s="142">
        <v>4513</v>
      </c>
      <c r="T29" s="145">
        <f t="shared" si="16"/>
        <v>5441.0211785375568</v>
      </c>
      <c r="U29" s="147">
        <f t="shared" si="17"/>
        <v>240562.16778848658</v>
      </c>
      <c r="V29" s="142">
        <v>3768</v>
      </c>
      <c r="W29" s="145">
        <f t="shared" si="18"/>
        <v>4542.82468440716</v>
      </c>
      <c r="X29" s="147">
        <f t="shared" si="19"/>
        <v>273943.23494391056</v>
      </c>
      <c r="Y29" s="142">
        <v>5125</v>
      </c>
      <c r="Z29" s="145">
        <f t="shared" si="20"/>
        <v>6178.8684998903118</v>
      </c>
      <c r="AA29" s="147">
        <f t="shared" si="21"/>
        <v>398542.1052201328</v>
      </c>
      <c r="AB29" s="142">
        <v>8416</v>
      </c>
      <c r="AC29" s="145">
        <f t="shared" si="22"/>
        <v>10146.606301478412</v>
      </c>
      <c r="AD29" s="147">
        <f t="shared" si="23"/>
        <v>716666.77588175412</v>
      </c>
      <c r="AE29" s="142">
        <v>3094</v>
      </c>
      <c r="AF29" s="145">
        <f t="shared" si="24"/>
        <v>3730.2281246167072</v>
      </c>
      <c r="AG29" s="147">
        <f t="shared" si="25"/>
        <v>356520.02477074898</v>
      </c>
      <c r="AH29" s="144">
        <f t="shared" si="26"/>
        <v>2157503.7302989829</v>
      </c>
      <c r="AI29" s="142">
        <v>346</v>
      </c>
      <c r="AJ29" s="145">
        <f t="shared" si="27"/>
        <v>417.14897579747276</v>
      </c>
      <c r="AK29" s="147">
        <f t="shared" si="28"/>
        <v>1287487.4433286157</v>
      </c>
      <c r="AL29" s="142">
        <v>1170</v>
      </c>
      <c r="AM29" s="145">
        <f t="shared" si="29"/>
        <v>1410.5904672920321</v>
      </c>
      <c r="AN29" s="147">
        <f t="shared" si="30"/>
        <v>718997.4813848394</v>
      </c>
      <c r="AO29" s="142">
        <v>289</v>
      </c>
      <c r="AP29" s="145">
        <f t="shared" si="31"/>
        <v>348.42790174991222</v>
      </c>
      <c r="AQ29" s="147">
        <f t="shared" si="32"/>
        <v>613706.72184093436</v>
      </c>
      <c r="AR29" s="142">
        <v>359</v>
      </c>
      <c r="AS29" s="145">
        <f t="shared" si="33"/>
        <v>432.82220321182871</v>
      </c>
      <c r="AT29" s="147">
        <f t="shared" si="34"/>
        <v>626146.24600022426</v>
      </c>
      <c r="AU29" s="144">
        <f t="shared" si="35"/>
        <v>28116961.314902626</v>
      </c>
      <c r="AV29" s="148">
        <f>INDEX('Baselines+Historic Spend Factor'!P$9:P$159,MATCH('2019-20 StepbyStep Allocations'!C29,'Baselines+Historic Spend Factor'!C$9:C$159,0))</f>
        <v>28530263.145923857</v>
      </c>
      <c r="AW29" s="149">
        <v>46369.322999999989</v>
      </c>
      <c r="AX29" s="148">
        <f t="shared" si="36"/>
        <v>615.28315058479211</v>
      </c>
      <c r="AY29" s="148">
        <f t="shared" si="37"/>
        <v>621.43598209063998</v>
      </c>
      <c r="AZ29" s="148">
        <f t="shared" si="38"/>
        <v>578.9199450827806</v>
      </c>
      <c r="BA29" s="148">
        <f t="shared" si="39"/>
        <v>621.43598209063998</v>
      </c>
      <c r="BB29" s="151">
        <f t="shared" si="40"/>
        <v>2064917.2272722709</v>
      </c>
      <c r="BC29" s="148">
        <f t="shared" si="41"/>
        <v>0</v>
      </c>
      <c r="BD29" s="144">
        <f t="shared" si="42"/>
        <v>2064917.2272722709</v>
      </c>
      <c r="BE29" s="144">
        <f t="shared" si="4"/>
        <v>30181878.542174898</v>
      </c>
      <c r="BF29" s="144">
        <f>INDEX('Hospital Education Funding'!$G$9:$G$159,MATCH(C29,'Hospital Education Funding'!$C$9:$C$158,0))</f>
        <v>2509673.2499999995</v>
      </c>
      <c r="BG29" s="152">
        <f>INDEX('Import|Export Adjustments Data'!$Q$9:$Q$159,MATCH('2019-20 StepbyStep Allocations'!$C29,'Import|Export Adjustments Data'!$C$9:$C$159,0))</f>
        <v>236.5</v>
      </c>
      <c r="BH29" s="144">
        <f t="shared" si="43"/>
        <v>1419000</v>
      </c>
      <c r="BI29" s="153">
        <f>INDEX('Baselines+Historic Spend Factor'!$F$9:$F$159,MATCH('2019-20 StepbyStep Allocations'!C29,'Baselines+Historic Spend Factor'!C$9:C$159,0))-INDEX('Baselines+Historic Spend Factor'!$G$9:$G$159,MATCH('2019-20 StepbyStep Allocations'!C29,'Baselines+Historic Spend Factor'!C$9:C$159,0))</f>
        <v>33612168.607944213</v>
      </c>
      <c r="BJ29" s="154">
        <f t="shared" si="2"/>
        <v>35812905.415949553</v>
      </c>
      <c r="BK29" s="155">
        <f t="shared" si="44"/>
        <v>6.547440701238183E-2</v>
      </c>
      <c r="BL29" s="156">
        <f t="shared" si="45"/>
        <v>615.28315058479211</v>
      </c>
      <c r="BM29" s="148">
        <f t="shared" si="5"/>
        <v>621.43598209063998</v>
      </c>
      <c r="BN29" s="148">
        <f t="shared" si="46"/>
        <v>621.43598209063998</v>
      </c>
      <c r="BO29" s="148">
        <f t="shared" si="6"/>
        <v>30181878.542174898</v>
      </c>
      <c r="BP29" s="144">
        <f t="shared" si="7"/>
        <v>35812905.415949553</v>
      </c>
      <c r="BQ29" s="148">
        <v>34879297.60158056</v>
      </c>
      <c r="BR29" s="157">
        <f t="shared" si="3"/>
        <v>2.6766818100335987E-2</v>
      </c>
      <c r="BT29" s="94"/>
      <c r="BU29" s="158"/>
      <c r="BX29" s="94"/>
    </row>
    <row r="30" spans="1:76" ht="15.4" x14ac:dyDescent="0.45">
      <c r="A30" s="139" t="s">
        <v>132</v>
      </c>
      <c r="B30" s="140" t="s">
        <v>131</v>
      </c>
      <c r="C30" s="102">
        <v>204</v>
      </c>
      <c r="D30" s="141" t="s">
        <v>133</v>
      </c>
      <c r="E30" s="348">
        <v>1.205632878027378</v>
      </c>
      <c r="F30" s="142">
        <v>620</v>
      </c>
      <c r="G30" s="143">
        <f t="shared" si="8"/>
        <v>4822.5315121095118</v>
      </c>
      <c r="H30" s="144">
        <f t="shared" si="9"/>
        <v>2989969.5375078972</v>
      </c>
      <c r="I30" s="144">
        <f>INDEX('Baselines+Historic Spend Factor'!$Q$9:$Q$159,MATCH(C30,'Baselines+Historic Spend Factor'!$C$9:$C$159,0))</f>
        <v>19442307.490913831</v>
      </c>
      <c r="J30" s="142">
        <v>59226.308000000005</v>
      </c>
      <c r="K30" s="145">
        <f t="shared" si="10"/>
        <v>71405.184168975931</v>
      </c>
      <c r="L30" s="144">
        <f t="shared" si="11"/>
        <v>8366795.8757667597</v>
      </c>
      <c r="M30" s="142">
        <v>9539.4999999999964</v>
      </c>
      <c r="N30" s="145">
        <f t="shared" si="12"/>
        <v>11501.134839942168</v>
      </c>
      <c r="O30" s="144">
        <f t="shared" si="13"/>
        <v>2821626.0096990955</v>
      </c>
      <c r="P30" s="142">
        <v>6590</v>
      </c>
      <c r="Q30" s="145">
        <f t="shared" si="14"/>
        <v>7945.1206662004206</v>
      </c>
      <c r="R30" s="147">
        <f t="shared" si="15"/>
        <v>270468.60507144278</v>
      </c>
      <c r="S30" s="142">
        <v>7017</v>
      </c>
      <c r="T30" s="145">
        <f t="shared" si="16"/>
        <v>8459.9259051181107</v>
      </c>
      <c r="U30" s="147">
        <f t="shared" si="17"/>
        <v>374036.05835847778</v>
      </c>
      <c r="V30" s="142">
        <v>5132</v>
      </c>
      <c r="W30" s="145">
        <f t="shared" si="18"/>
        <v>6187.3079300365034</v>
      </c>
      <c r="X30" s="147">
        <f t="shared" si="19"/>
        <v>373109.52275269345</v>
      </c>
      <c r="Y30" s="142">
        <v>11675</v>
      </c>
      <c r="Z30" s="145">
        <f t="shared" si="20"/>
        <v>14075.763850969637</v>
      </c>
      <c r="AA30" s="147">
        <f t="shared" si="21"/>
        <v>907898.35676976584</v>
      </c>
      <c r="AB30" s="142">
        <v>14107</v>
      </c>
      <c r="AC30" s="145">
        <f t="shared" si="22"/>
        <v>17007.863010332221</v>
      </c>
      <c r="AD30" s="147">
        <f t="shared" si="23"/>
        <v>1201285.4333844944</v>
      </c>
      <c r="AE30" s="142">
        <v>1871</v>
      </c>
      <c r="AF30" s="145">
        <f t="shared" si="24"/>
        <v>2255.739114789224</v>
      </c>
      <c r="AG30" s="147">
        <f t="shared" si="25"/>
        <v>215594.36533486468</v>
      </c>
      <c r="AH30" s="144">
        <f t="shared" si="26"/>
        <v>3342392.3416717388</v>
      </c>
      <c r="AI30" s="142">
        <v>513</v>
      </c>
      <c r="AJ30" s="145">
        <f t="shared" si="27"/>
        <v>618.48966642804487</v>
      </c>
      <c r="AK30" s="147">
        <f t="shared" si="28"/>
        <v>1908904.7931432945</v>
      </c>
      <c r="AL30" s="142">
        <v>1950</v>
      </c>
      <c r="AM30" s="145">
        <f t="shared" si="29"/>
        <v>2350.9841121533868</v>
      </c>
      <c r="AN30" s="147">
        <f t="shared" si="30"/>
        <v>1198329.1356413991</v>
      </c>
      <c r="AO30" s="142">
        <v>482</v>
      </c>
      <c r="AP30" s="145">
        <f t="shared" si="31"/>
        <v>581.11504720919618</v>
      </c>
      <c r="AQ30" s="147">
        <f t="shared" si="32"/>
        <v>1023552.3872918006</v>
      </c>
      <c r="AR30" s="142">
        <v>505</v>
      </c>
      <c r="AS30" s="145">
        <f t="shared" si="33"/>
        <v>608.84460340382589</v>
      </c>
      <c r="AT30" s="147">
        <f t="shared" si="34"/>
        <v>880790.68030672206</v>
      </c>
      <c r="AU30" s="144">
        <f t="shared" si="35"/>
        <v>38984698.714434646</v>
      </c>
      <c r="AV30" s="148">
        <f>INDEX('Baselines+Historic Spend Factor'!P$9:P$159,MATCH('2019-20 StepbyStep Allocations'!C30,'Baselines+Historic Spend Factor'!C$9:C$159,0))</f>
        <v>38884614.981827661</v>
      </c>
      <c r="AW30" s="149">
        <v>57362.609000000004</v>
      </c>
      <c r="AX30" s="150">
        <f t="shared" si="36"/>
        <v>677.87389136759202</v>
      </c>
      <c r="AY30" s="148">
        <f t="shared" si="37"/>
        <v>684.65263028126799</v>
      </c>
      <c r="AZ30" s="148">
        <f t="shared" si="38"/>
        <v>658.23280280166443</v>
      </c>
      <c r="BA30" s="148">
        <f t="shared" si="39"/>
        <v>684.65263028126799</v>
      </c>
      <c r="BB30" s="151">
        <f t="shared" si="40"/>
        <v>1564748.839613864</v>
      </c>
      <c r="BC30" s="148">
        <f t="shared" si="41"/>
        <v>0</v>
      </c>
      <c r="BD30" s="144">
        <f t="shared" si="42"/>
        <v>1564748.839613864</v>
      </c>
      <c r="BE30" s="144">
        <f t="shared" si="4"/>
        <v>40549447.554048508</v>
      </c>
      <c r="BF30" s="144">
        <f>INDEX('Hospital Education Funding'!$G$9:$G$159,MATCH(C30,'Hospital Education Funding'!$C$9:$C$158,0))</f>
        <v>0</v>
      </c>
      <c r="BG30" s="152">
        <f>INDEX('Import|Export Adjustments Data'!$Q$9:$Q$159,MATCH('2019-20 StepbyStep Allocations'!$C30,'Import|Export Adjustments Data'!$C$9:$C$159,0))</f>
        <v>-113</v>
      </c>
      <c r="BH30" s="144">
        <f t="shared" si="43"/>
        <v>-678000</v>
      </c>
      <c r="BI30" s="153">
        <f>INDEX('Baselines+Historic Spend Factor'!$F$9:$F$159,MATCH('2019-20 StepbyStep Allocations'!C30,'Baselines+Historic Spend Factor'!C$9:C$159,0))-INDEX('Baselines+Historic Spend Factor'!$G$9:$G$159,MATCH('2019-20 StepbyStep Allocations'!C30,'Baselines+Historic Spend Factor'!C$9:C$159,0))</f>
        <v>40888618.447923832</v>
      </c>
      <c r="BJ30" s="154">
        <f t="shared" si="2"/>
        <v>42861417.091556408</v>
      </c>
      <c r="BK30" s="155">
        <f t="shared" si="44"/>
        <v>4.8248112030127688E-2</v>
      </c>
      <c r="BL30" s="156">
        <f t="shared" si="45"/>
        <v>677.87389136759202</v>
      </c>
      <c r="BM30" s="148">
        <f t="shared" si="5"/>
        <v>684.65263028126799</v>
      </c>
      <c r="BN30" s="148">
        <f t="shared" si="46"/>
        <v>684.65263028126799</v>
      </c>
      <c r="BO30" s="148">
        <f t="shared" si="6"/>
        <v>40549447.554048508</v>
      </c>
      <c r="BP30" s="144">
        <f t="shared" si="7"/>
        <v>42861417.091556408</v>
      </c>
      <c r="BQ30" s="148">
        <v>41991687.086864904</v>
      </c>
      <c r="BR30" s="157">
        <f t="shared" si="3"/>
        <v>2.0711956699724032E-2</v>
      </c>
      <c r="BT30" s="94"/>
      <c r="BU30" s="158"/>
      <c r="BX30" s="94"/>
    </row>
    <row r="31" spans="1:76" ht="15.4" x14ac:dyDescent="0.45">
      <c r="A31" s="139" t="s">
        <v>122</v>
      </c>
      <c r="B31" s="140" t="s">
        <v>131</v>
      </c>
      <c r="C31" s="102">
        <v>205</v>
      </c>
      <c r="D31" s="141" t="s">
        <v>134</v>
      </c>
      <c r="E31" s="348">
        <v>1.205632878027378</v>
      </c>
      <c r="F31" s="142">
        <v>481</v>
      </c>
      <c r="G31" s="143">
        <f t="shared" si="8"/>
        <v>4822.5315121095118</v>
      </c>
      <c r="H31" s="144">
        <f t="shared" si="9"/>
        <v>2319637.657324675</v>
      </c>
      <c r="I31" s="144">
        <f>INDEX('Baselines+Historic Spend Factor'!$Q$9:$Q$159,MATCH(C31,'Baselines+Historic Spend Factor'!$C$9:$C$159,0))</f>
        <v>7957023.3850928396</v>
      </c>
      <c r="J31" s="142">
        <v>32542.013999999999</v>
      </c>
      <c r="K31" s="145">
        <f t="shared" si="10"/>
        <v>39233.721995627224</v>
      </c>
      <c r="L31" s="144">
        <f t="shared" si="11"/>
        <v>4597152.8146637827</v>
      </c>
      <c r="M31" s="142">
        <v>3758.8333319999988</v>
      </c>
      <c r="N31" s="145">
        <f t="shared" si="12"/>
        <v>4531.7730480843975</v>
      </c>
      <c r="O31" s="144">
        <f t="shared" si="13"/>
        <v>1111800.6075470536</v>
      </c>
      <c r="P31" s="142">
        <v>2471</v>
      </c>
      <c r="Q31" s="145">
        <f t="shared" si="14"/>
        <v>2979.1188416056511</v>
      </c>
      <c r="R31" s="147">
        <f t="shared" si="15"/>
        <v>101415.46633255464</v>
      </c>
      <c r="S31" s="142">
        <v>2368</v>
      </c>
      <c r="T31" s="145">
        <f t="shared" si="16"/>
        <v>2854.9386551688308</v>
      </c>
      <c r="U31" s="147">
        <f t="shared" si="17"/>
        <v>126224.50993200447</v>
      </c>
      <c r="V31" s="142">
        <v>2732</v>
      </c>
      <c r="W31" s="145">
        <f t="shared" si="18"/>
        <v>3293.7890227707967</v>
      </c>
      <c r="X31" s="147">
        <f t="shared" si="19"/>
        <v>198623.38584574405</v>
      </c>
      <c r="Y31" s="142">
        <v>3849</v>
      </c>
      <c r="Z31" s="145">
        <f t="shared" si="20"/>
        <v>4640.4809475273778</v>
      </c>
      <c r="AA31" s="147">
        <f t="shared" si="21"/>
        <v>299314.84155947145</v>
      </c>
      <c r="AB31" s="142">
        <v>5044</v>
      </c>
      <c r="AC31" s="145">
        <f t="shared" si="22"/>
        <v>6081.212236770094</v>
      </c>
      <c r="AD31" s="147">
        <f t="shared" si="23"/>
        <v>429523.19600137445</v>
      </c>
      <c r="AE31" s="142">
        <v>2418</v>
      </c>
      <c r="AF31" s="145">
        <f t="shared" si="24"/>
        <v>2915.2202990701999</v>
      </c>
      <c r="AG31" s="147">
        <f t="shared" si="25"/>
        <v>278624.89330823242</v>
      </c>
      <c r="AH31" s="144">
        <f t="shared" si="26"/>
        <v>1433726.2929793813</v>
      </c>
      <c r="AI31" s="142">
        <v>222</v>
      </c>
      <c r="AJ31" s="145">
        <f t="shared" si="27"/>
        <v>267.65049892207793</v>
      </c>
      <c r="AK31" s="147">
        <f t="shared" si="28"/>
        <v>826075.75843627949</v>
      </c>
      <c r="AL31" s="142">
        <v>750</v>
      </c>
      <c r="AM31" s="145">
        <f t="shared" si="29"/>
        <v>904.22465852053347</v>
      </c>
      <c r="AN31" s="147">
        <f t="shared" si="30"/>
        <v>460895.82140053815</v>
      </c>
      <c r="AO31" s="142">
        <v>195</v>
      </c>
      <c r="AP31" s="145">
        <f t="shared" si="31"/>
        <v>235.0984112153387</v>
      </c>
      <c r="AQ31" s="147">
        <f t="shared" si="32"/>
        <v>414092.7707923259</v>
      </c>
      <c r="AR31" s="142">
        <v>259</v>
      </c>
      <c r="AS31" s="145">
        <f t="shared" si="33"/>
        <v>312.25891540909089</v>
      </c>
      <c r="AT31" s="147">
        <f t="shared" si="34"/>
        <v>451732.24989988323</v>
      </c>
      <c r="AU31" s="144">
        <f t="shared" si="35"/>
        <v>17252499.700812083</v>
      </c>
      <c r="AV31" s="148">
        <f>INDEX('Baselines+Historic Spend Factor'!P$9:P$159,MATCH('2019-20 StepbyStep Allocations'!C31,'Baselines+Historic Spend Factor'!C$9:C$159,0))</f>
        <v>15914046.770185679</v>
      </c>
      <c r="AW31" s="149">
        <v>32180.775000000001</v>
      </c>
      <c r="AX31" s="150">
        <f t="shared" si="36"/>
        <v>494.52030817112637</v>
      </c>
      <c r="AY31" s="148">
        <f t="shared" si="37"/>
        <v>499.46551125283764</v>
      </c>
      <c r="AZ31" s="148">
        <f t="shared" si="38"/>
        <v>530.16078540228284</v>
      </c>
      <c r="BA31" s="148">
        <f t="shared" si="39"/>
        <v>530.16078540228284</v>
      </c>
      <c r="BB31" s="151">
        <f t="shared" si="40"/>
        <v>0</v>
      </c>
      <c r="BC31" s="148">
        <f t="shared" si="41"/>
        <v>0</v>
      </c>
      <c r="BD31" s="144">
        <f t="shared" si="42"/>
        <v>0</v>
      </c>
      <c r="BE31" s="144">
        <f t="shared" si="4"/>
        <v>17252499.700812083</v>
      </c>
      <c r="BF31" s="144">
        <f>INDEX('Hospital Education Funding'!$G$9:$G$159,MATCH(C31,'Hospital Education Funding'!$C$9:$C$158,0))</f>
        <v>303000</v>
      </c>
      <c r="BG31" s="152">
        <f>INDEX('Import|Export Adjustments Data'!$Q$9:$Q$159,MATCH('2019-20 StepbyStep Allocations'!$C31,'Import|Export Adjustments Data'!$C$9:$C$159,0))</f>
        <v>343</v>
      </c>
      <c r="BH31" s="144">
        <f t="shared" si="43"/>
        <v>2058000</v>
      </c>
      <c r="BI31" s="153">
        <f>INDEX('Baselines+Historic Spend Factor'!$F$9:$F$159,MATCH('2019-20 StepbyStep Allocations'!C31,'Baselines+Historic Spend Factor'!C$9:C$159,0))-INDEX('Baselines+Historic Spend Factor'!$G$9:$G$159,MATCH('2019-20 StepbyStep Allocations'!C31,'Baselines+Historic Spend Factor'!C$9:C$159,0))</f>
        <v>20080000</v>
      </c>
      <c r="BJ31" s="154">
        <f t="shared" si="2"/>
        <v>21933137.358136758</v>
      </c>
      <c r="BK31" s="155">
        <f t="shared" si="44"/>
        <v>9.2287717038683104E-2</v>
      </c>
      <c r="BL31" s="156">
        <f t="shared" si="45"/>
        <v>494.52030817112637</v>
      </c>
      <c r="BM31" s="148">
        <f t="shared" si="5"/>
        <v>530.16078540228284</v>
      </c>
      <c r="BN31" s="148">
        <f t="shared" si="46"/>
        <v>524.63659493874798</v>
      </c>
      <c r="BO31" s="148">
        <f t="shared" si="6"/>
        <v>17072731.417409066</v>
      </c>
      <c r="BP31" s="144">
        <f t="shared" si="7"/>
        <v>21753369.074733742</v>
      </c>
      <c r="BQ31" s="148">
        <v>21221120.580961704</v>
      </c>
      <c r="BR31" s="157">
        <f t="shared" si="3"/>
        <v>2.5081073911315421E-2</v>
      </c>
      <c r="BT31" s="94"/>
      <c r="BU31" s="158"/>
      <c r="BX31" s="94"/>
    </row>
    <row r="32" spans="1:76" ht="15.4" x14ac:dyDescent="0.45">
      <c r="A32" s="139" t="s">
        <v>163</v>
      </c>
      <c r="B32" s="140" t="s">
        <v>131</v>
      </c>
      <c r="C32" s="102">
        <v>309</v>
      </c>
      <c r="D32" s="141" t="s">
        <v>135</v>
      </c>
      <c r="E32" s="348">
        <v>1.1243577599840504</v>
      </c>
      <c r="F32" s="142">
        <v>393</v>
      </c>
      <c r="G32" s="143">
        <f t="shared" si="8"/>
        <v>4497.4310399362021</v>
      </c>
      <c r="H32" s="144">
        <f t="shared" si="9"/>
        <v>1767490.3986949273</v>
      </c>
      <c r="I32" s="144">
        <f>INDEX('Baselines+Historic Spend Factor'!$Q$9:$Q$159,MATCH(C32,'Baselines+Historic Spend Factor'!$C$9:$C$159,0))</f>
        <v>16458947.773077577</v>
      </c>
      <c r="J32" s="142">
        <v>56864.457999999999</v>
      </c>
      <c r="K32" s="145">
        <f t="shared" si="10"/>
        <v>63935.994619587116</v>
      </c>
      <c r="L32" s="144">
        <f t="shared" si="11"/>
        <v>7491604.7388142897</v>
      </c>
      <c r="M32" s="142">
        <v>6524.0000000000018</v>
      </c>
      <c r="N32" s="145">
        <f t="shared" si="12"/>
        <v>7335.3100261359468</v>
      </c>
      <c r="O32" s="144">
        <f t="shared" si="13"/>
        <v>1799605.1560991711</v>
      </c>
      <c r="P32" s="142">
        <v>3494</v>
      </c>
      <c r="Q32" s="145">
        <f t="shared" si="14"/>
        <v>3928.5060133842721</v>
      </c>
      <c r="R32" s="147">
        <f t="shared" si="15"/>
        <v>133734.60090732062</v>
      </c>
      <c r="S32" s="142">
        <v>4539</v>
      </c>
      <c r="T32" s="145">
        <f t="shared" si="16"/>
        <v>5103.4598725676051</v>
      </c>
      <c r="U32" s="147">
        <f t="shared" si="17"/>
        <v>225637.67533365838</v>
      </c>
      <c r="V32" s="142">
        <v>7681</v>
      </c>
      <c r="W32" s="145">
        <f t="shared" si="18"/>
        <v>8636.1919544374905</v>
      </c>
      <c r="X32" s="147">
        <f t="shared" si="19"/>
        <v>520783.10873753659</v>
      </c>
      <c r="Y32" s="142">
        <v>11662</v>
      </c>
      <c r="Z32" s="145">
        <f t="shared" si="20"/>
        <v>13112.260196933996</v>
      </c>
      <c r="AA32" s="147">
        <f t="shared" si="21"/>
        <v>845751.57784519868</v>
      </c>
      <c r="AB32" s="142">
        <v>10407</v>
      </c>
      <c r="AC32" s="145">
        <f t="shared" si="22"/>
        <v>11701.191208154012</v>
      </c>
      <c r="AD32" s="147">
        <f t="shared" si="23"/>
        <v>826468.94222177519</v>
      </c>
      <c r="AE32" s="142">
        <v>1869</v>
      </c>
      <c r="AF32" s="145">
        <f t="shared" si="24"/>
        <v>2101.4246534101903</v>
      </c>
      <c r="AG32" s="147">
        <f t="shared" si="25"/>
        <v>200845.61706655577</v>
      </c>
      <c r="AH32" s="144">
        <f t="shared" si="26"/>
        <v>2753221.522112045</v>
      </c>
      <c r="AI32" s="142">
        <v>496</v>
      </c>
      <c r="AJ32" s="145">
        <f t="shared" si="27"/>
        <v>557.681448952089</v>
      </c>
      <c r="AK32" s="147">
        <f t="shared" si="28"/>
        <v>1721226.4791744766</v>
      </c>
      <c r="AL32" s="142">
        <v>1630</v>
      </c>
      <c r="AM32" s="145">
        <f t="shared" si="29"/>
        <v>1832.7031487740021</v>
      </c>
      <c r="AN32" s="147">
        <f t="shared" si="30"/>
        <v>934154.15646770352</v>
      </c>
      <c r="AO32" s="142">
        <v>563</v>
      </c>
      <c r="AP32" s="145">
        <f t="shared" si="31"/>
        <v>633.01341887102035</v>
      </c>
      <c r="AQ32" s="147">
        <f t="shared" si="32"/>
        <v>1114964.0663837967</v>
      </c>
      <c r="AR32" s="142">
        <v>652</v>
      </c>
      <c r="AS32" s="145">
        <f t="shared" si="33"/>
        <v>733.08125950960084</v>
      </c>
      <c r="AT32" s="147">
        <f t="shared" si="34"/>
        <v>1060518.7886592881</v>
      </c>
      <c r="AU32" s="144">
        <f t="shared" si="35"/>
        <v>33334242.680788349</v>
      </c>
      <c r="AV32" s="148">
        <f>INDEX('Baselines+Historic Spend Factor'!P$9:P$159,MATCH('2019-20 StepbyStep Allocations'!C32,'Baselines+Historic Spend Factor'!C$9:C$159,0))</f>
        <v>32917895.546155155</v>
      </c>
      <c r="AW32" s="149">
        <v>56218.555</v>
      </c>
      <c r="AX32" s="150">
        <f t="shared" si="36"/>
        <v>585.53435865000722</v>
      </c>
      <c r="AY32" s="148">
        <f t="shared" si="37"/>
        <v>591.38970223650733</v>
      </c>
      <c r="AZ32" s="148">
        <f t="shared" si="38"/>
        <v>586.20523000128389</v>
      </c>
      <c r="BA32" s="148">
        <f t="shared" si="39"/>
        <v>591.38970223650733</v>
      </c>
      <c r="BB32" s="151">
        <f t="shared" si="40"/>
        <v>294812.20367202931</v>
      </c>
      <c r="BC32" s="148">
        <f t="shared" si="41"/>
        <v>0</v>
      </c>
      <c r="BD32" s="144">
        <f t="shared" si="42"/>
        <v>294812.20367202931</v>
      </c>
      <c r="BE32" s="144">
        <f t="shared" si="4"/>
        <v>33629054.884460375</v>
      </c>
      <c r="BF32" s="144">
        <f>INDEX('Hospital Education Funding'!$G$9:$G$159,MATCH(C32,'Hospital Education Funding'!$C$9:$C$158,0))</f>
        <v>323200</v>
      </c>
      <c r="BG32" s="152">
        <f>INDEX('Import|Export Adjustments Data'!$Q$9:$Q$159,MATCH('2019-20 StepbyStep Allocations'!$C32,'Import|Export Adjustments Data'!$C$9:$C$159,0))</f>
        <v>-86.5</v>
      </c>
      <c r="BH32" s="144">
        <f t="shared" si="43"/>
        <v>-519000</v>
      </c>
      <c r="BI32" s="153">
        <f>INDEX('Baselines+Historic Spend Factor'!$F$9:$F$159,MATCH('2019-20 StepbyStep Allocations'!C32,'Baselines+Historic Spend Factor'!C$9:C$159,0))-INDEX('Baselines+Historic Spend Factor'!$G$9:$G$159,MATCH('2019-20 StepbyStep Allocations'!C32,'Baselines+Historic Spend Factor'!C$9:C$159,0))</f>
        <v>35467375.669009827</v>
      </c>
      <c r="BJ32" s="154">
        <f t="shared" si="2"/>
        <v>35200745.2831553</v>
      </c>
      <c r="BK32" s="155">
        <f t="shared" si="44"/>
        <v>-7.5176237549342551E-3</v>
      </c>
      <c r="BL32" s="156">
        <f t="shared" si="45"/>
        <v>585.53435865000722</v>
      </c>
      <c r="BM32" s="148">
        <f t="shared" si="5"/>
        <v>591.38970223650733</v>
      </c>
      <c r="BN32" s="148">
        <f t="shared" si="46"/>
        <v>591.38970223650733</v>
      </c>
      <c r="BO32" s="148">
        <f t="shared" si="6"/>
        <v>33629054.884460375</v>
      </c>
      <c r="BP32" s="144">
        <f t="shared" si="7"/>
        <v>35200745.2831553</v>
      </c>
      <c r="BQ32" s="148">
        <v>34840515.285808705</v>
      </c>
      <c r="BR32" s="157">
        <f t="shared" si="3"/>
        <v>1.0339399242276004E-2</v>
      </c>
      <c r="BT32" s="94"/>
      <c r="BU32" s="158"/>
      <c r="BX32" s="94"/>
    </row>
    <row r="33" spans="1:76" ht="15.4" x14ac:dyDescent="0.45">
      <c r="A33" s="139" t="s">
        <v>164</v>
      </c>
      <c r="B33" s="140" t="s">
        <v>131</v>
      </c>
      <c r="C33" s="102">
        <v>206</v>
      </c>
      <c r="D33" s="141" t="s">
        <v>136</v>
      </c>
      <c r="E33" s="348">
        <v>1.205632878027378</v>
      </c>
      <c r="F33" s="142">
        <v>382.5</v>
      </c>
      <c r="G33" s="143">
        <f t="shared" si="8"/>
        <v>4822.5315121095118</v>
      </c>
      <c r="H33" s="144">
        <f t="shared" si="9"/>
        <v>1844618.3033818882</v>
      </c>
      <c r="I33" s="144">
        <f>INDEX('Baselines+Historic Spend Factor'!$Q$9:$Q$159,MATCH(C33,'Baselines+Historic Spend Factor'!$C$9:$C$159,0))</f>
        <v>12796427.302864652</v>
      </c>
      <c r="J33" s="142">
        <v>39415.295999999995</v>
      </c>
      <c r="K33" s="145">
        <f t="shared" si="10"/>
        <v>47520.376754780991</v>
      </c>
      <c r="L33" s="144">
        <f t="shared" si="11"/>
        <v>5568129.2174235461</v>
      </c>
      <c r="M33" s="142">
        <v>6264.3333329999987</v>
      </c>
      <c r="N33" s="145">
        <f t="shared" si="12"/>
        <v>7552.4862251876257</v>
      </c>
      <c r="O33" s="144">
        <f t="shared" si="13"/>
        <v>1852885.9862485277</v>
      </c>
      <c r="P33" s="142">
        <v>2036</v>
      </c>
      <c r="Q33" s="145">
        <f t="shared" si="14"/>
        <v>2454.6685396637413</v>
      </c>
      <c r="R33" s="147">
        <f t="shared" si="15"/>
        <v>83562.075861222664</v>
      </c>
      <c r="S33" s="142">
        <v>4154</v>
      </c>
      <c r="T33" s="145">
        <f t="shared" si="16"/>
        <v>5008.1989753257276</v>
      </c>
      <c r="U33" s="147">
        <f t="shared" si="17"/>
        <v>221425.93507497743</v>
      </c>
      <c r="V33" s="142">
        <v>5964</v>
      </c>
      <c r="W33" s="145">
        <f t="shared" si="18"/>
        <v>7190.3944845552824</v>
      </c>
      <c r="X33" s="147">
        <f t="shared" si="19"/>
        <v>433598.05021376931</v>
      </c>
      <c r="Y33" s="142">
        <v>5950</v>
      </c>
      <c r="Z33" s="145">
        <f t="shared" si="20"/>
        <v>7173.5156242628991</v>
      </c>
      <c r="AA33" s="147">
        <f t="shared" si="21"/>
        <v>462697.66362142249</v>
      </c>
      <c r="AB33" s="142">
        <v>10202</v>
      </c>
      <c r="AC33" s="145">
        <f t="shared" si="22"/>
        <v>12299.86662163531</v>
      </c>
      <c r="AD33" s="147">
        <f t="shared" si="23"/>
        <v>868754.09310190764</v>
      </c>
      <c r="AE33" s="142">
        <v>4178</v>
      </c>
      <c r="AF33" s="145">
        <f t="shared" si="24"/>
        <v>5037.1341643983851</v>
      </c>
      <c r="AG33" s="147">
        <f t="shared" si="25"/>
        <v>481428.78587336431</v>
      </c>
      <c r="AH33" s="144">
        <f t="shared" si="26"/>
        <v>2551466.6037466642</v>
      </c>
      <c r="AI33" s="142">
        <v>342</v>
      </c>
      <c r="AJ33" s="145">
        <f t="shared" si="27"/>
        <v>412.32644428536327</v>
      </c>
      <c r="AK33" s="147">
        <f t="shared" si="28"/>
        <v>1272603.1954288632</v>
      </c>
      <c r="AL33" s="142">
        <v>1440</v>
      </c>
      <c r="AM33" s="145">
        <f t="shared" si="29"/>
        <v>1736.1113443594243</v>
      </c>
      <c r="AN33" s="147">
        <f t="shared" si="30"/>
        <v>884919.97708903311</v>
      </c>
      <c r="AO33" s="142">
        <v>352</v>
      </c>
      <c r="AP33" s="145">
        <f t="shared" si="31"/>
        <v>424.38277306563702</v>
      </c>
      <c r="AQ33" s="147">
        <f t="shared" si="32"/>
        <v>747490.54009691661</v>
      </c>
      <c r="AR33" s="142">
        <v>292</v>
      </c>
      <c r="AS33" s="145">
        <f t="shared" si="33"/>
        <v>352.04480038399436</v>
      </c>
      <c r="AT33" s="147">
        <f t="shared" si="34"/>
        <v>509288.86861299572</v>
      </c>
      <c r="AU33" s="144">
        <f t="shared" si="35"/>
        <v>26183211.691511199</v>
      </c>
      <c r="AV33" s="148">
        <f>INDEX('Baselines+Historic Spend Factor'!P$9:P$159,MATCH('2019-20 StepbyStep Allocations'!C33,'Baselines+Historic Spend Factor'!C$9:C$159,0))</f>
        <v>25592854.605729304</v>
      </c>
      <c r="AW33" s="149">
        <v>38134.771999999997</v>
      </c>
      <c r="AX33" s="150">
        <f t="shared" si="36"/>
        <v>671.11597273295104</v>
      </c>
      <c r="AY33" s="148">
        <f t="shared" si="37"/>
        <v>677.82713246028061</v>
      </c>
      <c r="AZ33" s="148">
        <f t="shared" si="38"/>
        <v>664.29062695637765</v>
      </c>
      <c r="BA33" s="148">
        <f t="shared" si="39"/>
        <v>677.82713246028061</v>
      </c>
      <c r="BB33" s="151">
        <f t="shared" si="40"/>
        <v>533545.37124196417</v>
      </c>
      <c r="BC33" s="148">
        <f t="shared" si="41"/>
        <v>0</v>
      </c>
      <c r="BD33" s="144">
        <f t="shared" si="42"/>
        <v>533545.37124196417</v>
      </c>
      <c r="BE33" s="144">
        <f t="shared" si="4"/>
        <v>26716757.062753163</v>
      </c>
      <c r="BF33" s="144">
        <f>INDEX('Hospital Education Funding'!$G$9:$G$159,MATCH(C33,'Hospital Education Funding'!$C$9:$C$158,0))</f>
        <v>0</v>
      </c>
      <c r="BG33" s="152">
        <f>INDEX('Import|Export Adjustments Data'!$Q$9:$Q$159,MATCH('2019-20 StepbyStep Allocations'!$C33,'Import|Export Adjustments Data'!$C$9:$C$159,0))</f>
        <v>-40</v>
      </c>
      <c r="BH33" s="144">
        <f t="shared" si="43"/>
        <v>-240000</v>
      </c>
      <c r="BI33" s="153">
        <f>INDEX('Baselines+Historic Spend Factor'!$F$9:$F$159,MATCH('2019-20 StepbyStep Allocations'!C33,'Baselines+Historic Spend Factor'!C$9:C$159,0))-INDEX('Baselines+Historic Spend Factor'!$G$9:$G$159,MATCH('2019-20 StepbyStep Allocations'!C33,'Baselines+Historic Spend Factor'!C$9:C$159,0))</f>
        <v>27202633.413304944</v>
      </c>
      <c r="BJ33" s="154">
        <f t="shared" si="2"/>
        <v>28321375.366135053</v>
      </c>
      <c r="BK33" s="155">
        <f t="shared" si="44"/>
        <v>4.1126237148897848E-2</v>
      </c>
      <c r="BL33" s="156">
        <f t="shared" si="45"/>
        <v>671.11597273295104</v>
      </c>
      <c r="BM33" s="148">
        <f t="shared" si="5"/>
        <v>677.82713246028061</v>
      </c>
      <c r="BN33" s="148">
        <f t="shared" si="46"/>
        <v>677.82713246028061</v>
      </c>
      <c r="BO33" s="148">
        <f t="shared" si="6"/>
        <v>26716757.062753163</v>
      </c>
      <c r="BP33" s="144">
        <f t="shared" si="7"/>
        <v>28321375.366135053</v>
      </c>
      <c r="BQ33" s="148">
        <v>27743616.700280868</v>
      </c>
      <c r="BR33" s="157">
        <f t="shared" si="3"/>
        <v>2.0824922435160875E-2</v>
      </c>
      <c r="BT33" s="94"/>
      <c r="BU33" s="158"/>
      <c r="BX33" s="94"/>
    </row>
    <row r="34" spans="1:76" ht="15.4" x14ac:dyDescent="0.45">
      <c r="A34" s="139" t="s">
        <v>226</v>
      </c>
      <c r="B34" s="140" t="s">
        <v>131</v>
      </c>
      <c r="C34" s="102">
        <v>207</v>
      </c>
      <c r="D34" s="141" t="s">
        <v>137</v>
      </c>
      <c r="E34" s="348">
        <v>1.205632878027378</v>
      </c>
      <c r="F34" s="142">
        <v>151</v>
      </c>
      <c r="G34" s="143">
        <f t="shared" si="8"/>
        <v>4822.5315121095118</v>
      </c>
      <c r="H34" s="144">
        <f t="shared" si="9"/>
        <v>728202.25832853629</v>
      </c>
      <c r="I34" s="144">
        <f>INDEX('Baselines+Historic Spend Factor'!$Q$9:$Q$159,MATCH(C34,'Baselines+Historic Spend Factor'!$C$9:$C$159,0))</f>
        <v>6809805.0384025201</v>
      </c>
      <c r="J34" s="142">
        <v>26380.887999999999</v>
      </c>
      <c r="K34" s="145">
        <f t="shared" si="10"/>
        <v>31805.665924357916</v>
      </c>
      <c r="L34" s="144">
        <f t="shared" si="11"/>
        <v>3726781.4316142201</v>
      </c>
      <c r="M34" s="142">
        <v>1960.5000000000002</v>
      </c>
      <c r="N34" s="145">
        <f t="shared" si="12"/>
        <v>2363.6432573726747</v>
      </c>
      <c r="O34" s="144">
        <f t="shared" si="13"/>
        <v>579883.41024320759</v>
      </c>
      <c r="P34" s="142">
        <v>1439</v>
      </c>
      <c r="Q34" s="145">
        <f t="shared" si="14"/>
        <v>1734.9057114813968</v>
      </c>
      <c r="R34" s="147">
        <f t="shared" si="15"/>
        <v>59059.836524705024</v>
      </c>
      <c r="S34" s="142">
        <v>1193</v>
      </c>
      <c r="T34" s="145">
        <f t="shared" si="16"/>
        <v>1438.320023486662</v>
      </c>
      <c r="U34" s="147">
        <f t="shared" si="17"/>
        <v>63591.993390574891</v>
      </c>
      <c r="V34" s="142">
        <v>1753</v>
      </c>
      <c r="W34" s="145">
        <f t="shared" si="18"/>
        <v>2113.4744351819936</v>
      </c>
      <c r="X34" s="147">
        <f t="shared" si="19"/>
        <v>127447.58249911763</v>
      </c>
      <c r="Y34" s="142">
        <v>1173</v>
      </c>
      <c r="Z34" s="145">
        <f t="shared" si="20"/>
        <v>1414.2073659261143</v>
      </c>
      <c r="AA34" s="147">
        <f t="shared" si="21"/>
        <v>91217.539399651854</v>
      </c>
      <c r="AB34" s="142">
        <v>3061</v>
      </c>
      <c r="AC34" s="145">
        <f t="shared" si="22"/>
        <v>3690.442239641804</v>
      </c>
      <c r="AD34" s="147">
        <f t="shared" si="23"/>
        <v>260660.29003969219</v>
      </c>
      <c r="AE34" s="142">
        <v>904</v>
      </c>
      <c r="AF34" s="145">
        <f t="shared" si="24"/>
        <v>1089.8921217367497</v>
      </c>
      <c r="AG34" s="147">
        <f t="shared" si="25"/>
        <v>104167.45390845415</v>
      </c>
      <c r="AH34" s="144">
        <f t="shared" si="26"/>
        <v>706144.69576219586</v>
      </c>
      <c r="AI34" s="142">
        <v>159</v>
      </c>
      <c r="AJ34" s="145">
        <f t="shared" si="27"/>
        <v>191.6956276063531</v>
      </c>
      <c r="AK34" s="147">
        <f t="shared" si="28"/>
        <v>591648.85401517316</v>
      </c>
      <c r="AL34" s="142">
        <v>450</v>
      </c>
      <c r="AM34" s="145">
        <f t="shared" si="29"/>
        <v>542.53479511232013</v>
      </c>
      <c r="AN34" s="147">
        <f t="shared" si="30"/>
        <v>276537.49284032284</v>
      </c>
      <c r="AO34" s="142">
        <v>96</v>
      </c>
      <c r="AP34" s="145">
        <f t="shared" si="31"/>
        <v>115.74075629062828</v>
      </c>
      <c r="AQ34" s="147">
        <f t="shared" si="32"/>
        <v>203861.05639006814</v>
      </c>
      <c r="AR34" s="142">
        <v>111</v>
      </c>
      <c r="AS34" s="145">
        <f t="shared" si="33"/>
        <v>133.82524946103896</v>
      </c>
      <c r="AT34" s="147">
        <f t="shared" si="34"/>
        <v>193599.53567137854</v>
      </c>
      <c r="AU34" s="144">
        <f t="shared" si="35"/>
        <v>13088261.514939088</v>
      </c>
      <c r="AV34" s="148">
        <f>INDEX('Baselines+Historic Spend Factor'!P$9:P$159,MATCH('2019-20 StepbyStep Allocations'!C34,'Baselines+Historic Spend Factor'!C$9:C$159,0))</f>
        <v>13619610.07680504</v>
      </c>
      <c r="AW34" s="149">
        <v>26412.445000000007</v>
      </c>
      <c r="AX34" s="150">
        <f t="shared" si="36"/>
        <v>515.65124231418315</v>
      </c>
      <c r="AY34" s="148">
        <f t="shared" si="37"/>
        <v>520.80775473732501</v>
      </c>
      <c r="AZ34" s="148">
        <f t="shared" si="38"/>
        <v>496.12664725080856</v>
      </c>
      <c r="BA34" s="148">
        <f t="shared" si="39"/>
        <v>520.80775473732501</v>
      </c>
      <c r="BB34" s="151">
        <f t="shared" si="40"/>
        <v>651109.53231775202</v>
      </c>
      <c r="BC34" s="148">
        <f t="shared" si="41"/>
        <v>0</v>
      </c>
      <c r="BD34" s="144">
        <f t="shared" si="42"/>
        <v>651109.53231775202</v>
      </c>
      <c r="BE34" s="144">
        <f t="shared" si="4"/>
        <v>13739371.04725684</v>
      </c>
      <c r="BF34" s="144">
        <f>INDEX('Hospital Education Funding'!$G$9:$G$159,MATCH(C34,'Hospital Education Funding'!$C$9:$C$158,0))</f>
        <v>1479650</v>
      </c>
      <c r="BG34" s="152">
        <f>INDEX('Import|Export Adjustments Data'!$Q$9:$Q$159,MATCH('2019-20 StepbyStep Allocations'!$C34,'Import|Export Adjustments Data'!$C$9:$C$159,0))</f>
        <v>67.5</v>
      </c>
      <c r="BH34" s="144">
        <f t="shared" si="43"/>
        <v>405000</v>
      </c>
      <c r="BI34" s="153">
        <f>INDEX('Baselines+Historic Spend Factor'!$F$9:$F$159,MATCH('2019-20 StepbyStep Allocations'!C34,'Baselines+Historic Spend Factor'!C$9:C$159,0))-INDEX('Baselines+Historic Spend Factor'!$G$9:$G$159,MATCH('2019-20 StepbyStep Allocations'!C34,'Baselines+Historic Spend Factor'!C$9:C$159,0))</f>
        <v>15795651.830939824</v>
      </c>
      <c r="BJ34" s="154">
        <f t="shared" si="2"/>
        <v>16352223.305585377</v>
      </c>
      <c r="BK34" s="155">
        <f t="shared" si="44"/>
        <v>3.5235739594827287E-2</v>
      </c>
      <c r="BL34" s="156">
        <f t="shared" si="45"/>
        <v>515.65124231418315</v>
      </c>
      <c r="BM34" s="148">
        <f t="shared" si="5"/>
        <v>520.80775473732501</v>
      </c>
      <c r="BN34" s="148">
        <f t="shared" si="46"/>
        <v>520.80775473732501</v>
      </c>
      <c r="BO34" s="148">
        <f t="shared" si="6"/>
        <v>13739371.04725684</v>
      </c>
      <c r="BP34" s="144">
        <f t="shared" si="7"/>
        <v>16352223.305585377</v>
      </c>
      <c r="BQ34" s="148">
        <v>16338225.67869026</v>
      </c>
      <c r="BR34" s="157">
        <f t="shared" si="3"/>
        <v>8.5674094423682234E-4</v>
      </c>
      <c r="BT34" s="94"/>
      <c r="BU34" s="158"/>
      <c r="BX34" s="94"/>
    </row>
    <row r="35" spans="1:76" ht="15.4" x14ac:dyDescent="0.45">
      <c r="A35" s="139" t="s">
        <v>240</v>
      </c>
      <c r="B35" s="140" t="s">
        <v>131</v>
      </c>
      <c r="C35" s="102">
        <v>208</v>
      </c>
      <c r="D35" s="141" t="s">
        <v>138</v>
      </c>
      <c r="E35" s="348">
        <v>1.205632878027378</v>
      </c>
      <c r="F35" s="142">
        <v>494</v>
      </c>
      <c r="G35" s="143">
        <f t="shared" si="8"/>
        <v>4822.5315121095118</v>
      </c>
      <c r="H35" s="144">
        <f t="shared" si="9"/>
        <v>2382330.5669820989</v>
      </c>
      <c r="I35" s="144">
        <f>INDEX('Baselines+Historic Spend Factor'!$Q$9:$Q$159,MATCH(C35,'Baselines+Historic Spend Factor'!$C$9:$C$159,0))</f>
        <v>19484986.659505043</v>
      </c>
      <c r="J35" s="142">
        <v>57618.328000000001</v>
      </c>
      <c r="K35" s="145">
        <f t="shared" si="10"/>
        <v>69466.550613765459</v>
      </c>
      <c r="L35" s="144">
        <f t="shared" si="11"/>
        <v>8139639.3825354828</v>
      </c>
      <c r="M35" s="142">
        <v>8013.0000000000055</v>
      </c>
      <c r="N35" s="145">
        <f t="shared" si="12"/>
        <v>9660.7362516333869</v>
      </c>
      <c r="O35" s="144">
        <f t="shared" si="13"/>
        <v>2370112.6071302351</v>
      </c>
      <c r="P35" s="142">
        <v>4468</v>
      </c>
      <c r="Q35" s="145">
        <f t="shared" si="14"/>
        <v>5386.7676990263244</v>
      </c>
      <c r="R35" s="147">
        <f t="shared" si="15"/>
        <v>183376.89339289928</v>
      </c>
      <c r="S35" s="142">
        <v>9059</v>
      </c>
      <c r="T35" s="145">
        <f t="shared" si="16"/>
        <v>10921.828242050016</v>
      </c>
      <c r="U35" s="147">
        <f t="shared" si="17"/>
        <v>482883.37646707287</v>
      </c>
      <c r="V35" s="142">
        <v>10305</v>
      </c>
      <c r="W35" s="145">
        <f t="shared" si="18"/>
        <v>12424.046808072129</v>
      </c>
      <c r="X35" s="147">
        <f t="shared" si="19"/>
        <v>749199.85034421401</v>
      </c>
      <c r="Y35" s="142">
        <v>10779</v>
      </c>
      <c r="Z35" s="145">
        <f t="shared" si="20"/>
        <v>12995.516792257107</v>
      </c>
      <c r="AA35" s="147">
        <f t="shared" si="21"/>
        <v>838221.53213030461</v>
      </c>
      <c r="AB35" s="142">
        <v>10497</v>
      </c>
      <c r="AC35" s="145">
        <f t="shared" si="22"/>
        <v>12655.528320653386</v>
      </c>
      <c r="AD35" s="147">
        <f t="shared" si="23"/>
        <v>893874.89857780095</v>
      </c>
      <c r="AE35" s="142">
        <v>677</v>
      </c>
      <c r="AF35" s="145">
        <f t="shared" si="24"/>
        <v>816.21345842453491</v>
      </c>
      <c r="AG35" s="147">
        <f t="shared" si="25"/>
        <v>78010.360946928602</v>
      </c>
      <c r="AH35" s="144">
        <f t="shared" si="26"/>
        <v>3225566.9118592204</v>
      </c>
      <c r="AI35" s="142">
        <v>490</v>
      </c>
      <c r="AJ35" s="145">
        <f t="shared" si="27"/>
        <v>590.76011023341516</v>
      </c>
      <c r="AK35" s="147">
        <f t="shared" si="28"/>
        <v>1823320.3677197159</v>
      </c>
      <c r="AL35" s="142">
        <v>1870</v>
      </c>
      <c r="AM35" s="145">
        <f t="shared" si="29"/>
        <v>2254.5334819111968</v>
      </c>
      <c r="AN35" s="147">
        <f t="shared" si="30"/>
        <v>1149166.9146920084</v>
      </c>
      <c r="AO35" s="142">
        <v>481</v>
      </c>
      <c r="AP35" s="145">
        <f t="shared" si="31"/>
        <v>579.90941433116882</v>
      </c>
      <c r="AQ35" s="147">
        <f t="shared" si="32"/>
        <v>1021428.8346210708</v>
      </c>
      <c r="AR35" s="142">
        <v>531</v>
      </c>
      <c r="AS35" s="145">
        <f t="shared" si="33"/>
        <v>640.19105823253767</v>
      </c>
      <c r="AT35" s="147">
        <f t="shared" si="34"/>
        <v>926138.31929281075</v>
      </c>
      <c r="AU35" s="144">
        <f t="shared" si="35"/>
        <v>38140359.997355595</v>
      </c>
      <c r="AV35" s="148">
        <f>INDEX('Baselines+Historic Spend Factor'!P$9:P$159,MATCH('2019-20 StepbyStep Allocations'!C35,'Baselines+Historic Spend Factor'!C$9:C$159,0))</f>
        <v>38969973.319010086</v>
      </c>
      <c r="AW35" s="149">
        <v>57178.501000000011</v>
      </c>
      <c r="AX35" s="150">
        <f t="shared" si="36"/>
        <v>681.54940471437124</v>
      </c>
      <c r="AY35" s="148">
        <f t="shared" si="37"/>
        <v>688.36489876151495</v>
      </c>
      <c r="AZ35" s="148">
        <f t="shared" si="38"/>
        <v>661.94839942866088</v>
      </c>
      <c r="BA35" s="148">
        <f t="shared" si="39"/>
        <v>688.36489876151495</v>
      </c>
      <c r="BB35" s="151">
        <f t="shared" si="40"/>
        <v>1522074.5231721671</v>
      </c>
      <c r="BC35" s="148">
        <f t="shared" si="41"/>
        <v>0</v>
      </c>
      <c r="BD35" s="144">
        <f t="shared" si="42"/>
        <v>1522074.5231721671</v>
      </c>
      <c r="BE35" s="144">
        <f t="shared" si="4"/>
        <v>39662434.520527765</v>
      </c>
      <c r="BF35" s="144">
        <f>INDEX('Hospital Education Funding'!$G$9:$G$159,MATCH(C35,'Hospital Education Funding'!$C$9:$C$158,0))</f>
        <v>0</v>
      </c>
      <c r="BG35" s="152">
        <f>INDEX('Import|Export Adjustments Data'!$Q$9:$Q$159,MATCH('2019-20 StepbyStep Allocations'!$C35,'Import|Export Adjustments Data'!$C$9:$C$159,0))</f>
        <v>-34</v>
      </c>
      <c r="BH35" s="144">
        <f t="shared" si="43"/>
        <v>-204000</v>
      </c>
      <c r="BI35" s="153">
        <f>INDEX('Baselines+Historic Spend Factor'!$F$9:$F$159,MATCH('2019-20 StepbyStep Allocations'!C35,'Baselines+Historic Spend Factor'!C$9:C$159,0))-INDEX('Baselines+Historic Spend Factor'!$G$9:$G$159,MATCH('2019-20 StepbyStep Allocations'!C35,'Baselines+Historic Spend Factor'!C$9:C$159,0))</f>
        <v>40869385.661213666</v>
      </c>
      <c r="BJ35" s="154">
        <f t="shared" si="2"/>
        <v>41840765.087509863</v>
      </c>
      <c r="BK35" s="155">
        <f t="shared" si="44"/>
        <v>2.3767898894992756E-2</v>
      </c>
      <c r="BL35" s="156">
        <f t="shared" si="45"/>
        <v>681.54940471437124</v>
      </c>
      <c r="BM35" s="148">
        <f t="shared" si="5"/>
        <v>688.36489876151495</v>
      </c>
      <c r="BN35" s="148">
        <f t="shared" si="46"/>
        <v>688.36489876151495</v>
      </c>
      <c r="BO35" s="148">
        <f t="shared" si="6"/>
        <v>39662434.520527765</v>
      </c>
      <c r="BP35" s="144">
        <f t="shared" si="7"/>
        <v>41840765.087509863</v>
      </c>
      <c r="BQ35" s="148">
        <v>41716896.455452256</v>
      </c>
      <c r="BR35" s="157">
        <f t="shared" si="3"/>
        <v>2.9692676728692025E-3</v>
      </c>
      <c r="BT35" s="94"/>
      <c r="BU35" s="158"/>
      <c r="BX35" s="94"/>
    </row>
    <row r="36" spans="1:76" ht="15.4" x14ac:dyDescent="0.45">
      <c r="A36" s="139" t="s">
        <v>188</v>
      </c>
      <c r="B36" s="140" t="s">
        <v>131</v>
      </c>
      <c r="C36" s="102">
        <v>209</v>
      </c>
      <c r="D36" s="141" t="s">
        <v>139</v>
      </c>
      <c r="E36" s="348">
        <v>1.205632878027378</v>
      </c>
      <c r="F36" s="142">
        <v>669</v>
      </c>
      <c r="G36" s="143">
        <f t="shared" si="8"/>
        <v>4822.5315121095118</v>
      </c>
      <c r="H36" s="144">
        <f t="shared" si="9"/>
        <v>3226273.5816012635</v>
      </c>
      <c r="I36" s="144">
        <f>INDEX('Baselines+Historic Spend Factor'!$Q$9:$Q$159,MATCH(C36,'Baselines+Historic Spend Factor'!$C$9:$C$159,0))</f>
        <v>23746609.852961957</v>
      </c>
      <c r="J36" s="142">
        <v>63988.915000000008</v>
      </c>
      <c r="K36" s="145">
        <f t="shared" si="10"/>
        <v>77147.139753299271</v>
      </c>
      <c r="L36" s="144">
        <f t="shared" si="11"/>
        <v>9039600.9509285931</v>
      </c>
      <c r="M36" s="142">
        <v>7141</v>
      </c>
      <c r="N36" s="145">
        <f t="shared" si="12"/>
        <v>8609.4243819935054</v>
      </c>
      <c r="O36" s="144">
        <f t="shared" si="13"/>
        <v>2112189.45807026</v>
      </c>
      <c r="P36" s="142">
        <v>9728</v>
      </c>
      <c r="Q36" s="145">
        <f t="shared" si="14"/>
        <v>11728.396637450332</v>
      </c>
      <c r="R36" s="147">
        <f t="shared" si="15"/>
        <v>399259.27012670634</v>
      </c>
      <c r="S36" s="142">
        <v>12608</v>
      </c>
      <c r="T36" s="145">
        <f t="shared" si="16"/>
        <v>15200.619326169181</v>
      </c>
      <c r="U36" s="147">
        <f t="shared" si="17"/>
        <v>672060.22855688864</v>
      </c>
      <c r="V36" s="142">
        <v>8134</v>
      </c>
      <c r="W36" s="145">
        <f t="shared" si="18"/>
        <v>9806.6178298746927</v>
      </c>
      <c r="X36" s="147">
        <f t="shared" si="19"/>
        <v>591362.59900046932</v>
      </c>
      <c r="Y36" s="142">
        <v>9985</v>
      </c>
      <c r="Z36" s="145">
        <f t="shared" si="20"/>
        <v>12038.244287103369</v>
      </c>
      <c r="AA36" s="147">
        <f t="shared" si="21"/>
        <v>776476.66743863921</v>
      </c>
      <c r="AB36" s="142">
        <v>10474</v>
      </c>
      <c r="AC36" s="145">
        <f t="shared" si="22"/>
        <v>12627.798764458757</v>
      </c>
      <c r="AD36" s="147">
        <f t="shared" si="23"/>
        <v>891916.32730340923</v>
      </c>
      <c r="AE36" s="142">
        <v>1011</v>
      </c>
      <c r="AF36" s="145">
        <f t="shared" si="24"/>
        <v>1218.894839685679</v>
      </c>
      <c r="AG36" s="147">
        <f t="shared" si="25"/>
        <v>116497.00874053885</v>
      </c>
      <c r="AH36" s="144">
        <f t="shared" si="26"/>
        <v>3447572.1011666516</v>
      </c>
      <c r="AI36" s="142">
        <v>442</v>
      </c>
      <c r="AJ36" s="145">
        <f t="shared" si="27"/>
        <v>532.88973208810103</v>
      </c>
      <c r="AK36" s="147">
        <f t="shared" si="28"/>
        <v>1644709.3929226827</v>
      </c>
      <c r="AL36" s="142">
        <v>2410</v>
      </c>
      <c r="AM36" s="145">
        <f t="shared" si="29"/>
        <v>2905.575236045981</v>
      </c>
      <c r="AN36" s="147">
        <f t="shared" si="30"/>
        <v>1481011.9061003958</v>
      </c>
      <c r="AO36" s="142">
        <v>593</v>
      </c>
      <c r="AP36" s="145">
        <f t="shared" si="31"/>
        <v>714.94029667023517</v>
      </c>
      <c r="AQ36" s="147">
        <f t="shared" si="32"/>
        <v>1259266.7337428171</v>
      </c>
      <c r="AR36" s="142">
        <v>713</v>
      </c>
      <c r="AS36" s="145">
        <f t="shared" si="33"/>
        <v>859.61624203352051</v>
      </c>
      <c r="AT36" s="147">
        <f t="shared" si="34"/>
        <v>1243571.7921954314</v>
      </c>
      <c r="AU36" s="144">
        <f t="shared" si="35"/>
        <v>43974532.18808879</v>
      </c>
      <c r="AV36" s="148">
        <f>INDEX('Baselines+Historic Spend Factor'!P$9:P$159,MATCH('2019-20 StepbyStep Allocations'!C36,'Baselines+Historic Spend Factor'!C$9:C$159,0))</f>
        <v>47493219.705923915</v>
      </c>
      <c r="AW36" s="149">
        <v>62533.619000000006</v>
      </c>
      <c r="AX36" s="150">
        <f t="shared" si="36"/>
        <v>759.48298635848835</v>
      </c>
      <c r="AY36" s="148">
        <f t="shared" si="37"/>
        <v>767.07781622207324</v>
      </c>
      <c r="AZ36" s="148">
        <f t="shared" si="38"/>
        <v>687.22109427998248</v>
      </c>
      <c r="BA36" s="148">
        <f t="shared" si="39"/>
        <v>767.07781622207324</v>
      </c>
      <c r="BB36" s="151">
        <f t="shared" si="40"/>
        <v>5109944.9925310807</v>
      </c>
      <c r="BC36" s="148">
        <f t="shared" si="41"/>
        <v>0</v>
      </c>
      <c r="BD36" s="144">
        <f t="shared" si="42"/>
        <v>5109944.9925310807</v>
      </c>
      <c r="BE36" s="144">
        <f t="shared" si="4"/>
        <v>49084477.180619873</v>
      </c>
      <c r="BF36" s="144">
        <f>INDEX('Hospital Education Funding'!$G$9:$G$159,MATCH(C36,'Hospital Education Funding'!$C$9:$C$158,0))</f>
        <v>176105.4496209588</v>
      </c>
      <c r="BG36" s="152">
        <f>INDEX('Import|Export Adjustments Data'!$Q$9:$Q$159,MATCH('2019-20 StepbyStep Allocations'!$C36,'Import|Export Adjustments Data'!$C$9:$C$159,0))</f>
        <v>-328</v>
      </c>
      <c r="BH36" s="144">
        <f t="shared" si="43"/>
        <v>-1968000</v>
      </c>
      <c r="BI36" s="153">
        <f>INDEX('Baselines+Historic Spend Factor'!$F$9:$F$159,MATCH('2019-20 StepbyStep Allocations'!C36,'Baselines+Historic Spend Factor'!C$9:C$159,0))-INDEX('Baselines+Historic Spend Factor'!$G$9:$G$159,MATCH('2019-20 StepbyStep Allocations'!C36,'Baselines+Historic Spend Factor'!C$9:C$159,0))</f>
        <v>49672967.776393607</v>
      </c>
      <c r="BJ36" s="154">
        <f t="shared" si="2"/>
        <v>50518856.211842097</v>
      </c>
      <c r="BK36" s="155">
        <f t="shared" si="44"/>
        <v>1.702915032692065E-2</v>
      </c>
      <c r="BL36" s="156">
        <f t="shared" si="45"/>
        <v>759.48298635848835</v>
      </c>
      <c r="BM36" s="148">
        <f t="shared" si="5"/>
        <v>767.07781622207324</v>
      </c>
      <c r="BN36" s="148">
        <f t="shared" si="46"/>
        <v>767.07781622207324</v>
      </c>
      <c r="BO36" s="148">
        <f t="shared" si="6"/>
        <v>49084477.180619873</v>
      </c>
      <c r="BP36" s="144">
        <f t="shared" si="7"/>
        <v>50518856.211842097</v>
      </c>
      <c r="BQ36" s="148">
        <v>49479499.542478673</v>
      </c>
      <c r="BR36" s="157">
        <f t="shared" si="3"/>
        <v>2.1005803999111228E-2</v>
      </c>
      <c r="BT36" s="94"/>
      <c r="BU36" s="158"/>
      <c r="BX36" s="94"/>
    </row>
    <row r="37" spans="1:76" ht="15.4" x14ac:dyDescent="0.45">
      <c r="A37" s="139" t="s">
        <v>165</v>
      </c>
      <c r="B37" s="140" t="s">
        <v>131</v>
      </c>
      <c r="C37" s="102">
        <v>316</v>
      </c>
      <c r="D37" s="141" t="s">
        <v>140</v>
      </c>
      <c r="E37" s="348">
        <v>1.1243577599840504</v>
      </c>
      <c r="F37" s="142">
        <v>146.5</v>
      </c>
      <c r="G37" s="143">
        <f t="shared" si="8"/>
        <v>4497.4310399362021</v>
      </c>
      <c r="H37" s="144">
        <f t="shared" si="9"/>
        <v>658873.64735065366</v>
      </c>
      <c r="I37" s="144">
        <f>INDEX('Baselines+Historic Spend Factor'!$Q$9:$Q$159,MATCH(C37,'Baselines+Historic Spend Factor'!$C$9:$C$159,0))</f>
        <v>22742097.659970224</v>
      </c>
      <c r="J37" s="142">
        <v>80746.028999999995</v>
      </c>
      <c r="K37" s="145">
        <f t="shared" si="10"/>
        <v>90787.424294047174</v>
      </c>
      <c r="L37" s="144">
        <f t="shared" si="11"/>
        <v>10637880.932529703</v>
      </c>
      <c r="M37" s="142">
        <v>8663.5000000000036</v>
      </c>
      <c r="N37" s="145">
        <f t="shared" si="12"/>
        <v>9740.8734536218253</v>
      </c>
      <c r="O37" s="144">
        <f t="shared" si="13"/>
        <v>2389773.0333944163</v>
      </c>
      <c r="P37" s="142">
        <v>21006</v>
      </c>
      <c r="Q37" s="145">
        <f t="shared" si="14"/>
        <v>23618.259106224963</v>
      </c>
      <c r="R37" s="147">
        <f t="shared" si="15"/>
        <v>804015.17649089219</v>
      </c>
      <c r="S37" s="142">
        <v>20738</v>
      </c>
      <c r="T37" s="145">
        <f t="shared" si="16"/>
        <v>23316.931226549237</v>
      </c>
      <c r="U37" s="147">
        <f t="shared" si="17"/>
        <v>1030904.1883827732</v>
      </c>
      <c r="V37" s="142">
        <v>14755</v>
      </c>
      <c r="W37" s="145">
        <f t="shared" si="18"/>
        <v>16589.898748564665</v>
      </c>
      <c r="X37" s="147">
        <f t="shared" si="19"/>
        <v>1000410.7237888755</v>
      </c>
      <c r="Y37" s="142">
        <v>8573</v>
      </c>
      <c r="Z37" s="145">
        <f t="shared" si="20"/>
        <v>9639.1190763432642</v>
      </c>
      <c r="AA37" s="147">
        <f t="shared" si="21"/>
        <v>621731.11617791874</v>
      </c>
      <c r="AB37" s="142">
        <v>7066</v>
      </c>
      <c r="AC37" s="145">
        <f t="shared" si="22"/>
        <v>7944.7119320473003</v>
      </c>
      <c r="AD37" s="147">
        <f t="shared" si="23"/>
        <v>561144.37837408122</v>
      </c>
      <c r="AE37" s="142">
        <v>0</v>
      </c>
      <c r="AF37" s="145">
        <f t="shared" si="24"/>
        <v>0</v>
      </c>
      <c r="AG37" s="147">
        <f t="shared" si="25"/>
        <v>0</v>
      </c>
      <c r="AH37" s="144">
        <f t="shared" si="26"/>
        <v>4018205.583214541</v>
      </c>
      <c r="AI37" s="142">
        <v>708</v>
      </c>
      <c r="AJ37" s="145">
        <f t="shared" si="27"/>
        <v>796.04529406870768</v>
      </c>
      <c r="AK37" s="147">
        <f t="shared" si="28"/>
        <v>2456911.9904345353</v>
      </c>
      <c r="AL37" s="142">
        <v>2290</v>
      </c>
      <c r="AM37" s="145">
        <f t="shared" si="29"/>
        <v>2574.7792703634755</v>
      </c>
      <c r="AN37" s="147">
        <f t="shared" si="30"/>
        <v>1312400.6247307002</v>
      </c>
      <c r="AO37" s="142">
        <v>758</v>
      </c>
      <c r="AP37" s="145">
        <f t="shared" si="31"/>
        <v>852.26318206791018</v>
      </c>
      <c r="AQ37" s="147">
        <f t="shared" si="32"/>
        <v>1501141.6737458578</v>
      </c>
      <c r="AR37" s="142">
        <v>749</v>
      </c>
      <c r="AS37" s="145">
        <f t="shared" si="33"/>
        <v>842.14396222805374</v>
      </c>
      <c r="AT37" s="147">
        <f t="shared" si="34"/>
        <v>1218295.3569107465</v>
      </c>
      <c r="AU37" s="144">
        <f t="shared" si="35"/>
        <v>46276706.854930729</v>
      </c>
      <c r="AV37" s="148">
        <f>INDEX('Baselines+Historic Spend Factor'!P$9:P$159,MATCH('2019-20 StepbyStep Allocations'!C37,'Baselines+Historic Spend Factor'!C$9:C$159,0))</f>
        <v>45484195.319940448</v>
      </c>
      <c r="AW37" s="149">
        <v>78796.134000000005</v>
      </c>
      <c r="AX37" s="150">
        <f t="shared" si="36"/>
        <v>577.23892037571852</v>
      </c>
      <c r="AY37" s="148">
        <f t="shared" si="37"/>
        <v>583.01130957947566</v>
      </c>
      <c r="AZ37" s="148">
        <f t="shared" si="38"/>
        <v>573.11433674256273</v>
      </c>
      <c r="BA37" s="148">
        <f t="shared" si="39"/>
        <v>583.01130957947566</v>
      </c>
      <c r="BB37" s="151">
        <f t="shared" si="40"/>
        <v>799141.25570158428</v>
      </c>
      <c r="BC37" s="148">
        <f t="shared" si="41"/>
        <v>0</v>
      </c>
      <c r="BD37" s="144">
        <f t="shared" si="42"/>
        <v>799141.25570158428</v>
      </c>
      <c r="BE37" s="144">
        <f t="shared" si="4"/>
        <v>47075848.110632315</v>
      </c>
      <c r="BF37" s="144">
        <f>INDEX('Hospital Education Funding'!$G$9:$G$159,MATCH(C37,'Hospital Education Funding'!$C$9:$C$158,0))</f>
        <v>0</v>
      </c>
      <c r="BG37" s="152">
        <f>INDEX('Import|Export Adjustments Data'!$Q$9:$Q$159,MATCH('2019-20 StepbyStep Allocations'!$C37,'Import|Export Adjustments Data'!$C$9:$C$159,0))</f>
        <v>-61</v>
      </c>
      <c r="BH37" s="144">
        <f t="shared" si="43"/>
        <v>-366000</v>
      </c>
      <c r="BI37" s="153">
        <f>INDEX('Baselines+Historic Spend Factor'!$F$9:$F$159,MATCH('2019-20 StepbyStep Allocations'!C37,'Baselines+Historic Spend Factor'!C$9:C$159,0))-INDEX('Baselines+Historic Spend Factor'!$G$9:$G$159,MATCH('2019-20 StepbyStep Allocations'!C37,'Baselines+Historic Spend Factor'!C$9:C$159,0))</f>
        <v>45795079.243131354</v>
      </c>
      <c r="BJ37" s="154">
        <f t="shared" si="2"/>
        <v>47368721.757982969</v>
      </c>
      <c r="BK37" s="155">
        <f t="shared" si="44"/>
        <v>3.4362698806502001E-2</v>
      </c>
      <c r="BL37" s="156">
        <f t="shared" si="45"/>
        <v>577.23892037571852</v>
      </c>
      <c r="BM37" s="148">
        <f t="shared" si="5"/>
        <v>583.01130957947566</v>
      </c>
      <c r="BN37" s="148">
        <f t="shared" si="46"/>
        <v>583.01130957947566</v>
      </c>
      <c r="BO37" s="148">
        <f t="shared" si="6"/>
        <v>47075848.110632315</v>
      </c>
      <c r="BP37" s="144">
        <f t="shared" si="7"/>
        <v>47368721.757982969</v>
      </c>
      <c r="BQ37" s="148">
        <v>46504516.468886711</v>
      </c>
      <c r="BR37" s="157">
        <f t="shared" si="3"/>
        <v>1.8583255019422484E-2</v>
      </c>
      <c r="BT37" s="94"/>
      <c r="BU37" s="158"/>
      <c r="BX37" s="94"/>
    </row>
    <row r="38" spans="1:76" ht="15.4" x14ac:dyDescent="0.45">
      <c r="A38" s="139" t="s">
        <v>146</v>
      </c>
      <c r="B38" s="140" t="s">
        <v>131</v>
      </c>
      <c r="C38" s="102">
        <v>210</v>
      </c>
      <c r="D38" s="141" t="s">
        <v>141</v>
      </c>
      <c r="E38" s="348">
        <v>1.205632878027378</v>
      </c>
      <c r="F38" s="142">
        <v>570.5</v>
      </c>
      <c r="G38" s="143">
        <f t="shared" si="8"/>
        <v>4822.5315121095118</v>
      </c>
      <c r="H38" s="144">
        <f t="shared" si="9"/>
        <v>2751254.2276584767</v>
      </c>
      <c r="I38" s="144">
        <f>INDEX('Baselines+Historic Spend Factor'!$Q$9:$Q$159,MATCH(C38,'Baselines+Historic Spend Factor'!$C$9:$C$159,0))</f>
        <v>19286805.687912494</v>
      </c>
      <c r="J38" s="142">
        <v>59798.206000000006</v>
      </c>
      <c r="K38" s="145">
        <f t="shared" si="10"/>
        <v>72094.683200654021</v>
      </c>
      <c r="L38" s="144">
        <f t="shared" si="11"/>
        <v>8447586.8956587836</v>
      </c>
      <c r="M38" s="142">
        <v>9131.3333329999969</v>
      </c>
      <c r="N38" s="145">
        <f t="shared" si="12"/>
        <v>11009.035686492116</v>
      </c>
      <c r="O38" s="144">
        <f t="shared" si="13"/>
        <v>2700897.0738115348</v>
      </c>
      <c r="P38" s="142">
        <v>3057</v>
      </c>
      <c r="Q38" s="145">
        <f t="shared" si="14"/>
        <v>3685.6197081296946</v>
      </c>
      <c r="R38" s="147">
        <f t="shared" si="15"/>
        <v>125466.2406226708</v>
      </c>
      <c r="S38" s="142">
        <v>6964</v>
      </c>
      <c r="T38" s="145">
        <f t="shared" si="16"/>
        <v>8396.0273625826594</v>
      </c>
      <c r="U38" s="147">
        <f t="shared" si="17"/>
        <v>371210.93208043883</v>
      </c>
      <c r="V38" s="142">
        <v>11489</v>
      </c>
      <c r="W38" s="145">
        <f t="shared" si="18"/>
        <v>13851.516135656546</v>
      </c>
      <c r="X38" s="147">
        <f t="shared" si="19"/>
        <v>835279.67788497568</v>
      </c>
      <c r="Y38" s="142">
        <v>15263</v>
      </c>
      <c r="Z38" s="145">
        <f t="shared" si="20"/>
        <v>18401.574617331869</v>
      </c>
      <c r="AA38" s="147">
        <f t="shared" si="21"/>
        <v>1186916.7125804655</v>
      </c>
      <c r="AB38" s="142">
        <v>9278</v>
      </c>
      <c r="AC38" s="145">
        <f t="shared" si="22"/>
        <v>11185.861842338012</v>
      </c>
      <c r="AD38" s="147">
        <f t="shared" si="23"/>
        <v>790070.62103504199</v>
      </c>
      <c r="AE38" s="142">
        <v>577</v>
      </c>
      <c r="AF38" s="145">
        <f t="shared" si="24"/>
        <v>695.65017062179709</v>
      </c>
      <c r="AG38" s="147">
        <f t="shared" si="25"/>
        <v>66487.412505727916</v>
      </c>
      <c r="AH38" s="144">
        <f t="shared" si="26"/>
        <v>3375431.5967093208</v>
      </c>
      <c r="AI38" s="142">
        <v>436</v>
      </c>
      <c r="AJ38" s="145">
        <f t="shared" si="27"/>
        <v>525.65593481993676</v>
      </c>
      <c r="AK38" s="147">
        <f t="shared" si="28"/>
        <v>1622383.0210730536</v>
      </c>
      <c r="AL38" s="142">
        <v>2020</v>
      </c>
      <c r="AM38" s="145">
        <f t="shared" si="29"/>
        <v>2435.3784136153035</v>
      </c>
      <c r="AN38" s="147">
        <f t="shared" si="30"/>
        <v>1241346.0789721159</v>
      </c>
      <c r="AO38" s="142">
        <v>530</v>
      </c>
      <c r="AP38" s="145">
        <f t="shared" si="31"/>
        <v>638.98542535451031</v>
      </c>
      <c r="AQ38" s="147">
        <f t="shared" si="32"/>
        <v>1125482.9154868345</v>
      </c>
      <c r="AR38" s="142">
        <v>524</v>
      </c>
      <c r="AS38" s="145">
        <f t="shared" si="33"/>
        <v>631.75162808634605</v>
      </c>
      <c r="AT38" s="147">
        <f t="shared" si="34"/>
        <v>913929.33956578688</v>
      </c>
      <c r="AU38" s="144">
        <f t="shared" si="35"/>
        <v>38713862.60918992</v>
      </c>
      <c r="AV38" s="148">
        <f>INDEX('Baselines+Historic Spend Factor'!P$9:P$159,MATCH('2019-20 StepbyStep Allocations'!C38,'Baselines+Historic Spend Factor'!C$9:C$159,0))</f>
        <v>38573611.375824988</v>
      </c>
      <c r="AW38" s="149">
        <v>58724.230999999992</v>
      </c>
      <c r="AX38" s="150">
        <f t="shared" si="36"/>
        <v>656.86022139353338</v>
      </c>
      <c r="AY38" s="148">
        <f t="shared" si="37"/>
        <v>663.42882360746876</v>
      </c>
      <c r="AZ38" s="148">
        <f t="shared" si="38"/>
        <v>647.40842909551361</v>
      </c>
      <c r="BA38" s="148">
        <f t="shared" si="39"/>
        <v>663.42882360746876</v>
      </c>
      <c r="BB38" s="151">
        <f t="shared" si="40"/>
        <v>957990.85122716334</v>
      </c>
      <c r="BC38" s="148">
        <f t="shared" si="41"/>
        <v>0</v>
      </c>
      <c r="BD38" s="144">
        <f t="shared" si="42"/>
        <v>957990.85122716334</v>
      </c>
      <c r="BE38" s="144">
        <f t="shared" si="4"/>
        <v>39671853.460417084</v>
      </c>
      <c r="BF38" s="144">
        <f>INDEX('Hospital Education Funding'!$G$9:$G$159,MATCH(C38,'Hospital Education Funding'!$C$9:$C$158,0))</f>
        <v>2578491.4700000007</v>
      </c>
      <c r="BG38" s="152">
        <f>INDEX('Import|Export Adjustments Data'!$Q$9:$Q$159,MATCH('2019-20 StepbyStep Allocations'!$C38,'Import|Export Adjustments Data'!$C$9:$C$159,0))</f>
        <v>-247</v>
      </c>
      <c r="BH38" s="144">
        <f t="shared" si="43"/>
        <v>-1482000</v>
      </c>
      <c r="BI38" s="153">
        <f>INDEX('Baselines+Historic Spend Factor'!$F$9:$F$159,MATCH('2019-20 StepbyStep Allocations'!C38,'Baselines+Historic Spend Factor'!C$9:C$159,0))-INDEX('Baselines+Historic Spend Factor'!$G$9:$G$159,MATCH('2019-20 StepbyStep Allocations'!C38,'Baselines+Historic Spend Factor'!C$9:C$159,0))</f>
        <v>42291275.126608066</v>
      </c>
      <c r="BJ38" s="154">
        <f t="shared" si="2"/>
        <v>43519599.158075556</v>
      </c>
      <c r="BK38" s="155">
        <f t="shared" si="44"/>
        <v>2.9044383925295181E-2</v>
      </c>
      <c r="BL38" s="156">
        <f t="shared" si="45"/>
        <v>656.86022139353338</v>
      </c>
      <c r="BM38" s="148">
        <f t="shared" si="5"/>
        <v>663.42882360746876</v>
      </c>
      <c r="BN38" s="148">
        <f t="shared" si="46"/>
        <v>663.42882360746876</v>
      </c>
      <c r="BO38" s="148">
        <f t="shared" si="6"/>
        <v>39671853.460417084</v>
      </c>
      <c r="BP38" s="144">
        <f t="shared" si="7"/>
        <v>43519599.158075564</v>
      </c>
      <c r="BQ38" s="148">
        <v>43033654.679310799</v>
      </c>
      <c r="BR38" s="157">
        <f t="shared" si="3"/>
        <v>1.1292196360872753E-2</v>
      </c>
      <c r="BT38" s="94"/>
      <c r="BU38" s="158"/>
      <c r="BX38" s="94"/>
    </row>
    <row r="39" spans="1:76" ht="15.4" x14ac:dyDescent="0.45">
      <c r="A39" s="139" t="s">
        <v>110</v>
      </c>
      <c r="B39" s="140" t="s">
        <v>131</v>
      </c>
      <c r="C39" s="102">
        <v>211</v>
      </c>
      <c r="D39" s="141" t="s">
        <v>142</v>
      </c>
      <c r="E39" s="348">
        <v>1.205632878027378</v>
      </c>
      <c r="F39" s="142">
        <v>602.5</v>
      </c>
      <c r="G39" s="143">
        <f t="shared" si="8"/>
        <v>4822.5315121095118</v>
      </c>
      <c r="H39" s="144">
        <f t="shared" si="9"/>
        <v>2905575.2360459808</v>
      </c>
      <c r="I39" s="144">
        <f>INDEX('Baselines+Historic Spend Factor'!$Q$9:$Q$159,MATCH(C39,'Baselines+Historic Spend Factor'!$C$9:$C$159,0))</f>
        <v>21058113.082785994</v>
      </c>
      <c r="J39" s="142">
        <v>65781.431000000011</v>
      </c>
      <c r="K39" s="145">
        <f t="shared" si="10"/>
        <v>79308.255977289387</v>
      </c>
      <c r="L39" s="144">
        <f t="shared" si="11"/>
        <v>9292826.518796945</v>
      </c>
      <c r="M39" s="142">
        <v>14103.500000000011</v>
      </c>
      <c r="N39" s="145">
        <f t="shared" si="12"/>
        <v>17003.643295259139</v>
      </c>
      <c r="O39" s="144">
        <f t="shared" si="13"/>
        <v>4171581.5742744631</v>
      </c>
      <c r="P39" s="142">
        <v>1236</v>
      </c>
      <c r="Q39" s="145">
        <f t="shared" si="14"/>
        <v>1490.1622372418392</v>
      </c>
      <c r="R39" s="147">
        <f t="shared" si="15"/>
        <v>50728.254304750117</v>
      </c>
      <c r="S39" s="142">
        <v>1829</v>
      </c>
      <c r="T39" s="145">
        <f t="shared" si="16"/>
        <v>2205.1025339120743</v>
      </c>
      <c r="U39" s="147">
        <f t="shared" si="17"/>
        <v>97493.50872704231</v>
      </c>
      <c r="V39" s="142">
        <v>9325</v>
      </c>
      <c r="W39" s="145">
        <f t="shared" si="18"/>
        <v>11242.5265876053</v>
      </c>
      <c r="X39" s="147">
        <f t="shared" si="19"/>
        <v>677951.34444054298</v>
      </c>
      <c r="Y39" s="142">
        <v>13160</v>
      </c>
      <c r="Z39" s="145">
        <f t="shared" si="20"/>
        <v>15866.128674840294</v>
      </c>
      <c r="AA39" s="147">
        <f t="shared" si="21"/>
        <v>1023378.3618920873</v>
      </c>
      <c r="AB39" s="142">
        <v>25403</v>
      </c>
      <c r="AC39" s="145">
        <f t="shared" si="22"/>
        <v>30626.692000529481</v>
      </c>
      <c r="AD39" s="147">
        <f t="shared" si="23"/>
        <v>2163199.394929206</v>
      </c>
      <c r="AE39" s="142">
        <v>6805</v>
      </c>
      <c r="AF39" s="145">
        <f t="shared" si="24"/>
        <v>8204.3317349763074</v>
      </c>
      <c r="AG39" s="147">
        <f t="shared" si="25"/>
        <v>784136.6414237062</v>
      </c>
      <c r="AH39" s="144">
        <f t="shared" si="26"/>
        <v>4796887.5057173343</v>
      </c>
      <c r="AI39" s="142">
        <v>652</v>
      </c>
      <c r="AJ39" s="145">
        <f t="shared" si="27"/>
        <v>786.07263647385048</v>
      </c>
      <c r="AK39" s="147">
        <f t="shared" si="28"/>
        <v>2426132.4076597039</v>
      </c>
      <c r="AL39" s="142">
        <v>2220</v>
      </c>
      <c r="AM39" s="145">
        <f t="shared" si="29"/>
        <v>2676.504989220779</v>
      </c>
      <c r="AN39" s="147">
        <f t="shared" si="30"/>
        <v>1364251.6313455927</v>
      </c>
      <c r="AO39" s="142">
        <v>529</v>
      </c>
      <c r="AP39" s="145">
        <f t="shared" si="31"/>
        <v>637.77979247648295</v>
      </c>
      <c r="AQ39" s="147">
        <f t="shared" si="32"/>
        <v>1123359.3628161049</v>
      </c>
      <c r="AR39" s="142">
        <v>428</v>
      </c>
      <c r="AS39" s="145">
        <f t="shared" si="33"/>
        <v>516.01087179571778</v>
      </c>
      <c r="AT39" s="147">
        <f t="shared" si="34"/>
        <v>746491.90330945957</v>
      </c>
      <c r="AU39" s="144">
        <f t="shared" si="35"/>
        <v>44979643.986705594</v>
      </c>
      <c r="AV39" s="148">
        <f>INDEX('Baselines+Historic Spend Factor'!P$9:P$159,MATCH('2019-20 StepbyStep Allocations'!C39,'Baselines+Historic Spend Factor'!C$9:C$159,0))</f>
        <v>42116226.165571988</v>
      </c>
      <c r="AW39" s="149">
        <v>62497.68499999999</v>
      </c>
      <c r="AX39" s="150">
        <f t="shared" si="36"/>
        <v>673.88457933397046</v>
      </c>
      <c r="AY39" s="148">
        <f t="shared" si="37"/>
        <v>680.62342512731016</v>
      </c>
      <c r="AZ39" s="148">
        <f t="shared" si="38"/>
        <v>683.77417917079947</v>
      </c>
      <c r="BA39" s="148">
        <f t="shared" si="39"/>
        <v>683.77417917079947</v>
      </c>
      <c r="BB39" s="151">
        <f t="shared" si="40"/>
        <v>0</v>
      </c>
      <c r="BC39" s="148">
        <f t="shared" si="41"/>
        <v>0</v>
      </c>
      <c r="BD39" s="144">
        <f t="shared" si="42"/>
        <v>0</v>
      </c>
      <c r="BE39" s="144">
        <f t="shared" si="4"/>
        <v>44979643.986705594</v>
      </c>
      <c r="BF39" s="144">
        <f>INDEX('Hospital Education Funding'!$G$9:$G$159,MATCH(C39,'Hospital Education Funding'!$C$9:$C$158,0))</f>
        <v>464600</v>
      </c>
      <c r="BG39" s="152">
        <f>INDEX('Import|Export Adjustments Data'!$Q$9:$Q$159,MATCH('2019-20 StepbyStep Allocations'!$C39,'Import|Export Adjustments Data'!$C$9:$C$159,0))</f>
        <v>204</v>
      </c>
      <c r="BH39" s="144">
        <f t="shared" si="43"/>
        <v>1224000</v>
      </c>
      <c r="BI39" s="153">
        <f>INDEX('Baselines+Historic Spend Factor'!$F$9:$F$159,MATCH('2019-20 StepbyStep Allocations'!C39,'Baselines+Historic Spend Factor'!C$9:C$159,0))-INDEX('Baselines+Historic Spend Factor'!$G$9:$G$159,MATCH('2019-20 StepbyStep Allocations'!C39,'Baselines+Historic Spend Factor'!C$9:C$159,0))</f>
        <v>45847457.993038468</v>
      </c>
      <c r="BJ39" s="154">
        <f t="shared" si="2"/>
        <v>49573819.222751573</v>
      </c>
      <c r="BK39" s="155">
        <f t="shared" si="44"/>
        <v>8.1277379223051449E-2</v>
      </c>
      <c r="BL39" s="156">
        <f t="shared" si="45"/>
        <v>673.88457933397046</v>
      </c>
      <c r="BM39" s="148">
        <f t="shared" si="5"/>
        <v>683.77417917079947</v>
      </c>
      <c r="BN39" s="148">
        <f t="shared" si="46"/>
        <v>683.77417917079947</v>
      </c>
      <c r="BO39" s="148">
        <f t="shared" si="6"/>
        <v>44979643.986705594</v>
      </c>
      <c r="BP39" s="144">
        <f t="shared" si="7"/>
        <v>49573819.222751573</v>
      </c>
      <c r="BQ39" s="148">
        <v>49057577.624289185</v>
      </c>
      <c r="BR39" s="157">
        <f t="shared" si="3"/>
        <v>1.0523177528577898E-2</v>
      </c>
      <c r="BT39" s="94"/>
      <c r="BU39" s="158"/>
      <c r="BX39" s="94"/>
    </row>
    <row r="40" spans="1:76" ht="15.4" x14ac:dyDescent="0.45">
      <c r="A40" s="139" t="s">
        <v>111</v>
      </c>
      <c r="B40" s="140" t="s">
        <v>131</v>
      </c>
      <c r="C40" s="102">
        <v>212</v>
      </c>
      <c r="D40" s="141" t="s">
        <v>143</v>
      </c>
      <c r="E40" s="348">
        <v>1.205632878027378</v>
      </c>
      <c r="F40" s="142">
        <v>889</v>
      </c>
      <c r="G40" s="143">
        <f t="shared" si="8"/>
        <v>4822.5315121095118</v>
      </c>
      <c r="H40" s="144">
        <f t="shared" si="9"/>
        <v>4287230.5142653557</v>
      </c>
      <c r="I40" s="144">
        <f>INDEX('Baselines+Historic Spend Factor'!$Q$9:$Q$159,MATCH(C40,'Baselines+Historic Spend Factor'!$C$9:$C$159,0))</f>
        <v>17844426.015926622</v>
      </c>
      <c r="J40" s="142">
        <v>57318.448999999979</v>
      </c>
      <c r="K40" s="145">
        <f t="shared" si="10"/>
        <v>69105.006631935452</v>
      </c>
      <c r="L40" s="144">
        <f t="shared" si="11"/>
        <v>8097276.006104365</v>
      </c>
      <c r="M40" s="142">
        <v>4866.0000000000009</v>
      </c>
      <c r="N40" s="145">
        <f t="shared" si="12"/>
        <v>5866.6095844812226</v>
      </c>
      <c r="O40" s="144">
        <f t="shared" si="13"/>
        <v>1439282.1597773265</v>
      </c>
      <c r="P40" s="142">
        <v>7563</v>
      </c>
      <c r="Q40" s="145">
        <f t="shared" si="14"/>
        <v>9118.2014565210593</v>
      </c>
      <c r="R40" s="147">
        <f t="shared" si="15"/>
        <v>310402.74053950253</v>
      </c>
      <c r="S40" s="142">
        <v>6576</v>
      </c>
      <c r="T40" s="145">
        <f t="shared" si="16"/>
        <v>7928.2418059080373</v>
      </c>
      <c r="U40" s="147">
        <f t="shared" si="17"/>
        <v>350528.87555441784</v>
      </c>
      <c r="V40" s="142">
        <v>3351</v>
      </c>
      <c r="W40" s="145">
        <f t="shared" si="18"/>
        <v>4040.0757742697433</v>
      </c>
      <c r="X40" s="147">
        <f t="shared" si="19"/>
        <v>243626.26865632809</v>
      </c>
      <c r="Y40" s="142">
        <v>2731</v>
      </c>
      <c r="Z40" s="145">
        <f t="shared" si="20"/>
        <v>3292.583389892769</v>
      </c>
      <c r="AA40" s="147">
        <f t="shared" si="21"/>
        <v>212374.33938657222</v>
      </c>
      <c r="AB40" s="142">
        <v>7886</v>
      </c>
      <c r="AC40" s="145">
        <f t="shared" si="22"/>
        <v>9507.6208761239031</v>
      </c>
      <c r="AD40" s="147">
        <f t="shared" si="23"/>
        <v>671534.48129794595</v>
      </c>
      <c r="AE40" s="142">
        <v>590</v>
      </c>
      <c r="AF40" s="145">
        <f t="shared" si="24"/>
        <v>711.32339803615298</v>
      </c>
      <c r="AG40" s="147">
        <f t="shared" si="25"/>
        <v>67985.395803084</v>
      </c>
      <c r="AH40" s="144">
        <f t="shared" si="26"/>
        <v>1856452.1012378505</v>
      </c>
      <c r="AI40" s="142">
        <v>351</v>
      </c>
      <c r="AJ40" s="145">
        <f t="shared" si="27"/>
        <v>423.17714018760967</v>
      </c>
      <c r="AK40" s="147">
        <f t="shared" si="28"/>
        <v>1306092.7532033068</v>
      </c>
      <c r="AL40" s="142">
        <v>1730</v>
      </c>
      <c r="AM40" s="145">
        <f t="shared" si="29"/>
        <v>2085.7448789873638</v>
      </c>
      <c r="AN40" s="147">
        <f t="shared" si="30"/>
        <v>1063133.0280305746</v>
      </c>
      <c r="AO40" s="142">
        <v>346</v>
      </c>
      <c r="AP40" s="145">
        <f t="shared" si="31"/>
        <v>417.14897579747276</v>
      </c>
      <c r="AQ40" s="147">
        <f t="shared" si="32"/>
        <v>734749.22407253727</v>
      </c>
      <c r="AR40" s="142">
        <v>395</v>
      </c>
      <c r="AS40" s="145">
        <f t="shared" si="33"/>
        <v>476.22498682081431</v>
      </c>
      <c r="AT40" s="147">
        <f t="shared" si="34"/>
        <v>688935.28459634702</v>
      </c>
      <c r="AU40" s="144">
        <f t="shared" si="35"/>
        <v>33030346.572948933</v>
      </c>
      <c r="AV40" s="148">
        <f>INDEX('Baselines+Historic Spend Factor'!P$9:P$159,MATCH('2019-20 StepbyStep Allocations'!C40,'Baselines+Historic Spend Factor'!C$9:C$159,0))</f>
        <v>35688852.031853244</v>
      </c>
      <c r="AW40" s="149">
        <v>55918.735000000008</v>
      </c>
      <c r="AX40" s="150">
        <f t="shared" si="36"/>
        <v>638.22709923343655</v>
      </c>
      <c r="AY40" s="148">
        <f t="shared" si="37"/>
        <v>644.60937022577093</v>
      </c>
      <c r="AZ40" s="148">
        <f t="shared" si="38"/>
        <v>576.26029924412194</v>
      </c>
      <c r="BA40" s="148">
        <f t="shared" si="39"/>
        <v>644.60937022577093</v>
      </c>
      <c r="BB40" s="151">
        <f t="shared" si="40"/>
        <v>3917662.7392590265</v>
      </c>
      <c r="BC40" s="148">
        <f t="shared" si="41"/>
        <v>0</v>
      </c>
      <c r="BD40" s="144">
        <f t="shared" si="42"/>
        <v>3917662.7392590265</v>
      </c>
      <c r="BE40" s="144">
        <f t="shared" si="4"/>
        <v>36948009.312207952</v>
      </c>
      <c r="BF40" s="144">
        <f>INDEX('Hospital Education Funding'!$G$9:$G$159,MATCH(C40,'Hospital Education Funding'!$C$9:$C$158,0))</f>
        <v>834236.77</v>
      </c>
      <c r="BG40" s="152">
        <f>INDEX('Import|Export Adjustments Data'!$Q$9:$Q$159,MATCH('2019-20 StepbyStep Allocations'!$C40,'Import|Export Adjustments Data'!$C$9:$C$159,0))</f>
        <v>176.66666699999996</v>
      </c>
      <c r="BH40" s="144">
        <f t="shared" si="43"/>
        <v>1060000.0019999999</v>
      </c>
      <c r="BI40" s="153">
        <f>INDEX('Baselines+Historic Spend Factor'!$F$9:$F$159,MATCH('2019-20 StepbyStep Allocations'!C40,'Baselines+Historic Spend Factor'!C$9:C$159,0))-INDEX('Baselines+Historic Spend Factor'!$G$9:$G$159,MATCH('2019-20 StepbyStep Allocations'!C40,'Baselines+Historic Spend Factor'!C$9:C$159,0))</f>
        <v>42310301.825533837</v>
      </c>
      <c r="BJ40" s="154">
        <f t="shared" si="2"/>
        <v>43129476.59847331</v>
      </c>
      <c r="BK40" s="155">
        <f t="shared" si="44"/>
        <v>1.9361118630572216E-2</v>
      </c>
      <c r="BL40" s="156">
        <f t="shared" si="45"/>
        <v>638.22709923343655</v>
      </c>
      <c r="BM40" s="148">
        <f t="shared" si="5"/>
        <v>644.60937022577093</v>
      </c>
      <c r="BN40" s="148">
        <f t="shared" si="46"/>
        <v>644.60937022577093</v>
      </c>
      <c r="BO40" s="148">
        <f t="shared" si="6"/>
        <v>36948009.312207952</v>
      </c>
      <c r="BP40" s="144">
        <f t="shared" si="7"/>
        <v>43129476.59847331</v>
      </c>
      <c r="BQ40" s="148">
        <v>42563210.768355846</v>
      </c>
      <c r="BR40" s="157">
        <f t="shared" ref="BR40:BR71" si="47">BP40/BQ40-1</f>
        <v>1.3304114513336129E-2</v>
      </c>
      <c r="BT40" s="94"/>
      <c r="BU40" s="158"/>
      <c r="BX40" s="94"/>
    </row>
    <row r="41" spans="1:76" ht="15.4" x14ac:dyDescent="0.45">
      <c r="A41" s="139" t="s">
        <v>227</v>
      </c>
      <c r="B41" s="140" t="s">
        <v>131</v>
      </c>
      <c r="C41" s="102">
        <v>213</v>
      </c>
      <c r="D41" s="141" t="s">
        <v>144</v>
      </c>
      <c r="E41" s="348">
        <v>1.205632878027378</v>
      </c>
      <c r="F41" s="142">
        <v>222</v>
      </c>
      <c r="G41" s="143">
        <f t="shared" si="8"/>
        <v>4822.5315121095118</v>
      </c>
      <c r="H41" s="144">
        <f t="shared" si="9"/>
        <v>1070601.9956883115</v>
      </c>
      <c r="I41" s="144">
        <f>INDEX('Baselines+Historic Spend Factor'!$Q$9:$Q$159,MATCH(C41,'Baselines+Historic Spend Factor'!$C$9:$C$159,0))</f>
        <v>11439465.205362108</v>
      </c>
      <c r="J41" s="142">
        <v>43745.874999999993</v>
      </c>
      <c r="K41" s="145">
        <f t="shared" si="10"/>
        <v>52741.465178075916</v>
      </c>
      <c r="L41" s="144">
        <f t="shared" si="11"/>
        <v>6179902.4604371432</v>
      </c>
      <c r="M41" s="142">
        <v>4045.4999999999995</v>
      </c>
      <c r="N41" s="145">
        <f t="shared" si="12"/>
        <v>4877.3878080597569</v>
      </c>
      <c r="O41" s="144">
        <f t="shared" si="13"/>
        <v>1196591.8572501382</v>
      </c>
      <c r="P41" s="142">
        <v>2392</v>
      </c>
      <c r="Q41" s="145">
        <f t="shared" si="14"/>
        <v>2883.8738442414879</v>
      </c>
      <c r="R41" s="147">
        <f t="shared" si="15"/>
        <v>98173.126453852965</v>
      </c>
      <c r="S41" s="142">
        <v>2961</v>
      </c>
      <c r="T41" s="145">
        <f t="shared" si="16"/>
        <v>3569.8789518390663</v>
      </c>
      <c r="U41" s="147">
        <f t="shared" si="17"/>
        <v>157833.94168440255</v>
      </c>
      <c r="V41" s="142">
        <v>4016</v>
      </c>
      <c r="W41" s="145">
        <f t="shared" si="18"/>
        <v>4841.8216381579496</v>
      </c>
      <c r="X41" s="147">
        <f t="shared" si="19"/>
        <v>291973.46909096197</v>
      </c>
      <c r="Y41" s="142">
        <v>3492</v>
      </c>
      <c r="Z41" s="145">
        <f t="shared" si="20"/>
        <v>4210.070010071604</v>
      </c>
      <c r="AA41" s="147">
        <f t="shared" si="21"/>
        <v>271552.98174218606</v>
      </c>
      <c r="AB41" s="142">
        <v>9103</v>
      </c>
      <c r="AC41" s="145">
        <f t="shared" si="22"/>
        <v>10974.876088683222</v>
      </c>
      <c r="AD41" s="147">
        <f t="shared" si="23"/>
        <v>775168.44829510548</v>
      </c>
      <c r="AE41" s="142">
        <v>3914</v>
      </c>
      <c r="AF41" s="145">
        <f t="shared" si="24"/>
        <v>4718.8470845991569</v>
      </c>
      <c r="AG41" s="147">
        <f t="shared" si="25"/>
        <v>451008.20198859449</v>
      </c>
      <c r="AH41" s="144">
        <f t="shared" si="26"/>
        <v>2045710.1692551032</v>
      </c>
      <c r="AI41" s="142">
        <v>315</v>
      </c>
      <c r="AJ41" s="145">
        <f t="shared" si="27"/>
        <v>379.77435657862407</v>
      </c>
      <c r="AK41" s="147">
        <f t="shared" si="28"/>
        <v>1172134.5221055318</v>
      </c>
      <c r="AL41" s="142">
        <v>870</v>
      </c>
      <c r="AM41" s="145">
        <f t="shared" si="29"/>
        <v>1048.9006038838188</v>
      </c>
      <c r="AN41" s="147">
        <f t="shared" si="30"/>
        <v>534639.15282462421</v>
      </c>
      <c r="AO41" s="142">
        <v>200</v>
      </c>
      <c r="AP41" s="145">
        <f t="shared" si="31"/>
        <v>241.12657560547558</v>
      </c>
      <c r="AQ41" s="147">
        <f t="shared" si="32"/>
        <v>424710.53414597531</v>
      </c>
      <c r="AR41" s="142">
        <v>209</v>
      </c>
      <c r="AS41" s="145">
        <f t="shared" si="33"/>
        <v>251.97727150772198</v>
      </c>
      <c r="AT41" s="147">
        <f t="shared" si="34"/>
        <v>364525.25184971269</v>
      </c>
      <c r="AU41" s="144">
        <f t="shared" si="35"/>
        <v>23357679.153230339</v>
      </c>
      <c r="AV41" s="148">
        <f>INDEX('Baselines+Historic Spend Factor'!P$9:P$159,MATCH('2019-20 StepbyStep Allocations'!C41,'Baselines+Historic Spend Factor'!C$9:C$159,0))</f>
        <v>22878930.410724215</v>
      </c>
      <c r="AW41" s="149">
        <v>42198.520000000004</v>
      </c>
      <c r="AX41" s="150">
        <f t="shared" si="36"/>
        <v>542.17376369418196</v>
      </c>
      <c r="AY41" s="148">
        <f t="shared" si="37"/>
        <v>547.59550133112373</v>
      </c>
      <c r="AZ41" s="148">
        <f t="shared" si="38"/>
        <v>533.94015214532442</v>
      </c>
      <c r="BA41" s="148">
        <f t="shared" si="39"/>
        <v>547.59550133112373</v>
      </c>
      <c r="BB41" s="151">
        <f t="shared" si="40"/>
        <v>597365.19856332825</v>
      </c>
      <c r="BC41" s="148">
        <f t="shared" si="41"/>
        <v>0</v>
      </c>
      <c r="BD41" s="144">
        <f t="shared" si="42"/>
        <v>597365.19856332825</v>
      </c>
      <c r="BE41" s="144">
        <f t="shared" si="4"/>
        <v>23955044.351793669</v>
      </c>
      <c r="BF41" s="144">
        <f>INDEX('Hospital Education Funding'!$G$9:$G$159,MATCH(C41,'Hospital Education Funding'!$C$9:$C$158,0))</f>
        <v>451470</v>
      </c>
      <c r="BG41" s="152">
        <f>INDEX('Import|Export Adjustments Data'!$Q$9:$Q$159,MATCH('2019-20 StepbyStep Allocations'!$C41,'Import|Export Adjustments Data'!$C$9:$C$159,0))</f>
        <v>20</v>
      </c>
      <c r="BH41" s="144">
        <f t="shared" si="43"/>
        <v>120000</v>
      </c>
      <c r="BI41" s="153">
        <f>INDEX('Baselines+Historic Spend Factor'!$F$9:$F$159,MATCH('2019-20 StepbyStep Allocations'!C41,'Baselines+Historic Spend Factor'!C$9:C$159,0))-INDEX('Baselines+Historic Spend Factor'!$G$9:$G$159,MATCH('2019-20 StepbyStep Allocations'!C41,'Baselines+Historic Spend Factor'!C$9:C$159,0))</f>
        <v>24337709.874900419</v>
      </c>
      <c r="BJ41" s="154">
        <f t="shared" si="2"/>
        <v>25597116.347481981</v>
      </c>
      <c r="BK41" s="155">
        <f t="shared" si="44"/>
        <v>5.17471232525617E-2</v>
      </c>
      <c r="BL41" s="156">
        <f t="shared" si="45"/>
        <v>542.17376369418196</v>
      </c>
      <c r="BM41" s="148">
        <f t="shared" si="5"/>
        <v>547.59550133112373</v>
      </c>
      <c r="BN41" s="148">
        <f t="shared" si="46"/>
        <v>547.59550133112373</v>
      </c>
      <c r="BO41" s="148">
        <f t="shared" si="6"/>
        <v>23955044.351793669</v>
      </c>
      <c r="BP41" s="144">
        <f t="shared" si="7"/>
        <v>25597116.347481981</v>
      </c>
      <c r="BQ41" s="148">
        <v>25150525.308857691</v>
      </c>
      <c r="BR41" s="157">
        <f t="shared" si="47"/>
        <v>1.7756728065914551E-2</v>
      </c>
      <c r="BT41" s="94"/>
      <c r="BU41" s="158"/>
      <c r="BX41" s="94"/>
    </row>
    <row r="42" spans="1:76" ht="15.4" x14ac:dyDescent="0.45">
      <c r="A42" s="139" t="s">
        <v>257</v>
      </c>
      <c r="B42" s="140" t="s">
        <v>145</v>
      </c>
      <c r="C42" s="102">
        <v>841</v>
      </c>
      <c r="D42" s="141" t="s">
        <v>146</v>
      </c>
      <c r="E42" s="348">
        <v>1</v>
      </c>
      <c r="F42" s="142">
        <v>285</v>
      </c>
      <c r="G42" s="143">
        <f t="shared" si="8"/>
        <v>4000</v>
      </c>
      <c r="H42" s="144">
        <f t="shared" si="9"/>
        <v>1140000</v>
      </c>
      <c r="I42" s="144">
        <f>INDEX('Baselines+Historic Spend Factor'!$Q$9:$Q$159,MATCH(C42,'Baselines+Historic Spend Factor'!$C$9:$C$159,0))</f>
        <v>5290397.3443746297</v>
      </c>
      <c r="J42" s="142">
        <v>21256.175000000003</v>
      </c>
      <c r="K42" s="145">
        <f t="shared" si="10"/>
        <v>21256.175000000003</v>
      </c>
      <c r="L42" s="144">
        <f t="shared" si="11"/>
        <v>2490660.5787013285</v>
      </c>
      <c r="M42" s="142">
        <v>2617</v>
      </c>
      <c r="N42" s="145">
        <f t="shared" si="12"/>
        <v>2617</v>
      </c>
      <c r="O42" s="144">
        <f t="shared" si="13"/>
        <v>642040.57861647196</v>
      </c>
      <c r="P42" s="142">
        <v>3217</v>
      </c>
      <c r="Q42" s="145">
        <f t="shared" si="14"/>
        <v>3217</v>
      </c>
      <c r="R42" s="147">
        <f t="shared" si="15"/>
        <v>109513.44089918477</v>
      </c>
      <c r="S42" s="142">
        <v>2021</v>
      </c>
      <c r="T42" s="145">
        <f t="shared" si="16"/>
        <v>2021</v>
      </c>
      <c r="U42" s="147">
        <f t="shared" si="17"/>
        <v>89353.840969831756</v>
      </c>
      <c r="V42" s="142">
        <v>1420</v>
      </c>
      <c r="W42" s="145">
        <f t="shared" si="18"/>
        <v>1420</v>
      </c>
      <c r="X42" s="147">
        <f t="shared" si="19"/>
        <v>85629.409154960042</v>
      </c>
      <c r="Y42" s="142">
        <v>1899</v>
      </c>
      <c r="Z42" s="145">
        <f t="shared" si="20"/>
        <v>1899</v>
      </c>
      <c r="AA42" s="147">
        <f t="shared" si="21"/>
        <v>122487.06342050612</v>
      </c>
      <c r="AB42" s="142">
        <v>1621</v>
      </c>
      <c r="AC42" s="145">
        <f t="shared" si="22"/>
        <v>1621</v>
      </c>
      <c r="AD42" s="147">
        <f t="shared" si="23"/>
        <v>114493.14275010899</v>
      </c>
      <c r="AE42" s="142">
        <v>782</v>
      </c>
      <c r="AF42" s="145">
        <f t="shared" si="24"/>
        <v>782</v>
      </c>
      <c r="AG42" s="147">
        <f t="shared" si="25"/>
        <v>74740.3778151968</v>
      </c>
      <c r="AH42" s="144">
        <f t="shared" si="26"/>
        <v>596217.27500978846</v>
      </c>
      <c r="AI42" s="142">
        <v>133</v>
      </c>
      <c r="AJ42" s="145">
        <f t="shared" si="27"/>
        <v>133</v>
      </c>
      <c r="AK42" s="147">
        <f t="shared" si="28"/>
        <v>410490.83156766876</v>
      </c>
      <c r="AL42" s="142">
        <v>850</v>
      </c>
      <c r="AM42" s="145">
        <f t="shared" si="29"/>
        <v>850</v>
      </c>
      <c r="AN42" s="147">
        <f t="shared" si="30"/>
        <v>433256.76257429901</v>
      </c>
      <c r="AO42" s="142">
        <v>235</v>
      </c>
      <c r="AP42" s="145">
        <f t="shared" si="31"/>
        <v>235</v>
      </c>
      <c r="AQ42" s="147">
        <f t="shared" si="32"/>
        <v>413919.43328389293</v>
      </c>
      <c r="AR42" s="142">
        <v>343</v>
      </c>
      <c r="AS42" s="145">
        <f t="shared" si="33"/>
        <v>343</v>
      </c>
      <c r="AT42" s="147">
        <f t="shared" si="34"/>
        <v>496204.1244288169</v>
      </c>
      <c r="AU42" s="144">
        <f t="shared" si="35"/>
        <v>10773186.928556895</v>
      </c>
      <c r="AV42" s="148">
        <f>INDEX('Baselines+Historic Spend Factor'!P$9:P$159,MATCH('2019-20 StepbyStep Allocations'!C42,'Baselines+Historic Spend Factor'!C$9:C$159,0))</f>
        <v>10580794.688749259</v>
      </c>
      <c r="AW42" s="149">
        <v>21338.197999999997</v>
      </c>
      <c r="AX42" s="150">
        <f t="shared" si="36"/>
        <v>495.86167907661468</v>
      </c>
      <c r="AY42" s="148">
        <f t="shared" si="37"/>
        <v>500.82029586738082</v>
      </c>
      <c r="AZ42" s="148">
        <f t="shared" si="38"/>
        <v>506.82622478206417</v>
      </c>
      <c r="BA42" s="148">
        <f t="shared" si="39"/>
        <v>506.82622478206417</v>
      </c>
      <c r="BB42" s="151">
        <f t="shared" si="40"/>
        <v>0</v>
      </c>
      <c r="BC42" s="148">
        <f t="shared" si="41"/>
        <v>0</v>
      </c>
      <c r="BD42" s="144">
        <f t="shared" si="42"/>
        <v>0</v>
      </c>
      <c r="BE42" s="144">
        <f t="shared" si="4"/>
        <v>10773186.928556895</v>
      </c>
      <c r="BF42" s="144">
        <f>INDEX('Hospital Education Funding'!$G$9:$G$159,MATCH(C42,'Hospital Education Funding'!$C$9:$C$158,0))</f>
        <v>101505</v>
      </c>
      <c r="BG42" s="152">
        <f>INDEX('Import|Export Adjustments Data'!$Q$9:$Q$159,MATCH('2019-20 StepbyStep Allocations'!$C42,'Import|Export Adjustments Data'!$C$9:$C$159,0))</f>
        <v>14</v>
      </c>
      <c r="BH42" s="144">
        <f t="shared" si="43"/>
        <v>84000</v>
      </c>
      <c r="BI42" s="153">
        <f>INDEX('Baselines+Historic Spend Factor'!$F$9:$F$159,MATCH('2019-20 StepbyStep Allocations'!C42,'Baselines+Historic Spend Factor'!C$9:C$159,0))-INDEX('Baselines+Historic Spend Factor'!$G$9:$G$159,MATCH('2019-20 StepbyStep Allocations'!C42,'Baselines+Historic Spend Factor'!C$9:C$159,0))</f>
        <v>11915294.688749259</v>
      </c>
      <c r="BJ42" s="154">
        <f t="shared" si="2"/>
        <v>12098691.928556895</v>
      </c>
      <c r="BK42" s="155">
        <f t="shared" si="44"/>
        <v>1.5391750233488155E-2</v>
      </c>
      <c r="BL42" s="156">
        <f t="shared" si="45"/>
        <v>495.86167907661468</v>
      </c>
      <c r="BM42" s="148">
        <f t="shared" si="5"/>
        <v>506.82622478206417</v>
      </c>
      <c r="BN42" s="148">
        <f t="shared" si="46"/>
        <v>506.82622478206417</v>
      </c>
      <c r="BO42" s="148">
        <f t="shared" si="6"/>
        <v>10773186.928556895</v>
      </c>
      <c r="BP42" s="144">
        <f t="shared" si="7"/>
        <v>12098691.928556895</v>
      </c>
      <c r="BQ42" s="148">
        <v>12019564.90953028</v>
      </c>
      <c r="BR42" s="157">
        <f t="shared" si="47"/>
        <v>6.5831849673589904E-3</v>
      </c>
      <c r="BT42" s="94"/>
      <c r="BU42" s="158"/>
      <c r="BX42" s="94"/>
    </row>
    <row r="43" spans="1:76" ht="15.4" x14ac:dyDescent="0.45">
      <c r="A43" s="139" t="s">
        <v>228</v>
      </c>
      <c r="B43" s="140" t="s">
        <v>145</v>
      </c>
      <c r="C43" s="102">
        <v>840</v>
      </c>
      <c r="D43" s="141" t="s">
        <v>147</v>
      </c>
      <c r="E43" s="348">
        <v>1</v>
      </c>
      <c r="F43" s="142">
        <v>1375</v>
      </c>
      <c r="G43" s="143">
        <f t="shared" si="8"/>
        <v>4000</v>
      </c>
      <c r="H43" s="144">
        <f t="shared" si="9"/>
        <v>5500000</v>
      </c>
      <c r="I43" s="144">
        <f>INDEX('Baselines+Historic Spend Factor'!$Q$9:$Q$159,MATCH(C43,'Baselines+Historic Spend Factor'!$C$9:$C$159,0))</f>
        <v>21460204.0571297</v>
      </c>
      <c r="J43" s="142">
        <v>96074.405000000013</v>
      </c>
      <c r="K43" s="145">
        <f t="shared" si="10"/>
        <v>96074.405000000013</v>
      </c>
      <c r="L43" s="144">
        <f t="shared" si="11"/>
        <v>11257375.005413054</v>
      </c>
      <c r="M43" s="142">
        <v>13054</v>
      </c>
      <c r="N43" s="145">
        <f t="shared" si="12"/>
        <v>13054</v>
      </c>
      <c r="O43" s="144">
        <f t="shared" si="13"/>
        <v>3202597.52130662</v>
      </c>
      <c r="P43" s="142">
        <v>12209</v>
      </c>
      <c r="Q43" s="145">
        <f t="shared" si="14"/>
        <v>12209</v>
      </c>
      <c r="R43" s="147">
        <f t="shared" si="15"/>
        <v>415620.01863169007</v>
      </c>
      <c r="S43" s="142">
        <v>13424</v>
      </c>
      <c r="T43" s="145">
        <f t="shared" si="16"/>
        <v>13424</v>
      </c>
      <c r="U43" s="147">
        <f t="shared" si="17"/>
        <v>593511.11389362765</v>
      </c>
      <c r="V43" s="142">
        <v>10561</v>
      </c>
      <c r="W43" s="145">
        <f t="shared" si="18"/>
        <v>10561</v>
      </c>
      <c r="X43" s="147">
        <f t="shared" si="19"/>
        <v>636853.65498981206</v>
      </c>
      <c r="Y43" s="142">
        <v>6983</v>
      </c>
      <c r="Z43" s="145">
        <f t="shared" si="20"/>
        <v>6983</v>
      </c>
      <c r="AA43" s="147">
        <f t="shared" si="21"/>
        <v>450409.24900757993</v>
      </c>
      <c r="AB43" s="142">
        <v>7076</v>
      </c>
      <c r="AC43" s="145">
        <f t="shared" si="22"/>
        <v>7076</v>
      </c>
      <c r="AD43" s="147">
        <f t="shared" si="23"/>
        <v>499786.2295495196</v>
      </c>
      <c r="AE43" s="142">
        <v>4766</v>
      </c>
      <c r="AF43" s="145">
        <f t="shared" si="24"/>
        <v>4766</v>
      </c>
      <c r="AG43" s="147">
        <f t="shared" si="25"/>
        <v>455514.88576371863</v>
      </c>
      <c r="AH43" s="144">
        <f t="shared" si="26"/>
        <v>3051695.1518359482</v>
      </c>
      <c r="AI43" s="142">
        <v>659</v>
      </c>
      <c r="AJ43" s="145">
        <f t="shared" si="27"/>
        <v>659</v>
      </c>
      <c r="AK43" s="147">
        <f t="shared" si="28"/>
        <v>2033935.7744593511</v>
      </c>
      <c r="AL43" s="142">
        <v>4240</v>
      </c>
      <c r="AM43" s="145">
        <f t="shared" si="29"/>
        <v>4240</v>
      </c>
      <c r="AN43" s="147">
        <f t="shared" si="30"/>
        <v>2161186.6744882679</v>
      </c>
      <c r="AO43" s="142">
        <v>1036</v>
      </c>
      <c r="AP43" s="145">
        <f t="shared" si="31"/>
        <v>1036</v>
      </c>
      <c r="AQ43" s="147">
        <f t="shared" si="32"/>
        <v>1824768.2250302683</v>
      </c>
      <c r="AR43" s="142">
        <v>1385</v>
      </c>
      <c r="AS43" s="145">
        <f t="shared" si="33"/>
        <v>1385</v>
      </c>
      <c r="AT43" s="147">
        <f t="shared" si="34"/>
        <v>2003623.0680288961</v>
      </c>
      <c r="AU43" s="144">
        <f t="shared" si="35"/>
        <v>46995385.477692105</v>
      </c>
      <c r="AV43" s="148">
        <f>INDEX('Baselines+Historic Spend Factor'!P$9:P$159,MATCH('2019-20 StepbyStep Allocations'!C43,'Baselines+Historic Spend Factor'!C$9:C$159,0))</f>
        <v>42920408.114259399</v>
      </c>
      <c r="AW43" s="149">
        <v>95608.426999999981</v>
      </c>
      <c r="AX43" s="150">
        <f t="shared" si="36"/>
        <v>448.91867234945101</v>
      </c>
      <c r="AY43" s="148">
        <f t="shared" si="37"/>
        <v>453.40785907294554</v>
      </c>
      <c r="AZ43" s="148">
        <f t="shared" si="38"/>
        <v>489.15614390421774</v>
      </c>
      <c r="BA43" s="148">
        <f t="shared" si="39"/>
        <v>489.15614390421774</v>
      </c>
      <c r="BB43" s="151">
        <f t="shared" si="40"/>
        <v>0</v>
      </c>
      <c r="BC43" s="148">
        <f t="shared" si="41"/>
        <v>0</v>
      </c>
      <c r="BD43" s="144">
        <f t="shared" si="42"/>
        <v>0</v>
      </c>
      <c r="BE43" s="144">
        <f t="shared" si="4"/>
        <v>46995385.477692105</v>
      </c>
      <c r="BF43" s="144">
        <f>INDEX('Hospital Education Funding'!$G$9:$G$159,MATCH(C43,'Hospital Education Funding'!$C$9:$C$158,0))</f>
        <v>975660</v>
      </c>
      <c r="BG43" s="152">
        <f>INDEX('Import|Export Adjustments Data'!$Q$9:$Q$159,MATCH('2019-20 StepbyStep Allocations'!$C43,'Import|Export Adjustments Data'!$C$9:$C$159,0))</f>
        <v>-122</v>
      </c>
      <c r="BH43" s="144">
        <f t="shared" si="43"/>
        <v>-732000</v>
      </c>
      <c r="BI43" s="153">
        <f>INDEX('Baselines+Historic Spend Factor'!$F$9:$F$159,MATCH('2019-20 StepbyStep Allocations'!C43,'Baselines+Historic Spend Factor'!C$9:C$159,0))-INDEX('Baselines+Historic Spend Factor'!$G$9:$G$159,MATCH('2019-20 StepbyStep Allocations'!C43,'Baselines+Historic Spend Factor'!C$9:C$159,0))</f>
        <v>48582408.114259399</v>
      </c>
      <c r="BJ43" s="154">
        <f t="shared" si="2"/>
        <v>52739045.477692105</v>
      </c>
      <c r="BK43" s="155">
        <f t="shared" si="44"/>
        <v>8.5558487624920687E-2</v>
      </c>
      <c r="BL43" s="156">
        <f t="shared" si="45"/>
        <v>448.91867234945101</v>
      </c>
      <c r="BM43" s="148">
        <f t="shared" si="5"/>
        <v>489.15614390421774</v>
      </c>
      <c r="BN43" s="148">
        <f t="shared" si="46"/>
        <v>476.25781949553254</v>
      </c>
      <c r="BO43" s="148">
        <f t="shared" si="6"/>
        <v>45756186.634630695</v>
      </c>
      <c r="BP43" s="144">
        <f t="shared" si="7"/>
        <v>51499846.634630695</v>
      </c>
      <c r="BQ43" s="148">
        <v>50073531.709008031</v>
      </c>
      <c r="BR43" s="157">
        <f t="shared" si="47"/>
        <v>2.8484408367905889E-2</v>
      </c>
      <c r="BT43" s="94"/>
      <c r="BU43" s="158"/>
      <c r="BX43" s="94"/>
    </row>
    <row r="44" spans="1:76" ht="15.4" x14ac:dyDescent="0.45">
      <c r="A44" s="139" t="s">
        <v>241</v>
      </c>
      <c r="B44" s="140" t="s">
        <v>145</v>
      </c>
      <c r="C44" s="102">
        <v>390</v>
      </c>
      <c r="D44" s="141" t="s">
        <v>148</v>
      </c>
      <c r="E44" s="348">
        <v>1</v>
      </c>
      <c r="F44" s="142">
        <v>630</v>
      </c>
      <c r="G44" s="143">
        <f t="shared" si="8"/>
        <v>4000</v>
      </c>
      <c r="H44" s="144">
        <f t="shared" si="9"/>
        <v>2520000</v>
      </c>
      <c r="I44" s="144">
        <f>INDEX('Baselines+Historic Spend Factor'!$Q$9:$Q$159,MATCH(C44,'Baselines+Historic Spend Factor'!$C$9:$C$159,0))</f>
        <v>9741376.9483356941</v>
      </c>
      <c r="J44" s="142">
        <v>38179.999999999993</v>
      </c>
      <c r="K44" s="145">
        <f t="shared" si="10"/>
        <v>38179.999999999993</v>
      </c>
      <c r="L44" s="144">
        <f t="shared" si="11"/>
        <v>4473684.5126094744</v>
      </c>
      <c r="M44" s="142">
        <v>4444.0000000000009</v>
      </c>
      <c r="N44" s="145">
        <f t="shared" si="12"/>
        <v>4444.0000000000009</v>
      </c>
      <c r="O44" s="144">
        <f t="shared" si="13"/>
        <v>1090266.8442382887</v>
      </c>
      <c r="P44" s="142">
        <v>4364</v>
      </c>
      <c r="Q44" s="145">
        <f t="shared" si="14"/>
        <v>4364</v>
      </c>
      <c r="R44" s="147">
        <f t="shared" si="15"/>
        <v>148559.7314529196</v>
      </c>
      <c r="S44" s="142">
        <v>4639</v>
      </c>
      <c r="T44" s="145">
        <f t="shared" si="16"/>
        <v>4639</v>
      </c>
      <c r="U44" s="147">
        <f t="shared" si="17"/>
        <v>205102.65623901511</v>
      </c>
      <c r="V44" s="142">
        <v>4968</v>
      </c>
      <c r="W44" s="145">
        <f t="shared" si="18"/>
        <v>4968</v>
      </c>
      <c r="X44" s="147">
        <f t="shared" si="19"/>
        <v>299582.32724073349</v>
      </c>
      <c r="Y44" s="142">
        <v>1529</v>
      </c>
      <c r="Z44" s="145">
        <f t="shared" si="20"/>
        <v>1529</v>
      </c>
      <c r="AA44" s="147">
        <f t="shared" si="21"/>
        <v>98621.758804609723</v>
      </c>
      <c r="AB44" s="142">
        <v>2535</v>
      </c>
      <c r="AC44" s="145">
        <f t="shared" si="22"/>
        <v>2535</v>
      </c>
      <c r="AD44" s="147">
        <f t="shared" si="23"/>
        <v>179050.04125325495</v>
      </c>
      <c r="AE44" s="142">
        <v>1575</v>
      </c>
      <c r="AF44" s="145">
        <f t="shared" si="24"/>
        <v>1575</v>
      </c>
      <c r="AG44" s="147">
        <f t="shared" si="25"/>
        <v>150532.09086820326</v>
      </c>
      <c r="AH44" s="144">
        <f t="shared" si="26"/>
        <v>1081448.605858736</v>
      </c>
      <c r="AI44" s="142">
        <v>250</v>
      </c>
      <c r="AJ44" s="145">
        <f t="shared" si="27"/>
        <v>250</v>
      </c>
      <c r="AK44" s="147">
        <f t="shared" si="28"/>
        <v>771599.30745802389</v>
      </c>
      <c r="AL44" s="142">
        <v>1480</v>
      </c>
      <c r="AM44" s="145">
        <f t="shared" si="29"/>
        <v>1480</v>
      </c>
      <c r="AN44" s="147">
        <f t="shared" si="30"/>
        <v>754376.480717603</v>
      </c>
      <c r="AO44" s="142">
        <v>341</v>
      </c>
      <c r="AP44" s="145">
        <f t="shared" si="31"/>
        <v>341</v>
      </c>
      <c r="AQ44" s="147">
        <f t="shared" si="32"/>
        <v>600623.51808428706</v>
      </c>
      <c r="AR44" s="142">
        <v>596</v>
      </c>
      <c r="AS44" s="145">
        <f t="shared" si="33"/>
        <v>596</v>
      </c>
      <c r="AT44" s="147">
        <f t="shared" si="34"/>
        <v>862208.91591712786</v>
      </c>
      <c r="AU44" s="144">
        <f t="shared" si="35"/>
        <v>19375585.133219235</v>
      </c>
      <c r="AV44" s="148">
        <f>INDEX('Baselines+Historic Spend Factor'!P$9:P$159,MATCH('2019-20 StepbyStep Allocations'!C44,'Baselines+Historic Spend Factor'!C$9:C$159,0))</f>
        <v>19482753.896671388</v>
      </c>
      <c r="AW44" s="149">
        <v>38007.919999999998</v>
      </c>
      <c r="AX44" s="150">
        <f t="shared" si="36"/>
        <v>512.59721386151591</v>
      </c>
      <c r="AY44" s="148">
        <f t="shared" si="37"/>
        <v>517.72318600013102</v>
      </c>
      <c r="AZ44" s="148">
        <f t="shared" si="38"/>
        <v>507.47996682082868</v>
      </c>
      <c r="BA44" s="148">
        <f t="shared" si="39"/>
        <v>517.72318600013102</v>
      </c>
      <c r="BB44" s="151">
        <f t="shared" si="40"/>
        <v>391086.10826576338</v>
      </c>
      <c r="BC44" s="148">
        <f t="shared" si="41"/>
        <v>0</v>
      </c>
      <c r="BD44" s="144">
        <f t="shared" si="42"/>
        <v>391086.10826576338</v>
      </c>
      <c r="BE44" s="144">
        <f t="shared" si="4"/>
        <v>19766671.241485</v>
      </c>
      <c r="BF44" s="144">
        <f>INDEX('Hospital Education Funding'!$G$9:$G$159,MATCH(C44,'Hospital Education Funding'!$C$9:$C$158,0))</f>
        <v>0</v>
      </c>
      <c r="BG44" s="152">
        <f>INDEX('Import|Export Adjustments Data'!$Q$9:$Q$159,MATCH('2019-20 StepbyStep Allocations'!$C44,'Import|Export Adjustments Data'!$C$9:$C$159,0))</f>
        <v>8</v>
      </c>
      <c r="BH44" s="144">
        <f t="shared" si="43"/>
        <v>48000</v>
      </c>
      <c r="BI44" s="153">
        <f>INDEX('Baselines+Historic Spend Factor'!$F$9:$F$159,MATCH('2019-20 StepbyStep Allocations'!C44,'Baselines+Historic Spend Factor'!C$9:C$159,0))-INDEX('Baselines+Historic Spend Factor'!$G$9:$G$159,MATCH('2019-20 StepbyStep Allocations'!C44,'Baselines+Historic Spend Factor'!C$9:C$159,0))</f>
        <v>21542753.896671388</v>
      </c>
      <c r="BJ44" s="154">
        <f t="shared" si="2"/>
        <v>22334671.241485</v>
      </c>
      <c r="BK44" s="155">
        <f t="shared" si="44"/>
        <v>3.676026512729047E-2</v>
      </c>
      <c r="BL44" s="156">
        <f t="shared" si="45"/>
        <v>512.59721386151591</v>
      </c>
      <c r="BM44" s="148">
        <f t="shared" si="5"/>
        <v>517.72318600013102</v>
      </c>
      <c r="BN44" s="148">
        <f t="shared" si="46"/>
        <v>517.72318600013102</v>
      </c>
      <c r="BO44" s="148">
        <f t="shared" si="6"/>
        <v>19766671.241485</v>
      </c>
      <c r="BP44" s="144">
        <f t="shared" si="7"/>
        <v>22334671.241485</v>
      </c>
      <c r="BQ44" s="148">
        <v>22146179.60328719</v>
      </c>
      <c r="BR44" s="157">
        <f t="shared" si="47"/>
        <v>8.5112485121285886E-3</v>
      </c>
      <c r="BT44" s="94"/>
      <c r="BU44" s="158"/>
      <c r="BX44" s="94"/>
    </row>
    <row r="45" spans="1:76" ht="15.4" x14ac:dyDescent="0.45">
      <c r="A45" s="139" t="s">
        <v>147</v>
      </c>
      <c r="B45" s="140" t="s">
        <v>145</v>
      </c>
      <c r="C45" s="102">
        <v>805</v>
      </c>
      <c r="D45" s="141" t="s">
        <v>149</v>
      </c>
      <c r="E45" s="348">
        <v>1</v>
      </c>
      <c r="F45" s="142">
        <v>246</v>
      </c>
      <c r="G45" s="143">
        <f t="shared" si="8"/>
        <v>4000</v>
      </c>
      <c r="H45" s="144">
        <f t="shared" si="9"/>
        <v>984000</v>
      </c>
      <c r="I45" s="144">
        <f>INDEX('Baselines+Historic Spend Factor'!$Q$9:$Q$159,MATCH(C45,'Baselines+Historic Spend Factor'!$C$9:$C$159,0))</f>
        <v>4691162.976521736</v>
      </c>
      <c r="J45" s="142">
        <v>18975.419000000002</v>
      </c>
      <c r="K45" s="145">
        <f t="shared" si="10"/>
        <v>18975.419000000002</v>
      </c>
      <c r="L45" s="144">
        <f t="shared" si="11"/>
        <v>2223416.3986531058</v>
      </c>
      <c r="M45" s="142">
        <v>3816</v>
      </c>
      <c r="N45" s="145">
        <f t="shared" si="12"/>
        <v>3816</v>
      </c>
      <c r="O45" s="144">
        <f t="shared" si="13"/>
        <v>936196.7321362081</v>
      </c>
      <c r="P45" s="142">
        <v>332</v>
      </c>
      <c r="Q45" s="145">
        <f t="shared" si="14"/>
        <v>332</v>
      </c>
      <c r="R45" s="147">
        <f t="shared" si="15"/>
        <v>11301.977736564919</v>
      </c>
      <c r="S45" s="142">
        <v>1180</v>
      </c>
      <c r="T45" s="145">
        <f t="shared" si="16"/>
        <v>1180</v>
      </c>
      <c r="U45" s="147">
        <f t="shared" si="17"/>
        <v>52170.97097694283</v>
      </c>
      <c r="V45" s="142">
        <v>1357</v>
      </c>
      <c r="W45" s="145">
        <f t="shared" si="18"/>
        <v>1357</v>
      </c>
      <c r="X45" s="147">
        <f t="shared" si="19"/>
        <v>81830.357903718861</v>
      </c>
      <c r="Y45" s="142">
        <v>1238</v>
      </c>
      <c r="Z45" s="145">
        <f t="shared" si="20"/>
        <v>1238</v>
      </c>
      <c r="AA45" s="147">
        <f t="shared" si="21"/>
        <v>79852.019228323625</v>
      </c>
      <c r="AB45" s="142">
        <v>4155</v>
      </c>
      <c r="AC45" s="145">
        <f t="shared" si="22"/>
        <v>4155</v>
      </c>
      <c r="AD45" s="147">
        <f t="shared" si="23"/>
        <v>293472.55282338237</v>
      </c>
      <c r="AE45" s="142">
        <v>3162</v>
      </c>
      <c r="AF45" s="145">
        <f t="shared" si="24"/>
        <v>3162</v>
      </c>
      <c r="AG45" s="147">
        <f t="shared" si="25"/>
        <v>302211.09290492622</v>
      </c>
      <c r="AH45" s="144">
        <f t="shared" si="26"/>
        <v>820838.97157385875</v>
      </c>
      <c r="AI45" s="142">
        <v>110</v>
      </c>
      <c r="AJ45" s="145">
        <f t="shared" si="27"/>
        <v>110</v>
      </c>
      <c r="AK45" s="147">
        <f t="shared" si="28"/>
        <v>339503.6952815305</v>
      </c>
      <c r="AL45" s="142">
        <v>860</v>
      </c>
      <c r="AM45" s="145">
        <f t="shared" si="29"/>
        <v>860</v>
      </c>
      <c r="AN45" s="147">
        <f t="shared" si="30"/>
        <v>438353.900957526</v>
      </c>
      <c r="AO45" s="142">
        <v>168</v>
      </c>
      <c r="AP45" s="145">
        <f t="shared" si="31"/>
        <v>168</v>
      </c>
      <c r="AQ45" s="147">
        <f t="shared" si="32"/>
        <v>295908.36081571912</v>
      </c>
      <c r="AR45" s="142">
        <v>321</v>
      </c>
      <c r="AS45" s="145">
        <f t="shared" si="33"/>
        <v>321</v>
      </c>
      <c r="AT45" s="147">
        <f t="shared" si="34"/>
        <v>464377.62082113768</v>
      </c>
      <c r="AU45" s="144">
        <f t="shared" si="35"/>
        <v>10209758.656760821</v>
      </c>
      <c r="AV45" s="148">
        <f>INDEX('Baselines+Historic Spend Factor'!P$9:P$159,MATCH('2019-20 StepbyStep Allocations'!C45,'Baselines+Historic Spend Factor'!C$9:C$159,0))</f>
        <v>9382325.953043472</v>
      </c>
      <c r="AW45" s="149">
        <v>18965.064000000002</v>
      </c>
      <c r="AX45" s="150">
        <f t="shared" si="36"/>
        <v>494.71628216195165</v>
      </c>
      <c r="AY45" s="148">
        <f t="shared" si="37"/>
        <v>499.6634449835712</v>
      </c>
      <c r="AZ45" s="148">
        <f t="shared" si="38"/>
        <v>538.05181623450949</v>
      </c>
      <c r="BA45" s="148">
        <f t="shared" si="39"/>
        <v>538.05181623450949</v>
      </c>
      <c r="BB45" s="151">
        <f t="shared" si="40"/>
        <v>0</v>
      </c>
      <c r="BC45" s="148">
        <f t="shared" si="41"/>
        <v>0</v>
      </c>
      <c r="BD45" s="144">
        <f t="shared" si="42"/>
        <v>0</v>
      </c>
      <c r="BE45" s="144">
        <f t="shared" si="4"/>
        <v>10209758.656760821</v>
      </c>
      <c r="BF45" s="144">
        <f>INDEX('Hospital Education Funding'!$G$9:$G$159,MATCH(C45,'Hospital Education Funding'!$C$9:$C$158,0))</f>
        <v>0</v>
      </c>
      <c r="BG45" s="152">
        <f>INDEX('Import|Export Adjustments Data'!$Q$9:$Q$159,MATCH('2019-20 StepbyStep Allocations'!$C45,'Import|Export Adjustments Data'!$C$9:$C$159,0))</f>
        <v>-2</v>
      </c>
      <c r="BH45" s="144">
        <f t="shared" si="43"/>
        <v>-12000</v>
      </c>
      <c r="BI45" s="153">
        <f>INDEX('Baselines+Historic Spend Factor'!$F$9:$F$159,MATCH('2019-20 StepbyStep Allocations'!C45,'Baselines+Historic Spend Factor'!C$9:C$159,0))-INDEX('Baselines+Historic Spend Factor'!$G$9:$G$159,MATCH('2019-20 StepbyStep Allocations'!C45,'Baselines+Historic Spend Factor'!C$9:C$159,0))</f>
        <v>10238325.953043472</v>
      </c>
      <c r="BJ45" s="154">
        <f t="shared" si="2"/>
        <v>11181758.656760821</v>
      </c>
      <c r="BK45" s="155">
        <f t="shared" si="44"/>
        <v>9.2147164296610518E-2</v>
      </c>
      <c r="BL45" s="156">
        <f t="shared" si="45"/>
        <v>494.71628216195165</v>
      </c>
      <c r="BM45" s="148">
        <f t="shared" si="5"/>
        <v>538.05181623450949</v>
      </c>
      <c r="BN45" s="148">
        <f t="shared" si="46"/>
        <v>524.84450374561447</v>
      </c>
      <c r="BO45" s="148">
        <f t="shared" si="6"/>
        <v>9959144.3684201054</v>
      </c>
      <c r="BP45" s="144">
        <f t="shared" si="7"/>
        <v>10931144.368420105</v>
      </c>
      <c r="BQ45" s="148">
        <v>10600779.114618877</v>
      </c>
      <c r="BR45" s="157">
        <f t="shared" si="47"/>
        <v>3.1164242762651506E-2</v>
      </c>
      <c r="BT45" s="94"/>
      <c r="BU45" s="158"/>
      <c r="BX45" s="94"/>
    </row>
    <row r="46" spans="1:76" ht="15.4" x14ac:dyDescent="0.45">
      <c r="A46" s="139" t="s">
        <v>189</v>
      </c>
      <c r="B46" s="140" t="s">
        <v>145</v>
      </c>
      <c r="C46" s="102">
        <v>806</v>
      </c>
      <c r="D46" s="141" t="s">
        <v>150</v>
      </c>
      <c r="E46" s="348">
        <v>1</v>
      </c>
      <c r="F46" s="142">
        <v>534</v>
      </c>
      <c r="G46" s="143">
        <f t="shared" si="8"/>
        <v>4000</v>
      </c>
      <c r="H46" s="144">
        <f t="shared" si="9"/>
        <v>2136000</v>
      </c>
      <c r="I46" s="144">
        <f>INDEX('Baselines+Historic Spend Factor'!$Q$9:$Q$159,MATCH(C46,'Baselines+Historic Spend Factor'!$C$9:$C$159,0))</f>
        <v>9124361.8908118084</v>
      </c>
      <c r="J46" s="142">
        <v>30497.796999999999</v>
      </c>
      <c r="K46" s="145">
        <f t="shared" si="10"/>
        <v>30497.796999999999</v>
      </c>
      <c r="L46" s="144">
        <f t="shared" si="11"/>
        <v>3573533.8425250836</v>
      </c>
      <c r="M46" s="142">
        <v>6013.5</v>
      </c>
      <c r="N46" s="145">
        <f t="shared" si="12"/>
        <v>6013.5</v>
      </c>
      <c r="O46" s="144">
        <f t="shared" si="13"/>
        <v>1475319.4572067838</v>
      </c>
      <c r="P46" s="142">
        <v>2128</v>
      </c>
      <c r="Q46" s="145">
        <f t="shared" si="14"/>
        <v>2128</v>
      </c>
      <c r="R46" s="147">
        <f t="shared" si="15"/>
        <v>72441.592239187201</v>
      </c>
      <c r="S46" s="142">
        <v>1556</v>
      </c>
      <c r="T46" s="145">
        <f t="shared" si="16"/>
        <v>1556</v>
      </c>
      <c r="U46" s="147">
        <f t="shared" si="17"/>
        <v>68794.941389934786</v>
      </c>
      <c r="V46" s="142">
        <v>1217</v>
      </c>
      <c r="W46" s="145">
        <f t="shared" si="18"/>
        <v>1217</v>
      </c>
      <c r="X46" s="147">
        <f t="shared" si="19"/>
        <v>73388.021789849561</v>
      </c>
      <c r="Y46" s="142">
        <v>739</v>
      </c>
      <c r="Z46" s="145">
        <f t="shared" si="20"/>
        <v>739</v>
      </c>
      <c r="AA46" s="147">
        <f t="shared" si="21"/>
        <v>47666.108408506589</v>
      </c>
      <c r="AB46" s="142">
        <v>5372</v>
      </c>
      <c r="AC46" s="145">
        <f t="shared" si="22"/>
        <v>5372</v>
      </c>
      <c r="AD46" s="147">
        <f t="shared" si="23"/>
        <v>379430.69886094105</v>
      </c>
      <c r="AE46" s="142">
        <v>9839</v>
      </c>
      <c r="AF46" s="145">
        <f t="shared" si="24"/>
        <v>9839</v>
      </c>
      <c r="AG46" s="147">
        <f t="shared" si="25"/>
        <v>940371.58225539804</v>
      </c>
      <c r="AH46" s="144">
        <f t="shared" si="26"/>
        <v>1582092.9449438171</v>
      </c>
      <c r="AI46" s="142">
        <v>260</v>
      </c>
      <c r="AJ46" s="145">
        <f t="shared" si="27"/>
        <v>260</v>
      </c>
      <c r="AK46" s="147">
        <f t="shared" si="28"/>
        <v>802463.27975634485</v>
      </c>
      <c r="AL46" s="142">
        <v>1350</v>
      </c>
      <c r="AM46" s="145">
        <f t="shared" si="29"/>
        <v>1350</v>
      </c>
      <c r="AN46" s="147">
        <f t="shared" si="30"/>
        <v>688113.68173565133</v>
      </c>
      <c r="AO46" s="142">
        <v>467</v>
      </c>
      <c r="AP46" s="145">
        <f t="shared" si="31"/>
        <v>467</v>
      </c>
      <c r="AQ46" s="147">
        <f t="shared" si="32"/>
        <v>822554.78869607637</v>
      </c>
      <c r="AR46" s="142">
        <v>563</v>
      </c>
      <c r="AS46" s="145">
        <f t="shared" si="33"/>
        <v>563</v>
      </c>
      <c r="AT46" s="147">
        <f t="shared" si="34"/>
        <v>814469.160505609</v>
      </c>
      <c r="AU46" s="144">
        <f t="shared" si="35"/>
        <v>18882909.046181172</v>
      </c>
      <c r="AV46" s="148">
        <f>INDEX('Baselines+Historic Spend Factor'!P$9:P$159,MATCH('2019-20 StepbyStep Allocations'!C46,'Baselines+Historic Spend Factor'!C$9:C$159,0))</f>
        <v>18248723.781623617</v>
      </c>
      <c r="AW46" s="149">
        <v>30313.883000000002</v>
      </c>
      <c r="AX46" s="150">
        <f t="shared" si="36"/>
        <v>601.99228787759114</v>
      </c>
      <c r="AY46" s="148">
        <f t="shared" si="37"/>
        <v>608.01221075636704</v>
      </c>
      <c r="AZ46" s="148">
        <f t="shared" si="38"/>
        <v>619.15649337495336</v>
      </c>
      <c r="BA46" s="148">
        <f t="shared" si="39"/>
        <v>619.15649337495336</v>
      </c>
      <c r="BB46" s="151">
        <f t="shared" si="40"/>
        <v>0</v>
      </c>
      <c r="BC46" s="148">
        <f t="shared" si="41"/>
        <v>0</v>
      </c>
      <c r="BD46" s="144">
        <f t="shared" si="42"/>
        <v>0</v>
      </c>
      <c r="BE46" s="144">
        <f t="shared" si="4"/>
        <v>18882909.046181172</v>
      </c>
      <c r="BF46" s="144">
        <f>INDEX('Hospital Education Funding'!$G$9:$G$159,MATCH(C46,'Hospital Education Funding'!$C$9:$C$158,0))</f>
        <v>1178670</v>
      </c>
      <c r="BG46" s="152">
        <f>INDEX('Import|Export Adjustments Data'!$Q$9:$Q$159,MATCH('2019-20 StepbyStep Allocations'!$C46,'Import|Export Adjustments Data'!$C$9:$C$159,0))</f>
        <v>93.5</v>
      </c>
      <c r="BH46" s="144">
        <f t="shared" si="43"/>
        <v>561000</v>
      </c>
      <c r="BI46" s="153">
        <f>INDEX('Baselines+Historic Spend Factor'!$F$9:$F$159,MATCH('2019-20 StepbyStep Allocations'!C46,'Baselines+Historic Spend Factor'!C$9:C$159,0))-INDEX('Baselines+Historic Spend Factor'!$G$9:$G$159,MATCH('2019-20 StepbyStep Allocations'!C46,'Baselines+Historic Spend Factor'!C$9:C$159,0))</f>
        <v>21781723.781623617</v>
      </c>
      <c r="BJ46" s="154">
        <f t="shared" si="2"/>
        <v>22758579.046181172</v>
      </c>
      <c r="BK46" s="155">
        <f t="shared" si="44"/>
        <v>4.4847472787332254E-2</v>
      </c>
      <c r="BL46" s="156">
        <f t="shared" si="45"/>
        <v>601.99228787759114</v>
      </c>
      <c r="BM46" s="148">
        <f t="shared" si="5"/>
        <v>619.15649337495336</v>
      </c>
      <c r="BN46" s="148">
        <f t="shared" si="46"/>
        <v>619.15649337495336</v>
      </c>
      <c r="BO46" s="148">
        <f t="shared" si="6"/>
        <v>18882909.046181172</v>
      </c>
      <c r="BP46" s="144">
        <f t="shared" si="7"/>
        <v>22758579.046181172</v>
      </c>
      <c r="BQ46" s="148">
        <v>22665960.36152434</v>
      </c>
      <c r="BR46" s="157">
        <f t="shared" si="47"/>
        <v>4.0862457702897093E-3</v>
      </c>
      <c r="BT46" s="94"/>
      <c r="BU46" s="158"/>
      <c r="BX46" s="94"/>
    </row>
    <row r="47" spans="1:76" ht="15.4" x14ac:dyDescent="0.45">
      <c r="A47" s="139" t="s">
        <v>258</v>
      </c>
      <c r="B47" s="140" t="s">
        <v>145</v>
      </c>
      <c r="C47" s="102">
        <v>391</v>
      </c>
      <c r="D47" s="141" t="s">
        <v>151</v>
      </c>
      <c r="E47" s="348">
        <v>1</v>
      </c>
      <c r="F47" s="142">
        <v>688.5</v>
      </c>
      <c r="G47" s="143">
        <f t="shared" si="8"/>
        <v>4000</v>
      </c>
      <c r="H47" s="144">
        <f t="shared" si="9"/>
        <v>2754000</v>
      </c>
      <c r="I47" s="144">
        <f>INDEX('Baselines+Historic Spend Factor'!$Q$9:$Q$159,MATCH(C47,'Baselines+Historic Spend Factor'!$C$9:$C$159,0))</f>
        <v>15267988.920024313</v>
      </c>
      <c r="J47" s="142">
        <v>55792.131000000001</v>
      </c>
      <c r="K47" s="145">
        <f t="shared" si="10"/>
        <v>55792.131000000001</v>
      </c>
      <c r="L47" s="144">
        <f t="shared" si="11"/>
        <v>6537359.6747034825</v>
      </c>
      <c r="M47" s="142">
        <v>9564.4999999999927</v>
      </c>
      <c r="N47" s="145">
        <f t="shared" si="12"/>
        <v>9564.4999999999927</v>
      </c>
      <c r="O47" s="144">
        <f t="shared" si="13"/>
        <v>2346502.5273890868</v>
      </c>
      <c r="P47" s="142">
        <v>4484</v>
      </c>
      <c r="Q47" s="145">
        <f t="shared" si="14"/>
        <v>4484</v>
      </c>
      <c r="R47" s="147">
        <f t="shared" si="15"/>
        <v>152644.7836468587</v>
      </c>
      <c r="S47" s="142">
        <v>3176</v>
      </c>
      <c r="T47" s="145">
        <f t="shared" si="16"/>
        <v>3176</v>
      </c>
      <c r="U47" s="147">
        <f t="shared" si="17"/>
        <v>140419.4947650597</v>
      </c>
      <c r="V47" s="142">
        <v>5086</v>
      </c>
      <c r="W47" s="145">
        <f t="shared" si="18"/>
        <v>5086</v>
      </c>
      <c r="X47" s="147">
        <f t="shared" si="19"/>
        <v>306698.01053670899</v>
      </c>
      <c r="Y47" s="142">
        <v>3660</v>
      </c>
      <c r="Z47" s="145">
        <f t="shared" si="20"/>
        <v>3660</v>
      </c>
      <c r="AA47" s="147">
        <f t="shared" si="21"/>
        <v>236073.01322751574</v>
      </c>
      <c r="AB47" s="142">
        <v>11552</v>
      </c>
      <c r="AC47" s="145">
        <f t="shared" si="22"/>
        <v>11552</v>
      </c>
      <c r="AD47" s="147">
        <f t="shared" si="23"/>
        <v>815931.39114698279</v>
      </c>
      <c r="AE47" s="142">
        <v>5095</v>
      </c>
      <c r="AF47" s="145">
        <f t="shared" si="24"/>
        <v>5095</v>
      </c>
      <c r="AG47" s="147">
        <f t="shared" si="25"/>
        <v>486959.36696729879</v>
      </c>
      <c r="AH47" s="144">
        <f t="shared" si="26"/>
        <v>2138726.0602904246</v>
      </c>
      <c r="AI47" s="142">
        <v>454</v>
      </c>
      <c r="AJ47" s="145">
        <f t="shared" si="27"/>
        <v>454</v>
      </c>
      <c r="AK47" s="147">
        <f t="shared" si="28"/>
        <v>1401224.3423437714</v>
      </c>
      <c r="AL47" s="142">
        <v>2140</v>
      </c>
      <c r="AM47" s="145">
        <f t="shared" si="29"/>
        <v>2140</v>
      </c>
      <c r="AN47" s="147">
        <f t="shared" si="30"/>
        <v>1090787.614010588</v>
      </c>
      <c r="AO47" s="142">
        <v>580</v>
      </c>
      <c r="AP47" s="145">
        <f t="shared" si="31"/>
        <v>580</v>
      </c>
      <c r="AQ47" s="147">
        <f t="shared" si="32"/>
        <v>1021588.3885304589</v>
      </c>
      <c r="AR47" s="142">
        <v>730</v>
      </c>
      <c r="AS47" s="145">
        <f t="shared" si="33"/>
        <v>730</v>
      </c>
      <c r="AT47" s="147">
        <f t="shared" si="34"/>
        <v>1056061.2560729922</v>
      </c>
      <c r="AU47" s="144">
        <f t="shared" si="35"/>
        <v>30860238.783365116</v>
      </c>
      <c r="AV47" s="148">
        <f>INDEX('Baselines+Historic Spend Factor'!P$9:P$159,MATCH('2019-20 StepbyStep Allocations'!C47,'Baselines+Historic Spend Factor'!C$9:C$159,0))</f>
        <v>30535977.840048626</v>
      </c>
      <c r="AW47" s="149">
        <v>54525.972999999991</v>
      </c>
      <c r="AX47" s="150">
        <f t="shared" si="36"/>
        <v>560.02628032054804</v>
      </c>
      <c r="AY47" s="148">
        <f t="shared" si="37"/>
        <v>565.62654312375355</v>
      </c>
      <c r="AZ47" s="148">
        <f t="shared" si="38"/>
        <v>553.12887732080196</v>
      </c>
      <c r="BA47" s="148">
        <f t="shared" si="39"/>
        <v>565.62654312375355</v>
      </c>
      <c r="BB47" s="151">
        <f t="shared" si="40"/>
        <v>697271.40767249512</v>
      </c>
      <c r="BC47" s="148">
        <f t="shared" si="41"/>
        <v>0</v>
      </c>
      <c r="BD47" s="144">
        <f t="shared" si="42"/>
        <v>697271.40767249512</v>
      </c>
      <c r="BE47" s="144">
        <f t="shared" si="4"/>
        <v>31557510.191037606</v>
      </c>
      <c r="BF47" s="144">
        <f>INDEX('Hospital Education Funding'!$G$9:$G$159,MATCH(C47,'Hospital Education Funding'!$C$9:$C$158,0))</f>
        <v>1984650.0000000005</v>
      </c>
      <c r="BG47" s="152">
        <f>INDEX('Import|Export Adjustments Data'!$Q$9:$Q$159,MATCH('2019-20 StepbyStep Allocations'!$C47,'Import|Export Adjustments Data'!$C$9:$C$159,0))</f>
        <v>290.5</v>
      </c>
      <c r="BH47" s="144">
        <f t="shared" si="43"/>
        <v>1743000</v>
      </c>
      <c r="BI47" s="153">
        <f>INDEX('Baselines+Historic Spend Factor'!$F$9:$F$159,MATCH('2019-20 StepbyStep Allocations'!C47,'Baselines+Historic Spend Factor'!C$9:C$159,0))-INDEX('Baselines+Historic Spend Factor'!$G$9:$G$159,MATCH('2019-20 StepbyStep Allocations'!C47,'Baselines+Historic Spend Factor'!C$9:C$159,0))</f>
        <v>35038977.840048626</v>
      </c>
      <c r="BJ47" s="154">
        <f t="shared" si="2"/>
        <v>38039160.19103761</v>
      </c>
      <c r="BK47" s="155">
        <f t="shared" si="44"/>
        <v>8.5624140198514942E-2</v>
      </c>
      <c r="BL47" s="156">
        <f t="shared" si="45"/>
        <v>560.02628032054804</v>
      </c>
      <c r="BM47" s="148">
        <f t="shared" si="5"/>
        <v>565.62654312375355</v>
      </c>
      <c r="BN47" s="148">
        <f t="shared" si="46"/>
        <v>565.62654312375355</v>
      </c>
      <c r="BO47" s="148">
        <f t="shared" si="6"/>
        <v>31557510.191037606</v>
      </c>
      <c r="BP47" s="144">
        <f t="shared" si="7"/>
        <v>38039160.19103761</v>
      </c>
      <c r="BQ47" s="148">
        <v>37497923.249600507</v>
      </c>
      <c r="BR47" s="157">
        <f t="shared" si="47"/>
        <v>1.443378444812593E-2</v>
      </c>
      <c r="BT47" s="94"/>
      <c r="BU47" s="158"/>
      <c r="BX47" s="94"/>
    </row>
    <row r="48" spans="1:76" ht="15.4" x14ac:dyDescent="0.45">
      <c r="A48" s="139" t="s">
        <v>206</v>
      </c>
      <c r="B48" s="140" t="s">
        <v>145</v>
      </c>
      <c r="C48" s="102">
        <v>392</v>
      </c>
      <c r="D48" s="141" t="s">
        <v>152</v>
      </c>
      <c r="E48" s="348">
        <v>1</v>
      </c>
      <c r="F48" s="142">
        <v>542.5</v>
      </c>
      <c r="G48" s="143">
        <f t="shared" si="8"/>
        <v>4000</v>
      </c>
      <c r="H48" s="144">
        <f t="shared" si="9"/>
        <v>2170000</v>
      </c>
      <c r="I48" s="144">
        <f>INDEX('Baselines+Historic Spend Factor'!$Q$9:$Q$159,MATCH(C48,'Baselines+Historic Spend Factor'!$C$9:$C$159,0))</f>
        <v>8781007.8182467632</v>
      </c>
      <c r="J48" s="142">
        <v>38722.125999999989</v>
      </c>
      <c r="K48" s="145">
        <f t="shared" si="10"/>
        <v>38722.125999999989</v>
      </c>
      <c r="L48" s="144">
        <f t="shared" si="11"/>
        <v>4537207.3174833059</v>
      </c>
      <c r="M48" s="142">
        <v>3831.0000000000018</v>
      </c>
      <c r="N48" s="145">
        <f t="shared" si="12"/>
        <v>3831.0000000000018</v>
      </c>
      <c r="O48" s="144">
        <f t="shared" si="13"/>
        <v>939876.7507373729</v>
      </c>
      <c r="P48" s="142">
        <v>3565</v>
      </c>
      <c r="Q48" s="145">
        <f t="shared" si="14"/>
        <v>3565</v>
      </c>
      <c r="R48" s="147">
        <f t="shared" si="15"/>
        <v>121360.09226160824</v>
      </c>
      <c r="S48" s="142">
        <v>3372</v>
      </c>
      <c r="T48" s="145">
        <f t="shared" si="16"/>
        <v>3372</v>
      </c>
      <c r="U48" s="147">
        <f t="shared" si="17"/>
        <v>149085.18146970443</v>
      </c>
      <c r="V48" s="142">
        <v>3716</v>
      </c>
      <c r="W48" s="145">
        <f t="shared" si="18"/>
        <v>3716</v>
      </c>
      <c r="X48" s="147">
        <f t="shared" si="19"/>
        <v>224083.72142241659</v>
      </c>
      <c r="Y48" s="142">
        <v>4423</v>
      </c>
      <c r="Z48" s="145">
        <f t="shared" si="20"/>
        <v>4423</v>
      </c>
      <c r="AA48" s="147">
        <f t="shared" si="21"/>
        <v>285287.14139489125</v>
      </c>
      <c r="AB48" s="142">
        <v>2105</v>
      </c>
      <c r="AC48" s="145">
        <f t="shared" si="22"/>
        <v>2105</v>
      </c>
      <c r="AD48" s="147">
        <f t="shared" si="23"/>
        <v>148678.63386118409</v>
      </c>
      <c r="AE48" s="142">
        <v>1279</v>
      </c>
      <c r="AF48" s="145">
        <f t="shared" si="24"/>
        <v>1279</v>
      </c>
      <c r="AG48" s="147">
        <f t="shared" si="25"/>
        <v>122241.61537805205</v>
      </c>
      <c r="AH48" s="144">
        <f t="shared" si="26"/>
        <v>1050736.3857878568</v>
      </c>
      <c r="AI48" s="142">
        <v>222</v>
      </c>
      <c r="AJ48" s="145">
        <f t="shared" si="27"/>
        <v>222</v>
      </c>
      <c r="AK48" s="147">
        <f t="shared" si="28"/>
        <v>685180.18502272514</v>
      </c>
      <c r="AL48" s="142">
        <v>1640</v>
      </c>
      <c r="AM48" s="145">
        <f t="shared" si="29"/>
        <v>1640</v>
      </c>
      <c r="AN48" s="147">
        <f t="shared" si="30"/>
        <v>835930.69484923582</v>
      </c>
      <c r="AO48" s="142">
        <v>362</v>
      </c>
      <c r="AP48" s="145">
        <f t="shared" si="31"/>
        <v>362</v>
      </c>
      <c r="AQ48" s="147">
        <f t="shared" si="32"/>
        <v>637612.06318625202</v>
      </c>
      <c r="AR48" s="142">
        <v>432</v>
      </c>
      <c r="AS48" s="145">
        <f t="shared" si="33"/>
        <v>432</v>
      </c>
      <c r="AT48" s="147">
        <f t="shared" si="34"/>
        <v>624956.7981144283</v>
      </c>
      <c r="AU48" s="144">
        <f t="shared" si="35"/>
        <v>18092508.013427936</v>
      </c>
      <c r="AV48" s="148">
        <f>INDEX('Baselines+Historic Spend Factor'!P$9:P$159,MATCH('2019-20 StepbyStep Allocations'!C48,'Baselines+Historic Spend Factor'!C$9:C$159,0))</f>
        <v>17562015.636493526</v>
      </c>
      <c r="AW48" s="149">
        <v>38380.057999999997</v>
      </c>
      <c r="AX48" s="150">
        <f t="shared" si="36"/>
        <v>457.58178991010197</v>
      </c>
      <c r="AY48" s="148">
        <f t="shared" si="37"/>
        <v>462.157607809203</v>
      </c>
      <c r="AZ48" s="148">
        <f t="shared" si="38"/>
        <v>467.23953156466513</v>
      </c>
      <c r="BA48" s="148">
        <f t="shared" si="39"/>
        <v>467.23953156466513</v>
      </c>
      <c r="BB48" s="151">
        <f t="shared" si="40"/>
        <v>0</v>
      </c>
      <c r="BC48" s="148">
        <f t="shared" si="41"/>
        <v>0</v>
      </c>
      <c r="BD48" s="144">
        <f t="shared" si="42"/>
        <v>0</v>
      </c>
      <c r="BE48" s="144">
        <f t="shared" si="4"/>
        <v>18092508.013427936</v>
      </c>
      <c r="BF48" s="144">
        <f>INDEX('Hospital Education Funding'!$G$9:$G$159,MATCH(C48,'Hospital Education Funding'!$C$9:$C$158,0))</f>
        <v>0</v>
      </c>
      <c r="BG48" s="152">
        <f>INDEX('Import|Export Adjustments Data'!$Q$9:$Q$159,MATCH('2019-20 StepbyStep Allocations'!$C48,'Import|Export Adjustments Data'!$C$9:$C$159,0))</f>
        <v>-80</v>
      </c>
      <c r="BH48" s="144">
        <f t="shared" si="43"/>
        <v>-480000</v>
      </c>
      <c r="BI48" s="153">
        <f>INDEX('Baselines+Historic Spend Factor'!$F$9:$F$159,MATCH('2019-20 StepbyStep Allocations'!C48,'Baselines+Historic Spend Factor'!C$9:C$159,0))-INDEX('Baselines+Historic Spend Factor'!$G$9:$G$159,MATCH('2019-20 StepbyStep Allocations'!C48,'Baselines+Historic Spend Factor'!C$9:C$159,0))</f>
        <v>19570015.636493526</v>
      </c>
      <c r="BJ48" s="154">
        <f t="shared" si="2"/>
        <v>19782508.013427936</v>
      </c>
      <c r="BK48" s="155">
        <f t="shared" si="44"/>
        <v>1.0858058617907229E-2</v>
      </c>
      <c r="BL48" s="156">
        <f t="shared" si="45"/>
        <v>457.58178991010197</v>
      </c>
      <c r="BM48" s="148">
        <f t="shared" si="5"/>
        <v>467.23953156466513</v>
      </c>
      <c r="BN48" s="148">
        <f t="shared" si="46"/>
        <v>467.23953156466513</v>
      </c>
      <c r="BO48" s="148">
        <f t="shared" si="6"/>
        <v>18092508.013427936</v>
      </c>
      <c r="BP48" s="144">
        <f t="shared" si="7"/>
        <v>19782508.013427936</v>
      </c>
      <c r="BQ48" s="148">
        <v>19599313.970324468</v>
      </c>
      <c r="BR48" s="157">
        <f t="shared" si="47"/>
        <v>9.3469620100399275E-3</v>
      </c>
      <c r="BT48" s="94"/>
      <c r="BU48" s="158"/>
      <c r="BX48" s="94"/>
    </row>
    <row r="49" spans="1:76" ht="15.4" x14ac:dyDescent="0.45">
      <c r="A49" s="139" t="s">
        <v>190</v>
      </c>
      <c r="B49" s="140" t="s">
        <v>145</v>
      </c>
      <c r="C49" s="102">
        <v>929</v>
      </c>
      <c r="D49" s="141" t="s">
        <v>153</v>
      </c>
      <c r="E49" s="348">
        <v>1</v>
      </c>
      <c r="F49" s="142">
        <v>767</v>
      </c>
      <c r="G49" s="143">
        <f t="shared" si="8"/>
        <v>4000</v>
      </c>
      <c r="H49" s="144">
        <f t="shared" si="9"/>
        <v>3068000</v>
      </c>
      <c r="I49" s="144">
        <f>INDEX('Baselines+Historic Spend Factor'!$Q$9:$Q$159,MATCH(C49,'Baselines+Historic Spend Factor'!$C$9:$C$159,0))</f>
        <v>14918567.138480818</v>
      </c>
      <c r="J49" s="142">
        <v>55743.450999999994</v>
      </c>
      <c r="K49" s="145">
        <f t="shared" si="10"/>
        <v>55743.450999999994</v>
      </c>
      <c r="L49" s="144">
        <f t="shared" si="11"/>
        <v>6531655.6683631511</v>
      </c>
      <c r="M49" s="142">
        <v>5523.0000000000009</v>
      </c>
      <c r="N49" s="145">
        <f t="shared" si="12"/>
        <v>5523.0000000000009</v>
      </c>
      <c r="O49" s="144">
        <f t="shared" si="13"/>
        <v>1354982.8489487101</v>
      </c>
      <c r="P49" s="142">
        <v>4918</v>
      </c>
      <c r="Q49" s="145">
        <f t="shared" si="14"/>
        <v>4918</v>
      </c>
      <c r="R49" s="147">
        <f t="shared" si="15"/>
        <v>167419.0557482719</v>
      </c>
      <c r="S49" s="142">
        <v>3793</v>
      </c>
      <c r="T49" s="145">
        <f t="shared" si="16"/>
        <v>3793</v>
      </c>
      <c r="U49" s="147">
        <f t="shared" si="17"/>
        <v>167698.72280978318</v>
      </c>
      <c r="V49" s="142">
        <v>1068</v>
      </c>
      <c r="W49" s="145">
        <f t="shared" si="18"/>
        <v>1068</v>
      </c>
      <c r="X49" s="147">
        <f t="shared" si="19"/>
        <v>64402.964068660091</v>
      </c>
      <c r="Y49" s="142">
        <v>5136</v>
      </c>
      <c r="Z49" s="145">
        <f t="shared" si="20"/>
        <v>5136</v>
      </c>
      <c r="AA49" s="147">
        <f t="shared" si="21"/>
        <v>331276.22839795653</v>
      </c>
      <c r="AB49" s="142">
        <v>5617</v>
      </c>
      <c r="AC49" s="145">
        <f t="shared" si="22"/>
        <v>5617</v>
      </c>
      <c r="AD49" s="147">
        <f t="shared" si="23"/>
        <v>396735.33795642329</v>
      </c>
      <c r="AE49" s="142">
        <v>1239</v>
      </c>
      <c r="AF49" s="145">
        <f t="shared" si="24"/>
        <v>1239</v>
      </c>
      <c r="AG49" s="147">
        <f t="shared" si="25"/>
        <v>118418.57814965324</v>
      </c>
      <c r="AH49" s="144">
        <f t="shared" si="26"/>
        <v>1245950.8871307482</v>
      </c>
      <c r="AI49" s="142">
        <v>296</v>
      </c>
      <c r="AJ49" s="145">
        <f t="shared" si="27"/>
        <v>296</v>
      </c>
      <c r="AK49" s="147">
        <f t="shared" si="28"/>
        <v>913573.58003030019</v>
      </c>
      <c r="AL49" s="142">
        <v>2370</v>
      </c>
      <c r="AM49" s="145">
        <f t="shared" si="29"/>
        <v>2370</v>
      </c>
      <c r="AN49" s="147">
        <f t="shared" si="30"/>
        <v>1208021.7968248103</v>
      </c>
      <c r="AO49" s="142">
        <v>574</v>
      </c>
      <c r="AP49" s="145">
        <f t="shared" si="31"/>
        <v>574</v>
      </c>
      <c r="AQ49" s="147">
        <f t="shared" si="32"/>
        <v>1011020.2327870405</v>
      </c>
      <c r="AR49" s="142">
        <v>1052</v>
      </c>
      <c r="AS49" s="145">
        <f t="shared" si="33"/>
        <v>1052</v>
      </c>
      <c r="AT49" s="147">
        <f t="shared" si="34"/>
        <v>1521885.5361490245</v>
      </c>
      <c r="AU49" s="144">
        <f t="shared" si="35"/>
        <v>28705657.688714601</v>
      </c>
      <c r="AV49" s="148">
        <f>INDEX('Baselines+Historic Spend Factor'!P$9:P$159,MATCH('2019-20 StepbyStep Allocations'!C49,'Baselines+Historic Spend Factor'!C$9:C$159,0))</f>
        <v>29837134.276961636</v>
      </c>
      <c r="AW49" s="149">
        <v>56307.833999999995</v>
      </c>
      <c r="AX49" s="150">
        <f t="shared" si="36"/>
        <v>529.8931277832786</v>
      </c>
      <c r="AY49" s="148">
        <f t="shared" si="37"/>
        <v>535.19205906111142</v>
      </c>
      <c r="AZ49" s="148">
        <f t="shared" si="38"/>
        <v>514.96018229503954</v>
      </c>
      <c r="BA49" s="148">
        <f t="shared" si="39"/>
        <v>535.19205906111142</v>
      </c>
      <c r="BB49" s="151">
        <f t="shared" si="40"/>
        <v>1127794.631147566</v>
      </c>
      <c r="BC49" s="148">
        <f t="shared" si="41"/>
        <v>3681.9570994675159</v>
      </c>
      <c r="BD49" s="144">
        <f t="shared" si="42"/>
        <v>1131476.5882470335</v>
      </c>
      <c r="BE49" s="144">
        <f t="shared" si="4"/>
        <v>29837134.276961636</v>
      </c>
      <c r="BF49" s="144">
        <f>INDEX('Hospital Education Funding'!$G$9:$G$159,MATCH(C49,'Hospital Education Funding'!$C$9:$C$158,0))</f>
        <v>0</v>
      </c>
      <c r="BG49" s="152">
        <f>INDEX('Import|Export Adjustments Data'!$Q$9:$Q$159,MATCH('2019-20 StepbyStep Allocations'!$C49,'Import|Export Adjustments Data'!$C$9:$C$159,0))</f>
        <v>-150</v>
      </c>
      <c r="BH49" s="144">
        <f t="shared" si="43"/>
        <v>-900000</v>
      </c>
      <c r="BI49" s="153">
        <f>INDEX('Baselines+Historic Spend Factor'!$F$9:$F$159,MATCH('2019-20 StepbyStep Allocations'!C49,'Baselines+Historic Spend Factor'!C$9:C$159,0))-INDEX('Baselines+Historic Spend Factor'!$G$9:$G$159,MATCH('2019-20 StepbyStep Allocations'!C49,'Baselines+Historic Spend Factor'!C$9:C$159,0))</f>
        <v>31797134.276961636</v>
      </c>
      <c r="BJ49" s="154">
        <f t="shared" si="2"/>
        <v>32005134.276961636</v>
      </c>
      <c r="BK49" s="155">
        <f t="shared" si="44"/>
        <v>6.541470001298455E-3</v>
      </c>
      <c r="BL49" s="156">
        <f t="shared" si="45"/>
        <v>529.8931277832786</v>
      </c>
      <c r="BM49" s="148">
        <f t="shared" si="5"/>
        <v>535.19205906111142</v>
      </c>
      <c r="BN49" s="148">
        <f t="shared" si="46"/>
        <v>535.19205906111142</v>
      </c>
      <c r="BO49" s="148">
        <f t="shared" si="6"/>
        <v>29837134.276961636</v>
      </c>
      <c r="BP49" s="144">
        <f t="shared" si="7"/>
        <v>32005134.276961636</v>
      </c>
      <c r="BQ49" s="148">
        <v>31997134.276961636</v>
      </c>
      <c r="BR49" s="157">
        <f t="shared" si="47"/>
        <v>2.5002239046645336E-4</v>
      </c>
      <c r="BT49" s="94"/>
      <c r="BU49" s="158"/>
      <c r="BX49" s="94"/>
    </row>
    <row r="50" spans="1:76" ht="15.4" x14ac:dyDescent="0.45">
      <c r="A50" s="139" t="s">
        <v>123</v>
      </c>
      <c r="B50" s="140" t="s">
        <v>145</v>
      </c>
      <c r="C50" s="102">
        <v>807</v>
      </c>
      <c r="D50" s="141" t="s">
        <v>154</v>
      </c>
      <c r="E50" s="348">
        <v>1</v>
      </c>
      <c r="F50" s="142">
        <v>389</v>
      </c>
      <c r="G50" s="143">
        <f t="shared" si="8"/>
        <v>4000</v>
      </c>
      <c r="H50" s="144">
        <f t="shared" si="9"/>
        <v>1556000</v>
      </c>
      <c r="I50" s="144">
        <f>INDEX('Baselines+Historic Spend Factor'!$Q$9:$Q$159,MATCH(C50,'Baselines+Historic Spend Factor'!$C$9:$C$159,0))</f>
        <v>7212513.2113444591</v>
      </c>
      <c r="J50" s="142">
        <v>26013.361000000004</v>
      </c>
      <c r="K50" s="145">
        <f t="shared" si="10"/>
        <v>26013.361000000004</v>
      </c>
      <c r="L50" s="144">
        <f t="shared" si="11"/>
        <v>3048076.7476851582</v>
      </c>
      <c r="M50" s="142">
        <v>3760.5000000000005</v>
      </c>
      <c r="N50" s="145">
        <f t="shared" si="12"/>
        <v>3760.5000000000005</v>
      </c>
      <c r="O50" s="144">
        <f t="shared" si="13"/>
        <v>922580.66331190011</v>
      </c>
      <c r="P50" s="142">
        <v>3053</v>
      </c>
      <c r="Q50" s="145">
        <f t="shared" si="14"/>
        <v>3053</v>
      </c>
      <c r="R50" s="147">
        <f t="shared" si="15"/>
        <v>103930.53623413463</v>
      </c>
      <c r="S50" s="142">
        <v>1703</v>
      </c>
      <c r="T50" s="145">
        <f t="shared" si="16"/>
        <v>1703</v>
      </c>
      <c r="U50" s="147">
        <f t="shared" si="17"/>
        <v>75294.206418418355</v>
      </c>
      <c r="V50" s="142">
        <v>1715</v>
      </c>
      <c r="W50" s="145">
        <f t="shared" si="18"/>
        <v>1715</v>
      </c>
      <c r="X50" s="147">
        <f t="shared" si="19"/>
        <v>103418.61739489893</v>
      </c>
      <c r="Y50" s="142">
        <v>2228</v>
      </c>
      <c r="Z50" s="145">
        <f t="shared" si="20"/>
        <v>2228</v>
      </c>
      <c r="AA50" s="147">
        <f t="shared" si="21"/>
        <v>143707.83428166807</v>
      </c>
      <c r="AB50" s="142">
        <v>2895</v>
      </c>
      <c r="AC50" s="145">
        <f t="shared" si="22"/>
        <v>2895</v>
      </c>
      <c r="AD50" s="147">
        <f t="shared" si="23"/>
        <v>204477.26604661663</v>
      </c>
      <c r="AE50" s="142">
        <v>3579</v>
      </c>
      <c r="AF50" s="145">
        <f t="shared" si="24"/>
        <v>3579</v>
      </c>
      <c r="AG50" s="147">
        <f t="shared" si="25"/>
        <v>342066.25601098384</v>
      </c>
      <c r="AH50" s="144">
        <f t="shared" si="26"/>
        <v>972894.71638672031</v>
      </c>
      <c r="AI50" s="142">
        <v>196</v>
      </c>
      <c r="AJ50" s="145">
        <f t="shared" si="27"/>
        <v>196</v>
      </c>
      <c r="AK50" s="147">
        <f t="shared" si="28"/>
        <v>604933.85704709066</v>
      </c>
      <c r="AL50" s="142">
        <v>1180</v>
      </c>
      <c r="AM50" s="145">
        <f t="shared" si="29"/>
        <v>1180</v>
      </c>
      <c r="AN50" s="147">
        <f t="shared" si="30"/>
        <v>601462.32922079158</v>
      </c>
      <c r="AO50" s="142">
        <v>273</v>
      </c>
      <c r="AP50" s="145">
        <f t="shared" si="31"/>
        <v>273</v>
      </c>
      <c r="AQ50" s="147">
        <f t="shared" si="32"/>
        <v>480851.08632554358</v>
      </c>
      <c r="AR50" s="142">
        <v>543</v>
      </c>
      <c r="AS50" s="145">
        <f t="shared" si="33"/>
        <v>543</v>
      </c>
      <c r="AT50" s="147">
        <f t="shared" si="34"/>
        <v>785535.9754077188</v>
      </c>
      <c r="AU50" s="144">
        <f t="shared" si="35"/>
        <v>14628848.586729383</v>
      </c>
      <c r="AV50" s="148">
        <f>INDEX('Baselines+Historic Spend Factor'!P$9:P$159,MATCH('2019-20 StepbyStep Allocations'!C50,'Baselines+Historic Spend Factor'!C$9:C$159,0))</f>
        <v>14425026.422688918</v>
      </c>
      <c r="AW50" s="149">
        <v>26036.42</v>
      </c>
      <c r="AX50" s="150">
        <f t="shared" si="36"/>
        <v>554.03263669463468</v>
      </c>
      <c r="AY50" s="148">
        <f t="shared" si="37"/>
        <v>559.57296306158105</v>
      </c>
      <c r="AZ50" s="148">
        <f t="shared" si="38"/>
        <v>562.35903491015176</v>
      </c>
      <c r="BA50" s="148">
        <f t="shared" si="39"/>
        <v>562.35903491015176</v>
      </c>
      <c r="BB50" s="151">
        <f t="shared" si="40"/>
        <v>0</v>
      </c>
      <c r="BC50" s="148">
        <f t="shared" si="41"/>
        <v>0</v>
      </c>
      <c r="BD50" s="144">
        <f t="shared" si="42"/>
        <v>0</v>
      </c>
      <c r="BE50" s="144">
        <f t="shared" si="4"/>
        <v>14628848.586729383</v>
      </c>
      <c r="BF50" s="144">
        <f>INDEX('Hospital Education Funding'!$G$9:$G$159,MATCH(C50,'Hospital Education Funding'!$C$9:$C$158,0))</f>
        <v>135340</v>
      </c>
      <c r="BG50" s="152">
        <f>INDEX('Import|Export Adjustments Data'!$Q$9:$Q$159,MATCH('2019-20 StepbyStep Allocations'!$C50,'Import|Export Adjustments Data'!$C$9:$C$159,0))</f>
        <v>-20</v>
      </c>
      <c r="BH50" s="144">
        <f t="shared" si="43"/>
        <v>-120000</v>
      </c>
      <c r="BI50" s="153">
        <f>INDEX('Baselines+Historic Spend Factor'!$F$9:$F$159,MATCH('2019-20 StepbyStep Allocations'!C50,'Baselines+Historic Spend Factor'!C$9:C$159,0))-INDEX('Baselines+Historic Spend Factor'!$G$9:$G$159,MATCH('2019-20 StepbyStep Allocations'!C50,'Baselines+Historic Spend Factor'!C$9:C$159,0))</f>
        <v>15949026.422688918</v>
      </c>
      <c r="BJ50" s="154">
        <f t="shared" si="2"/>
        <v>16200188.586729383</v>
      </c>
      <c r="BK50" s="155">
        <f t="shared" si="44"/>
        <v>1.5747805375954771E-2</v>
      </c>
      <c r="BL50" s="156">
        <f t="shared" si="45"/>
        <v>554.03263669463468</v>
      </c>
      <c r="BM50" s="148">
        <f t="shared" si="5"/>
        <v>562.35903491015176</v>
      </c>
      <c r="BN50" s="148">
        <f t="shared" si="46"/>
        <v>562.35903491015176</v>
      </c>
      <c r="BO50" s="148">
        <f t="shared" si="6"/>
        <v>14628848.586729383</v>
      </c>
      <c r="BP50" s="144">
        <f t="shared" si="7"/>
        <v>16200188.586729383</v>
      </c>
      <c r="BQ50" s="148">
        <v>16061568.148342356</v>
      </c>
      <c r="BR50" s="157">
        <f t="shared" si="47"/>
        <v>8.6305668977493255E-3</v>
      </c>
      <c r="BT50" s="94"/>
      <c r="BU50" s="158"/>
      <c r="BX50" s="94"/>
    </row>
    <row r="51" spans="1:76" ht="15.4" x14ac:dyDescent="0.45">
      <c r="A51" s="139" t="s">
        <v>148</v>
      </c>
      <c r="B51" s="140" t="s">
        <v>145</v>
      </c>
      <c r="C51" s="102">
        <v>393</v>
      </c>
      <c r="D51" s="141" t="s">
        <v>155</v>
      </c>
      <c r="E51" s="348">
        <v>1</v>
      </c>
      <c r="F51" s="142">
        <v>498</v>
      </c>
      <c r="G51" s="143">
        <f t="shared" si="8"/>
        <v>4000</v>
      </c>
      <c r="H51" s="144">
        <f t="shared" si="9"/>
        <v>1992000</v>
      </c>
      <c r="I51" s="144">
        <f>INDEX('Baselines+Historic Spend Factor'!$Q$9:$Q$159,MATCH(C51,'Baselines+Historic Spend Factor'!$C$9:$C$159,0))</f>
        <v>7344924.7471680511</v>
      </c>
      <c r="J51" s="142">
        <v>28195.165999999997</v>
      </c>
      <c r="K51" s="145">
        <f t="shared" si="10"/>
        <v>28195.165999999997</v>
      </c>
      <c r="L51" s="144">
        <f t="shared" si="11"/>
        <v>3303726.4920024415</v>
      </c>
      <c r="M51" s="142">
        <v>4214</v>
      </c>
      <c r="N51" s="145">
        <f t="shared" si="12"/>
        <v>4214</v>
      </c>
      <c r="O51" s="144">
        <f t="shared" si="13"/>
        <v>1033839.8923537686</v>
      </c>
      <c r="P51" s="142">
        <v>2890</v>
      </c>
      <c r="Q51" s="145">
        <f t="shared" si="14"/>
        <v>2890</v>
      </c>
      <c r="R51" s="147">
        <f t="shared" si="15"/>
        <v>98381.673670700649</v>
      </c>
      <c r="S51" s="142">
        <v>2158</v>
      </c>
      <c r="T51" s="145">
        <f t="shared" si="16"/>
        <v>2158</v>
      </c>
      <c r="U51" s="147">
        <f t="shared" si="17"/>
        <v>95410.979125629354</v>
      </c>
      <c r="V51" s="142">
        <v>3915</v>
      </c>
      <c r="W51" s="145">
        <f t="shared" si="18"/>
        <v>3915</v>
      </c>
      <c r="X51" s="147">
        <f t="shared" si="19"/>
        <v>236083.89918427364</v>
      </c>
      <c r="Y51" s="142">
        <v>4342</v>
      </c>
      <c r="Z51" s="145">
        <f t="shared" si="20"/>
        <v>4342</v>
      </c>
      <c r="AA51" s="147">
        <f t="shared" si="21"/>
        <v>280062.57470870856</v>
      </c>
      <c r="AB51" s="142">
        <v>4096</v>
      </c>
      <c r="AC51" s="145">
        <f t="shared" si="22"/>
        <v>4096</v>
      </c>
      <c r="AD51" s="147">
        <f t="shared" si="23"/>
        <v>289305.31320447032</v>
      </c>
      <c r="AE51" s="142">
        <v>1527</v>
      </c>
      <c r="AF51" s="145">
        <f t="shared" si="24"/>
        <v>1527</v>
      </c>
      <c r="AG51" s="147">
        <f t="shared" si="25"/>
        <v>145944.4461941247</v>
      </c>
      <c r="AH51" s="144">
        <f t="shared" si="26"/>
        <v>1145188.8860879072</v>
      </c>
      <c r="AI51" s="142">
        <v>178</v>
      </c>
      <c r="AJ51" s="145">
        <f t="shared" si="27"/>
        <v>178</v>
      </c>
      <c r="AK51" s="147">
        <f t="shared" si="28"/>
        <v>549378.70691011299</v>
      </c>
      <c r="AL51" s="142">
        <v>1300</v>
      </c>
      <c r="AM51" s="145">
        <f t="shared" si="29"/>
        <v>1300</v>
      </c>
      <c r="AN51" s="147">
        <f t="shared" si="30"/>
        <v>662627.98981951608</v>
      </c>
      <c r="AO51" s="142">
        <v>298</v>
      </c>
      <c r="AP51" s="145">
        <f t="shared" si="31"/>
        <v>298</v>
      </c>
      <c r="AQ51" s="147">
        <f t="shared" si="32"/>
        <v>524885.06858978758</v>
      </c>
      <c r="AR51" s="142">
        <v>374</v>
      </c>
      <c r="AS51" s="145">
        <f t="shared" si="33"/>
        <v>374</v>
      </c>
      <c r="AT51" s="147">
        <f t="shared" si="34"/>
        <v>541050.56133054674</v>
      </c>
      <c r="AU51" s="144">
        <f t="shared" si="35"/>
        <v>15105622.344262132</v>
      </c>
      <c r="AV51" s="148">
        <f>INDEX('Baselines+Historic Spend Factor'!P$9:P$159,MATCH('2019-20 StepbyStep Allocations'!C51,'Baselines+Historic Spend Factor'!C$9:C$159,0))</f>
        <v>14689849.494336102</v>
      </c>
      <c r="AW51" s="149">
        <v>27871.707999999999</v>
      </c>
      <c r="AX51" s="150">
        <f t="shared" si="36"/>
        <v>527.05236056348258</v>
      </c>
      <c r="AY51" s="148">
        <f t="shared" si="37"/>
        <v>532.3228841691174</v>
      </c>
      <c r="AZ51" s="148">
        <f t="shared" si="38"/>
        <v>535.75220462479751</v>
      </c>
      <c r="BA51" s="148">
        <f t="shared" si="39"/>
        <v>535.75220462479751</v>
      </c>
      <c r="BB51" s="151">
        <f t="shared" si="40"/>
        <v>0</v>
      </c>
      <c r="BC51" s="148">
        <f t="shared" si="41"/>
        <v>0</v>
      </c>
      <c r="BD51" s="144">
        <f t="shared" si="42"/>
        <v>0</v>
      </c>
      <c r="BE51" s="144">
        <f t="shared" si="4"/>
        <v>15105622.344262132</v>
      </c>
      <c r="BF51" s="144">
        <f>INDEX('Hospital Education Funding'!$G$9:$G$159,MATCH(C51,'Hospital Education Funding'!$C$9:$C$158,0))</f>
        <v>0</v>
      </c>
      <c r="BG51" s="152">
        <f>INDEX('Import|Export Adjustments Data'!$Q$9:$Q$159,MATCH('2019-20 StepbyStep Allocations'!$C51,'Import|Export Adjustments Data'!$C$9:$C$159,0))</f>
        <v>29</v>
      </c>
      <c r="BH51" s="144">
        <f t="shared" si="43"/>
        <v>174000</v>
      </c>
      <c r="BI51" s="153">
        <f>INDEX('Baselines+Historic Spend Factor'!$F$9:$F$159,MATCH('2019-20 StepbyStep Allocations'!C51,'Baselines+Historic Spend Factor'!C$9:C$159,0))-INDEX('Baselines+Historic Spend Factor'!$G$9:$G$159,MATCH('2019-20 StepbyStep Allocations'!C51,'Baselines+Historic Spend Factor'!C$9:C$159,0))</f>
        <v>16555849.494336102</v>
      </c>
      <c r="BJ51" s="154">
        <f t="shared" si="2"/>
        <v>17271622.344262131</v>
      </c>
      <c r="BK51" s="155">
        <f t="shared" si="44"/>
        <v>4.3233834070000476E-2</v>
      </c>
      <c r="BL51" s="156">
        <f t="shared" si="45"/>
        <v>527.05236056348258</v>
      </c>
      <c r="BM51" s="148">
        <f t="shared" si="5"/>
        <v>535.75220462479751</v>
      </c>
      <c r="BN51" s="148">
        <f t="shared" si="46"/>
        <v>535.75220462479751</v>
      </c>
      <c r="BO51" s="148">
        <f t="shared" si="6"/>
        <v>15105622.344262132</v>
      </c>
      <c r="BP51" s="144">
        <f t="shared" si="7"/>
        <v>17271622.344262131</v>
      </c>
      <c r="BQ51" s="148">
        <v>17110325.832629085</v>
      </c>
      <c r="BR51" s="157">
        <f t="shared" si="47"/>
        <v>9.4268521365885594E-3</v>
      </c>
      <c r="BT51" s="94"/>
      <c r="BU51" s="158"/>
      <c r="BX51" s="94"/>
    </row>
    <row r="52" spans="1:76" ht="15.4" x14ac:dyDescent="0.45">
      <c r="A52" s="139" t="s">
        <v>229</v>
      </c>
      <c r="B52" s="140" t="s">
        <v>145</v>
      </c>
      <c r="C52" s="102">
        <v>808</v>
      </c>
      <c r="D52" s="141" t="s">
        <v>156</v>
      </c>
      <c r="E52" s="348">
        <v>1</v>
      </c>
      <c r="F52" s="142">
        <v>555</v>
      </c>
      <c r="G52" s="143">
        <f t="shared" si="8"/>
        <v>4000</v>
      </c>
      <c r="H52" s="144">
        <f t="shared" si="9"/>
        <v>2220000</v>
      </c>
      <c r="I52" s="144">
        <f>INDEX('Baselines+Historic Spend Factor'!$Q$9:$Q$159,MATCH(C52,'Baselines+Historic Spend Factor'!$C$9:$C$159,0))</f>
        <v>11114311.345924458</v>
      </c>
      <c r="J52" s="142">
        <v>41223.574000000008</v>
      </c>
      <c r="K52" s="145">
        <f t="shared" si="10"/>
        <v>41223.574000000008</v>
      </c>
      <c r="L52" s="144">
        <f t="shared" si="11"/>
        <v>4830310.7532270988</v>
      </c>
      <c r="M52" s="142">
        <v>5060</v>
      </c>
      <c r="N52" s="145">
        <f t="shared" si="12"/>
        <v>5060</v>
      </c>
      <c r="O52" s="144">
        <f t="shared" si="13"/>
        <v>1241392.9414594374</v>
      </c>
      <c r="P52" s="142">
        <v>1878</v>
      </c>
      <c r="Q52" s="145">
        <f t="shared" si="14"/>
        <v>1878</v>
      </c>
      <c r="R52" s="147">
        <f t="shared" si="15"/>
        <v>63931.066835147343</v>
      </c>
      <c r="S52" s="142">
        <v>3304</v>
      </c>
      <c r="T52" s="145">
        <f t="shared" si="16"/>
        <v>3304</v>
      </c>
      <c r="U52" s="147">
        <f t="shared" si="17"/>
        <v>146078.71873543994</v>
      </c>
      <c r="V52" s="142">
        <v>2979</v>
      </c>
      <c r="W52" s="145">
        <f t="shared" si="18"/>
        <v>2979</v>
      </c>
      <c r="X52" s="147">
        <f t="shared" si="19"/>
        <v>179640.85202297606</v>
      </c>
      <c r="Y52" s="142">
        <v>3337</v>
      </c>
      <c r="Z52" s="145">
        <f t="shared" si="20"/>
        <v>3337</v>
      </c>
      <c r="AA52" s="147">
        <f t="shared" si="21"/>
        <v>215239.24730607105</v>
      </c>
      <c r="AB52" s="142">
        <v>4863</v>
      </c>
      <c r="AC52" s="145">
        <f t="shared" si="22"/>
        <v>4863</v>
      </c>
      <c r="AD52" s="147">
        <f t="shared" si="23"/>
        <v>343479.42825032695</v>
      </c>
      <c r="AE52" s="142">
        <v>2876</v>
      </c>
      <c r="AF52" s="145">
        <f t="shared" si="24"/>
        <v>2876</v>
      </c>
      <c r="AG52" s="147">
        <f t="shared" si="25"/>
        <v>274876.37672187469</v>
      </c>
      <c r="AH52" s="144">
        <f t="shared" si="26"/>
        <v>1223245.689871836</v>
      </c>
      <c r="AI52" s="142">
        <v>289</v>
      </c>
      <c r="AJ52" s="145">
        <f t="shared" si="27"/>
        <v>289</v>
      </c>
      <c r="AK52" s="147">
        <f t="shared" si="28"/>
        <v>891968.79942147562</v>
      </c>
      <c r="AL52" s="142">
        <v>1820</v>
      </c>
      <c r="AM52" s="145">
        <f t="shared" si="29"/>
        <v>1820</v>
      </c>
      <c r="AN52" s="147">
        <f t="shared" si="30"/>
        <v>927679.18574732251</v>
      </c>
      <c r="AO52" s="142">
        <v>478</v>
      </c>
      <c r="AP52" s="145">
        <f t="shared" si="31"/>
        <v>478</v>
      </c>
      <c r="AQ52" s="147">
        <f t="shared" si="32"/>
        <v>841929.74089234381</v>
      </c>
      <c r="AR52" s="142">
        <v>663</v>
      </c>
      <c r="AS52" s="145">
        <f t="shared" si="33"/>
        <v>663</v>
      </c>
      <c r="AT52" s="147">
        <f t="shared" si="34"/>
        <v>959135.08599506004</v>
      </c>
      <c r="AU52" s="144">
        <f t="shared" si="35"/>
        <v>22029973.542539027</v>
      </c>
      <c r="AV52" s="148">
        <f>INDEX('Baselines+Historic Spend Factor'!P$9:P$159,MATCH('2019-20 StepbyStep Allocations'!C52,'Baselines+Historic Spend Factor'!C$9:C$159,0))</f>
        <v>22228622.691848915</v>
      </c>
      <c r="AW52" s="149">
        <v>40925.57</v>
      </c>
      <c r="AX52" s="150">
        <f t="shared" si="36"/>
        <v>543.14754056813172</v>
      </c>
      <c r="AY52" s="148">
        <f t="shared" si="37"/>
        <v>548.57901597381306</v>
      </c>
      <c r="AZ52" s="148">
        <f t="shared" si="38"/>
        <v>534.40231898716547</v>
      </c>
      <c r="BA52" s="148">
        <f t="shared" si="39"/>
        <v>548.57901597381306</v>
      </c>
      <c r="BB52" s="151">
        <f t="shared" si="40"/>
        <v>584414.11730464385</v>
      </c>
      <c r="BC52" s="148">
        <f t="shared" si="41"/>
        <v>0</v>
      </c>
      <c r="BD52" s="144">
        <f t="shared" si="42"/>
        <v>584414.11730464385</v>
      </c>
      <c r="BE52" s="144">
        <f t="shared" si="4"/>
        <v>22614387.659843668</v>
      </c>
      <c r="BF52" s="144">
        <f>INDEX('Hospital Education Funding'!$G$9:$G$159,MATCH(C52,'Hospital Education Funding'!$C$9:$C$158,0))</f>
        <v>25250</v>
      </c>
      <c r="BG52" s="152">
        <f>INDEX('Import|Export Adjustments Data'!$Q$9:$Q$159,MATCH('2019-20 StepbyStep Allocations'!$C52,'Import|Export Adjustments Data'!$C$9:$C$159,0))</f>
        <v>-134.5</v>
      </c>
      <c r="BH52" s="144">
        <f t="shared" si="43"/>
        <v>-807000</v>
      </c>
      <c r="BI52" s="153">
        <f>INDEX('Baselines+Historic Spend Factor'!$F$9:$F$159,MATCH('2019-20 StepbyStep Allocations'!C52,'Baselines+Historic Spend Factor'!C$9:C$159,0))-INDEX('Baselines+Historic Spend Factor'!$G$9:$G$159,MATCH('2019-20 StepbyStep Allocations'!C52,'Baselines+Historic Spend Factor'!C$9:C$159,0))</f>
        <v>23831622.691848915</v>
      </c>
      <c r="BJ52" s="154">
        <f t="shared" si="2"/>
        <v>24052637.659843668</v>
      </c>
      <c r="BK52" s="155">
        <f t="shared" si="44"/>
        <v>9.2740209448829436E-3</v>
      </c>
      <c r="BL52" s="156">
        <f t="shared" si="45"/>
        <v>543.14754056813172</v>
      </c>
      <c r="BM52" s="148">
        <f t="shared" si="5"/>
        <v>548.57901597381306</v>
      </c>
      <c r="BN52" s="148">
        <f t="shared" si="46"/>
        <v>548.57901597381306</v>
      </c>
      <c r="BO52" s="148">
        <f t="shared" si="6"/>
        <v>22614387.659843668</v>
      </c>
      <c r="BP52" s="144">
        <f t="shared" si="7"/>
        <v>24052637.659843668</v>
      </c>
      <c r="BQ52" s="148">
        <v>23864877.109254222</v>
      </c>
      <c r="BR52" s="157">
        <f t="shared" si="47"/>
        <v>7.8676521035441205E-3</v>
      </c>
      <c r="BT52" s="94"/>
      <c r="BU52" s="158"/>
      <c r="BX52" s="94"/>
    </row>
    <row r="53" spans="1:76" ht="15.4" x14ac:dyDescent="0.45">
      <c r="A53" s="139" t="s">
        <v>191</v>
      </c>
      <c r="B53" s="140" t="s">
        <v>145</v>
      </c>
      <c r="C53" s="102">
        <v>394</v>
      </c>
      <c r="D53" s="141" t="s">
        <v>157</v>
      </c>
      <c r="E53" s="348">
        <v>1</v>
      </c>
      <c r="F53" s="142">
        <v>653</v>
      </c>
      <c r="G53" s="143">
        <f t="shared" si="8"/>
        <v>4000</v>
      </c>
      <c r="H53" s="144">
        <f t="shared" si="9"/>
        <v>2612000</v>
      </c>
      <c r="I53" s="144">
        <f>INDEX('Baselines+Historic Spend Factor'!$Q$9:$Q$159,MATCH(C53,'Baselines+Historic Spend Factor'!$C$9:$C$159,0))</f>
        <v>9905450.3917676583</v>
      </c>
      <c r="J53" s="142">
        <v>51655.03</v>
      </c>
      <c r="K53" s="145">
        <f t="shared" si="10"/>
        <v>51655.03</v>
      </c>
      <c r="L53" s="144">
        <f t="shared" si="11"/>
        <v>6052601.0400570398</v>
      </c>
      <c r="M53" s="142">
        <v>8548.5</v>
      </c>
      <c r="N53" s="145">
        <f t="shared" si="12"/>
        <v>8548.5</v>
      </c>
      <c r="O53" s="144">
        <f t="shared" si="13"/>
        <v>2097242.6008035573</v>
      </c>
      <c r="P53" s="142">
        <v>5796</v>
      </c>
      <c r="Q53" s="145">
        <f t="shared" si="14"/>
        <v>5796</v>
      </c>
      <c r="R53" s="147">
        <f t="shared" si="15"/>
        <v>197308.02096725986</v>
      </c>
      <c r="S53" s="142">
        <v>4107</v>
      </c>
      <c r="T53" s="145">
        <f t="shared" si="16"/>
        <v>4107</v>
      </c>
      <c r="U53" s="147">
        <f t="shared" si="17"/>
        <v>181581.50661212223</v>
      </c>
      <c r="V53" s="142">
        <v>6680</v>
      </c>
      <c r="W53" s="145">
        <f t="shared" si="18"/>
        <v>6680</v>
      </c>
      <c r="X53" s="147">
        <f t="shared" si="19"/>
        <v>402820.03743319237</v>
      </c>
      <c r="Y53" s="142">
        <v>6517</v>
      </c>
      <c r="Z53" s="145">
        <f t="shared" si="20"/>
        <v>6517</v>
      </c>
      <c r="AA53" s="147">
        <f t="shared" si="21"/>
        <v>420351.86535620771</v>
      </c>
      <c r="AB53" s="142">
        <v>6666</v>
      </c>
      <c r="AC53" s="145">
        <f t="shared" si="22"/>
        <v>6666</v>
      </c>
      <c r="AD53" s="147">
        <f t="shared" si="23"/>
        <v>470827.44575707987</v>
      </c>
      <c r="AE53" s="142">
        <v>2582</v>
      </c>
      <c r="AF53" s="145">
        <f t="shared" si="24"/>
        <v>2582</v>
      </c>
      <c r="AG53" s="147">
        <f t="shared" si="25"/>
        <v>246777.05309314339</v>
      </c>
      <c r="AH53" s="144">
        <f t="shared" si="26"/>
        <v>1919665.9292190054</v>
      </c>
      <c r="AI53" s="142">
        <v>328</v>
      </c>
      <c r="AJ53" s="145">
        <f t="shared" si="27"/>
        <v>328</v>
      </c>
      <c r="AK53" s="147">
        <f t="shared" si="28"/>
        <v>1012338.2913849273</v>
      </c>
      <c r="AL53" s="142">
        <v>2600</v>
      </c>
      <c r="AM53" s="145">
        <f t="shared" si="29"/>
        <v>2600</v>
      </c>
      <c r="AN53" s="147">
        <f t="shared" si="30"/>
        <v>1325255.9796390322</v>
      </c>
      <c r="AO53" s="142">
        <v>539</v>
      </c>
      <c r="AP53" s="145">
        <f t="shared" si="31"/>
        <v>539</v>
      </c>
      <c r="AQ53" s="147">
        <f t="shared" si="32"/>
        <v>949372.657617099</v>
      </c>
      <c r="AR53" s="142">
        <v>829</v>
      </c>
      <c r="AS53" s="145">
        <f t="shared" si="33"/>
        <v>829</v>
      </c>
      <c r="AT53" s="147">
        <f t="shared" si="34"/>
        <v>1199280.5223075487</v>
      </c>
      <c r="AU53" s="144">
        <f t="shared" si="35"/>
        <v>24461207.412795868</v>
      </c>
      <c r="AV53" s="148">
        <f>INDEX('Baselines+Historic Spend Factor'!P$9:P$159,MATCH('2019-20 StepbyStep Allocations'!C53,'Baselines+Historic Spend Factor'!C$9:C$159,0))</f>
        <v>19810900.783535317</v>
      </c>
      <c r="AW53" s="149">
        <v>51516.834999999999</v>
      </c>
      <c r="AX53" s="150">
        <f t="shared" si="36"/>
        <v>384.55197768914405</v>
      </c>
      <c r="AY53" s="148">
        <f t="shared" si="37"/>
        <v>388.39749746603547</v>
      </c>
      <c r="AZ53" s="148">
        <f t="shared" si="38"/>
        <v>473.54937965955821</v>
      </c>
      <c r="BA53" s="148">
        <f t="shared" si="39"/>
        <v>473.54937965955821</v>
      </c>
      <c r="BB53" s="151">
        <f t="shared" si="40"/>
        <v>0</v>
      </c>
      <c r="BC53" s="148">
        <f t="shared" si="41"/>
        <v>0</v>
      </c>
      <c r="BD53" s="144">
        <f t="shared" si="42"/>
        <v>0</v>
      </c>
      <c r="BE53" s="144">
        <f t="shared" si="4"/>
        <v>24461207.412795868</v>
      </c>
      <c r="BF53" s="144">
        <f>INDEX('Hospital Education Funding'!$G$9:$G$159,MATCH(C53,'Hospital Education Funding'!$C$9:$C$158,0))</f>
        <v>0</v>
      </c>
      <c r="BG53" s="152">
        <f>INDEX('Import|Export Adjustments Data'!$Q$9:$Q$159,MATCH('2019-20 StepbyStep Allocations'!$C53,'Import|Export Adjustments Data'!$C$9:$C$159,0))</f>
        <v>-64.5</v>
      </c>
      <c r="BH53" s="144">
        <f t="shared" si="43"/>
        <v>-387000</v>
      </c>
      <c r="BI53" s="153">
        <f>INDEX('Baselines+Historic Spend Factor'!$F$9:$F$159,MATCH('2019-20 StepbyStep Allocations'!C53,'Baselines+Historic Spend Factor'!C$9:C$159,0))-INDEX('Baselines+Historic Spend Factor'!$G$9:$G$159,MATCH('2019-20 StepbyStep Allocations'!C53,'Baselines+Historic Spend Factor'!C$9:C$159,0))</f>
        <v>22326900.783535317</v>
      </c>
      <c r="BJ53" s="154">
        <f t="shared" si="2"/>
        <v>26686207.412795868</v>
      </c>
      <c r="BK53" s="155">
        <f t="shared" si="44"/>
        <v>0.195249070684959</v>
      </c>
      <c r="BL53" s="156">
        <f t="shared" si="45"/>
        <v>384.55197768914405</v>
      </c>
      <c r="BM53" s="148">
        <f t="shared" si="5"/>
        <v>473.54937965955821</v>
      </c>
      <c r="BN53" s="148">
        <f t="shared" si="46"/>
        <v>407.97119313041293</v>
      </c>
      <c r="BO53" s="148">
        <f t="shared" si="6"/>
        <v>21073764.220287275</v>
      </c>
      <c r="BP53" s="144">
        <f t="shared" si="7"/>
        <v>23298764.220287275</v>
      </c>
      <c r="BQ53" s="148">
        <v>22625007.982003301</v>
      </c>
      <c r="BR53" s="157">
        <f t="shared" si="47"/>
        <v>2.97792707441209E-2</v>
      </c>
      <c r="BT53" s="94"/>
      <c r="BU53" s="158"/>
      <c r="BX53" s="94"/>
    </row>
    <row r="54" spans="1:76" ht="15.4" x14ac:dyDescent="0.45">
      <c r="A54" s="139" t="s">
        <v>133</v>
      </c>
      <c r="B54" s="140" t="s">
        <v>158</v>
      </c>
      <c r="C54" s="102">
        <v>889</v>
      </c>
      <c r="D54" s="141" t="s">
        <v>159</v>
      </c>
      <c r="E54" s="348">
        <v>1</v>
      </c>
      <c r="F54" s="142">
        <v>264</v>
      </c>
      <c r="G54" s="143">
        <f t="shared" si="8"/>
        <v>4000</v>
      </c>
      <c r="H54" s="144">
        <f t="shared" si="9"/>
        <v>1056000</v>
      </c>
      <c r="I54" s="144">
        <f>INDEX('Baselines+Historic Spend Factor'!$Q$9:$Q$159,MATCH(C54,'Baselines+Historic Spend Factor'!$C$9:$C$159,0))</f>
        <v>8437359.9312952347</v>
      </c>
      <c r="J54" s="142">
        <v>36156.826999999997</v>
      </c>
      <c r="K54" s="145">
        <f t="shared" si="10"/>
        <v>36156.826999999997</v>
      </c>
      <c r="L54" s="144">
        <f t="shared" si="11"/>
        <v>4236622.2361183884</v>
      </c>
      <c r="M54" s="142">
        <v>4139.9999999999991</v>
      </c>
      <c r="N54" s="145">
        <f t="shared" si="12"/>
        <v>4139.9999999999991</v>
      </c>
      <c r="O54" s="144">
        <f t="shared" si="13"/>
        <v>1015685.1339213577</v>
      </c>
      <c r="P54" s="142">
        <v>6339</v>
      </c>
      <c r="Q54" s="145">
        <f t="shared" si="14"/>
        <v>6339</v>
      </c>
      <c r="R54" s="147">
        <f t="shared" si="15"/>
        <v>215792.88214483441</v>
      </c>
      <c r="S54" s="142">
        <v>4103</v>
      </c>
      <c r="T54" s="145">
        <f t="shared" si="16"/>
        <v>4103</v>
      </c>
      <c r="U54" s="147">
        <f t="shared" si="17"/>
        <v>181404.65586304784</v>
      </c>
      <c r="V54" s="142">
        <v>2642</v>
      </c>
      <c r="W54" s="145">
        <f t="shared" si="18"/>
        <v>2642</v>
      </c>
      <c r="X54" s="147">
        <f t="shared" si="19"/>
        <v>159318.94294887639</v>
      </c>
      <c r="Y54" s="142">
        <v>1929</v>
      </c>
      <c r="Z54" s="145">
        <f t="shared" si="20"/>
        <v>1929</v>
      </c>
      <c r="AA54" s="147">
        <f t="shared" si="21"/>
        <v>124422.08811909231</v>
      </c>
      <c r="AB54" s="142">
        <v>3108</v>
      </c>
      <c r="AC54" s="145">
        <f t="shared" si="22"/>
        <v>3108</v>
      </c>
      <c r="AD54" s="147">
        <f t="shared" si="23"/>
        <v>219521.70738268891</v>
      </c>
      <c r="AE54" s="142">
        <v>2260</v>
      </c>
      <c r="AF54" s="145">
        <f t="shared" si="24"/>
        <v>2260</v>
      </c>
      <c r="AG54" s="147">
        <f t="shared" si="25"/>
        <v>216001.60340453294</v>
      </c>
      <c r="AH54" s="144">
        <f t="shared" si="26"/>
        <v>1116461.8798630729</v>
      </c>
      <c r="AI54" s="142">
        <v>250</v>
      </c>
      <c r="AJ54" s="145">
        <f t="shared" si="27"/>
        <v>250</v>
      </c>
      <c r="AK54" s="147">
        <f t="shared" si="28"/>
        <v>771599.30745802389</v>
      </c>
      <c r="AL54" s="142">
        <v>1230</v>
      </c>
      <c r="AM54" s="145">
        <f t="shared" si="29"/>
        <v>1230</v>
      </c>
      <c r="AN54" s="147">
        <f t="shared" si="30"/>
        <v>626948.02113692684</v>
      </c>
      <c r="AO54" s="142">
        <v>435</v>
      </c>
      <c r="AP54" s="145">
        <f t="shared" si="31"/>
        <v>435</v>
      </c>
      <c r="AQ54" s="147">
        <f t="shared" si="32"/>
        <v>766191.29139784421</v>
      </c>
      <c r="AR54" s="142">
        <v>450</v>
      </c>
      <c r="AS54" s="145">
        <f t="shared" si="33"/>
        <v>450</v>
      </c>
      <c r="AT54" s="147">
        <f t="shared" si="34"/>
        <v>650996.66470252944</v>
      </c>
      <c r="AU54" s="144">
        <f t="shared" si="35"/>
        <v>17621864.465893377</v>
      </c>
      <c r="AV54" s="148">
        <f>INDEX('Baselines+Historic Spend Factor'!P$9:P$159,MATCH('2019-20 StepbyStep Allocations'!C54,'Baselines+Historic Spend Factor'!C$9:C$159,0))</f>
        <v>16874719.862590469</v>
      </c>
      <c r="AW54" s="149">
        <v>36172.703999999998</v>
      </c>
      <c r="AX54" s="150">
        <f t="shared" si="36"/>
        <v>466.50424205474025</v>
      </c>
      <c r="AY54" s="148">
        <f t="shared" si="37"/>
        <v>471.16928447528767</v>
      </c>
      <c r="AZ54" s="148">
        <f t="shared" si="38"/>
        <v>487.37308906816901</v>
      </c>
      <c r="BA54" s="148">
        <f t="shared" si="39"/>
        <v>487.37308906816901</v>
      </c>
      <c r="BB54" s="151">
        <f t="shared" si="40"/>
        <v>0</v>
      </c>
      <c r="BC54" s="148">
        <f t="shared" si="41"/>
        <v>0</v>
      </c>
      <c r="BD54" s="144">
        <f t="shared" si="42"/>
        <v>0</v>
      </c>
      <c r="BE54" s="144">
        <f t="shared" si="4"/>
        <v>17621864.465893377</v>
      </c>
      <c r="BF54" s="144">
        <f>INDEX('Hospital Education Funding'!$G$9:$G$159,MATCH(C54,'Hospital Education Funding'!$C$9:$C$158,0))</f>
        <v>364004.00000000006</v>
      </c>
      <c r="BG54" s="152">
        <f>INDEX('Import|Export Adjustments Data'!$Q$9:$Q$159,MATCH('2019-20 StepbyStep Allocations'!$C54,'Import|Export Adjustments Data'!$C$9:$C$159,0))</f>
        <v>-10</v>
      </c>
      <c r="BH54" s="144">
        <f t="shared" si="43"/>
        <v>-60000</v>
      </c>
      <c r="BI54" s="153">
        <f>INDEX('Baselines+Historic Spend Factor'!$F$9:$F$159,MATCH('2019-20 StepbyStep Allocations'!C54,'Baselines+Historic Spend Factor'!C$9:C$159,0))-INDEX('Baselines+Historic Spend Factor'!$G$9:$G$159,MATCH('2019-20 StepbyStep Allocations'!C54,'Baselines+Historic Spend Factor'!C$9:C$159,0))</f>
        <v>18275119.862590469</v>
      </c>
      <c r="BJ54" s="154">
        <f t="shared" si="2"/>
        <v>18981868.465893377</v>
      </c>
      <c r="BK54" s="155">
        <f t="shared" si="44"/>
        <v>3.8672720541200745E-2</v>
      </c>
      <c r="BL54" s="156">
        <f t="shared" si="45"/>
        <v>466.50424205474025</v>
      </c>
      <c r="BM54" s="148">
        <f t="shared" si="5"/>
        <v>487.37308906816901</v>
      </c>
      <c r="BN54" s="148">
        <f t="shared" si="46"/>
        <v>487.37308906816901</v>
      </c>
      <c r="BO54" s="148">
        <f t="shared" si="6"/>
        <v>17621864.465893377</v>
      </c>
      <c r="BP54" s="144">
        <f t="shared" si="7"/>
        <v>18981868.465893377</v>
      </c>
      <c r="BQ54" s="148">
        <v>18691406.089589607</v>
      </c>
      <c r="BR54" s="157">
        <f t="shared" si="47"/>
        <v>1.5539889022343045E-2</v>
      </c>
      <c r="BT54" s="94"/>
      <c r="BU54" s="158"/>
      <c r="BX54" s="94"/>
    </row>
    <row r="55" spans="1:76" ht="15.4" x14ac:dyDescent="0.45">
      <c r="A55" s="139" t="s">
        <v>166</v>
      </c>
      <c r="B55" s="140" t="s">
        <v>158</v>
      </c>
      <c r="C55" s="102">
        <v>890</v>
      </c>
      <c r="D55" s="141" t="s">
        <v>160</v>
      </c>
      <c r="E55" s="348">
        <v>1</v>
      </c>
      <c r="F55" s="142">
        <v>460</v>
      </c>
      <c r="G55" s="143">
        <f t="shared" si="8"/>
        <v>4000</v>
      </c>
      <c r="H55" s="144">
        <f t="shared" si="9"/>
        <v>1840000</v>
      </c>
      <c r="I55" s="144">
        <f>INDEX('Baselines+Historic Spend Factor'!$Q$9:$Q$159,MATCH(C55,'Baselines+Historic Spend Factor'!$C$9:$C$159,0))</f>
        <v>7681927.1899473108</v>
      </c>
      <c r="J55" s="142">
        <v>26921.246999999999</v>
      </c>
      <c r="K55" s="145">
        <f t="shared" si="10"/>
        <v>26921.246999999999</v>
      </c>
      <c r="L55" s="144">
        <f t="shared" si="11"/>
        <v>3154456.9346263562</v>
      </c>
      <c r="M55" s="142">
        <v>4819</v>
      </c>
      <c r="N55" s="145">
        <f t="shared" si="12"/>
        <v>4819</v>
      </c>
      <c r="O55" s="144">
        <f t="shared" si="13"/>
        <v>1182267.309267397</v>
      </c>
      <c r="P55" s="142">
        <v>3697</v>
      </c>
      <c r="Q55" s="145">
        <f t="shared" si="14"/>
        <v>3697</v>
      </c>
      <c r="R55" s="147">
        <f t="shared" si="15"/>
        <v>125853.64967494129</v>
      </c>
      <c r="S55" s="142">
        <v>1824</v>
      </c>
      <c r="T55" s="145">
        <f t="shared" si="16"/>
        <v>1824</v>
      </c>
      <c r="U55" s="147">
        <f t="shared" si="17"/>
        <v>80643.941577918406</v>
      </c>
      <c r="V55" s="142">
        <v>1890</v>
      </c>
      <c r="W55" s="145">
        <f t="shared" si="18"/>
        <v>1890</v>
      </c>
      <c r="X55" s="147">
        <f t="shared" si="19"/>
        <v>113971.53753723556</v>
      </c>
      <c r="Y55" s="142">
        <v>2688</v>
      </c>
      <c r="Z55" s="145">
        <f t="shared" si="20"/>
        <v>2688</v>
      </c>
      <c r="AA55" s="147">
        <f t="shared" si="21"/>
        <v>173378.21299332305</v>
      </c>
      <c r="AB55" s="142">
        <v>3004</v>
      </c>
      <c r="AC55" s="145">
        <f t="shared" si="22"/>
        <v>3004</v>
      </c>
      <c r="AD55" s="147">
        <f t="shared" si="23"/>
        <v>212176.06466460667</v>
      </c>
      <c r="AE55" s="142">
        <v>5419</v>
      </c>
      <c r="AF55" s="145">
        <f t="shared" si="24"/>
        <v>5419</v>
      </c>
      <c r="AG55" s="147">
        <f t="shared" si="25"/>
        <v>517925.96851732919</v>
      </c>
      <c r="AH55" s="144">
        <f t="shared" si="26"/>
        <v>1223949.3749653541</v>
      </c>
      <c r="AI55" s="142">
        <v>187</v>
      </c>
      <c r="AJ55" s="145">
        <f t="shared" si="27"/>
        <v>187</v>
      </c>
      <c r="AK55" s="147">
        <f t="shared" si="28"/>
        <v>577156.28197860182</v>
      </c>
      <c r="AL55" s="142">
        <v>1150</v>
      </c>
      <c r="AM55" s="145">
        <f t="shared" si="29"/>
        <v>1150</v>
      </c>
      <c r="AN55" s="147">
        <f t="shared" si="30"/>
        <v>586170.91407111043</v>
      </c>
      <c r="AO55" s="142">
        <v>312</v>
      </c>
      <c r="AP55" s="145">
        <f t="shared" si="31"/>
        <v>312</v>
      </c>
      <c r="AQ55" s="147">
        <f t="shared" si="32"/>
        <v>549544.09865776415</v>
      </c>
      <c r="AR55" s="142">
        <v>475</v>
      </c>
      <c r="AS55" s="145">
        <f t="shared" si="33"/>
        <v>475</v>
      </c>
      <c r="AT55" s="147">
        <f t="shared" si="34"/>
        <v>687163.14607489214</v>
      </c>
      <c r="AU55" s="144">
        <f t="shared" si="35"/>
        <v>15642635.249588789</v>
      </c>
      <c r="AV55" s="148">
        <f>INDEX('Baselines+Historic Spend Factor'!P$9:P$159,MATCH('2019-20 StepbyStep Allocations'!C55,'Baselines+Historic Spend Factor'!C$9:C$159,0))</f>
        <v>15363854.379894622</v>
      </c>
      <c r="AW55" s="149">
        <v>26959.473000000005</v>
      </c>
      <c r="AX55" s="150">
        <f t="shared" si="36"/>
        <v>569.8870441530745</v>
      </c>
      <c r="AY55" s="148">
        <f t="shared" si="37"/>
        <v>575.58591459460524</v>
      </c>
      <c r="AZ55" s="148">
        <f t="shared" si="38"/>
        <v>581.05165966453148</v>
      </c>
      <c r="BA55" s="148">
        <f t="shared" si="39"/>
        <v>581.05165966453148</v>
      </c>
      <c r="BB55" s="151">
        <f t="shared" si="40"/>
        <v>0</v>
      </c>
      <c r="BC55" s="148">
        <f t="shared" si="41"/>
        <v>0</v>
      </c>
      <c r="BD55" s="144">
        <f t="shared" si="42"/>
        <v>0</v>
      </c>
      <c r="BE55" s="144">
        <f t="shared" si="4"/>
        <v>15642635.249588789</v>
      </c>
      <c r="BF55" s="144">
        <f>INDEX('Hospital Education Funding'!$G$9:$G$159,MATCH(C55,'Hospital Education Funding'!$C$9:$C$158,0))</f>
        <v>1143320</v>
      </c>
      <c r="BG55" s="152">
        <f>INDEX('Import|Export Adjustments Data'!$Q$9:$Q$159,MATCH('2019-20 StepbyStep Allocations'!$C55,'Import|Export Adjustments Data'!$C$9:$C$159,0))</f>
        <v>47</v>
      </c>
      <c r="BH55" s="144">
        <f t="shared" si="43"/>
        <v>282000</v>
      </c>
      <c r="BI55" s="153">
        <f>INDEX('Baselines+Historic Spend Factor'!$F$9:$F$159,MATCH('2019-20 StepbyStep Allocations'!C55,'Baselines+Historic Spend Factor'!C$9:C$159,0))-INDEX('Baselines+Historic Spend Factor'!$G$9:$G$159,MATCH('2019-20 StepbyStep Allocations'!C55,'Baselines+Historic Spend Factor'!C$9:C$159,0))</f>
        <v>18577854.379894622</v>
      </c>
      <c r="BJ55" s="154">
        <f t="shared" si="2"/>
        <v>18907955.249588788</v>
      </c>
      <c r="BK55" s="155">
        <f t="shared" si="44"/>
        <v>1.7768514218273079E-2</v>
      </c>
      <c r="BL55" s="156">
        <f t="shared" si="45"/>
        <v>569.8870441530745</v>
      </c>
      <c r="BM55" s="148">
        <f t="shared" si="5"/>
        <v>581.05165966453148</v>
      </c>
      <c r="BN55" s="148">
        <f t="shared" si="46"/>
        <v>581.05165966453148</v>
      </c>
      <c r="BO55" s="148">
        <f t="shared" si="6"/>
        <v>15642635.249588789</v>
      </c>
      <c r="BP55" s="144">
        <f t="shared" si="7"/>
        <v>18907955.249588788</v>
      </c>
      <c r="BQ55" s="148">
        <v>18885463.078591533</v>
      </c>
      <c r="BR55" s="157">
        <f t="shared" si="47"/>
        <v>1.1909779973968693E-3</v>
      </c>
      <c r="BT55" s="94"/>
      <c r="BU55" s="158"/>
      <c r="BX55" s="94"/>
    </row>
    <row r="56" spans="1:76" ht="15.4" x14ac:dyDescent="0.45">
      <c r="A56" s="139" t="s">
        <v>134</v>
      </c>
      <c r="B56" s="140" t="s">
        <v>158</v>
      </c>
      <c r="C56" s="102">
        <v>350</v>
      </c>
      <c r="D56" s="141" t="s">
        <v>161</v>
      </c>
      <c r="E56" s="348">
        <v>1.0082072667712707</v>
      </c>
      <c r="F56" s="142">
        <v>743</v>
      </c>
      <c r="G56" s="143">
        <f t="shared" si="8"/>
        <v>4032.8290670850829</v>
      </c>
      <c r="H56" s="144">
        <f t="shared" si="9"/>
        <v>2996391.9968442167</v>
      </c>
      <c r="I56" s="144">
        <f>INDEX('Baselines+Historic Spend Factor'!$Q$9:$Q$159,MATCH(C56,'Baselines+Historic Spend Factor'!$C$9:$C$159,0))</f>
        <v>15225443.841654262</v>
      </c>
      <c r="J56" s="142">
        <v>63970.794000000002</v>
      </c>
      <c r="K56" s="145">
        <f t="shared" si="10"/>
        <v>64495.819371928003</v>
      </c>
      <c r="L56" s="144">
        <f t="shared" si="11"/>
        <v>7557201.3685765434</v>
      </c>
      <c r="M56" s="142">
        <v>7974.0000000000045</v>
      </c>
      <c r="N56" s="145">
        <f t="shared" si="12"/>
        <v>8039.4447452341174</v>
      </c>
      <c r="O56" s="144">
        <f t="shared" si="13"/>
        <v>1972353.7470329641</v>
      </c>
      <c r="P56" s="142">
        <v>8499</v>
      </c>
      <c r="Q56" s="145">
        <f t="shared" si="14"/>
        <v>8568.7535602890293</v>
      </c>
      <c r="R56" s="147">
        <f t="shared" si="15"/>
        <v>291698.37942318677</v>
      </c>
      <c r="S56" s="142">
        <v>11561</v>
      </c>
      <c r="T56" s="145">
        <f t="shared" si="16"/>
        <v>11655.88421114266</v>
      </c>
      <c r="U56" s="147">
        <f t="shared" si="17"/>
        <v>515337.9634662118</v>
      </c>
      <c r="V56" s="142">
        <v>5254</v>
      </c>
      <c r="W56" s="145">
        <f t="shared" si="18"/>
        <v>5297.1209796162566</v>
      </c>
      <c r="X56" s="147">
        <f t="shared" si="19"/>
        <v>319429.11246963608</v>
      </c>
      <c r="Y56" s="142">
        <v>4352</v>
      </c>
      <c r="Z56" s="145">
        <f t="shared" si="20"/>
        <v>4387.7180249885705</v>
      </c>
      <c r="AA56" s="147">
        <f t="shared" si="21"/>
        <v>283011.42495949072</v>
      </c>
      <c r="AB56" s="142">
        <v>4886</v>
      </c>
      <c r="AC56" s="145">
        <f t="shared" si="22"/>
        <v>4926.100705444429</v>
      </c>
      <c r="AD56" s="147">
        <f t="shared" si="23"/>
        <v>347936.30553353584</v>
      </c>
      <c r="AE56" s="142">
        <v>3031</v>
      </c>
      <c r="AF56" s="145">
        <f t="shared" si="24"/>
        <v>3055.8762255837214</v>
      </c>
      <c r="AG56" s="147">
        <f t="shared" si="25"/>
        <v>292068.2143946354</v>
      </c>
      <c r="AH56" s="144">
        <f t="shared" si="26"/>
        <v>2049481.4002466965</v>
      </c>
      <c r="AI56" s="142">
        <v>385</v>
      </c>
      <c r="AJ56" s="145">
        <f t="shared" si="27"/>
        <v>388.15979770693923</v>
      </c>
      <c r="AK56" s="147">
        <f t="shared" si="28"/>
        <v>1198015.3243748839</v>
      </c>
      <c r="AL56" s="142">
        <v>2280</v>
      </c>
      <c r="AM56" s="145">
        <f t="shared" si="29"/>
        <v>2298.7125682384972</v>
      </c>
      <c r="AN56" s="147">
        <f t="shared" si="30"/>
        <v>1171685.6063574867</v>
      </c>
      <c r="AO56" s="142">
        <v>710</v>
      </c>
      <c r="AP56" s="145">
        <f t="shared" si="31"/>
        <v>715.82715940760215</v>
      </c>
      <c r="AQ56" s="147">
        <f t="shared" si="32"/>
        <v>1260828.8176647385</v>
      </c>
      <c r="AR56" s="142">
        <v>914</v>
      </c>
      <c r="AS56" s="145">
        <f t="shared" si="33"/>
        <v>921.50144182894144</v>
      </c>
      <c r="AT56" s="147">
        <f t="shared" si="34"/>
        <v>1333098.5892204731</v>
      </c>
      <c r="AU56" s="144">
        <f t="shared" si="35"/>
        <v>31768108.695128042</v>
      </c>
      <c r="AV56" s="148">
        <f>INDEX('Baselines+Historic Spend Factor'!P$9:P$159,MATCH('2019-20 StepbyStep Allocations'!C56,'Baselines+Historic Spend Factor'!C$9:C$159,0))</f>
        <v>30450887.683308523</v>
      </c>
      <c r="AW56" s="149">
        <v>63072.737999999998</v>
      </c>
      <c r="AX56" s="150">
        <f t="shared" si="36"/>
        <v>482.79000799534856</v>
      </c>
      <c r="AY56" s="148">
        <f t="shared" si="37"/>
        <v>487.61790807530207</v>
      </c>
      <c r="AZ56" s="148">
        <f t="shared" si="38"/>
        <v>496.60332018277029</v>
      </c>
      <c r="BA56" s="148">
        <f t="shared" si="39"/>
        <v>496.60332018277029</v>
      </c>
      <c r="BB56" s="151">
        <f t="shared" si="40"/>
        <v>0</v>
      </c>
      <c r="BC56" s="148">
        <f t="shared" si="41"/>
        <v>0</v>
      </c>
      <c r="BD56" s="144">
        <f t="shared" si="42"/>
        <v>0</v>
      </c>
      <c r="BE56" s="144">
        <f t="shared" si="4"/>
        <v>31768108.695128042</v>
      </c>
      <c r="BF56" s="144">
        <f>INDEX('Hospital Education Funding'!$G$9:$G$159,MATCH(C56,'Hospital Education Funding'!$C$9:$C$158,0))</f>
        <v>0</v>
      </c>
      <c r="BG56" s="152">
        <f>INDEX('Import|Export Adjustments Data'!$Q$9:$Q$159,MATCH('2019-20 StepbyStep Allocations'!$C56,'Import|Export Adjustments Data'!$C$9:$C$159,0))</f>
        <v>-80</v>
      </c>
      <c r="BH56" s="144">
        <f t="shared" si="43"/>
        <v>-480000</v>
      </c>
      <c r="BI56" s="153">
        <f>INDEX('Baselines+Historic Spend Factor'!$F$9:$F$159,MATCH('2019-20 StepbyStep Allocations'!C56,'Baselines+Historic Spend Factor'!C$9:C$159,0))-INDEX('Baselines+Historic Spend Factor'!$G$9:$G$159,MATCH('2019-20 StepbyStep Allocations'!C56,'Baselines+Historic Spend Factor'!C$9:C$159,0))</f>
        <v>33238557.440676868</v>
      </c>
      <c r="BJ56" s="154">
        <f t="shared" si="2"/>
        <v>34284500.691972256</v>
      </c>
      <c r="BK56" s="155">
        <f t="shared" si="44"/>
        <v>3.1467769116098276E-2</v>
      </c>
      <c r="BL56" s="156">
        <f t="shared" si="45"/>
        <v>482.79000799534856</v>
      </c>
      <c r="BM56" s="148">
        <f t="shared" si="5"/>
        <v>496.60332018277029</v>
      </c>
      <c r="BN56" s="148">
        <f t="shared" si="46"/>
        <v>496.60332018277029</v>
      </c>
      <c r="BO56" s="148">
        <f t="shared" si="6"/>
        <v>31768108.695128042</v>
      </c>
      <c r="BP56" s="144">
        <f t="shared" si="7"/>
        <v>34284500.691972256</v>
      </c>
      <c r="BQ56" s="148">
        <v>33830305.714256875</v>
      </c>
      <c r="BR56" s="157">
        <f t="shared" si="47"/>
        <v>1.3425683514410869E-2</v>
      </c>
      <c r="BT56" s="94"/>
      <c r="BU56" s="158"/>
      <c r="BX56" s="94"/>
    </row>
    <row r="57" spans="1:76" ht="15.4" x14ac:dyDescent="0.45">
      <c r="A57" s="139" t="s">
        <v>207</v>
      </c>
      <c r="B57" s="140" t="s">
        <v>158</v>
      </c>
      <c r="C57" s="102">
        <v>351</v>
      </c>
      <c r="D57" s="141" t="s">
        <v>162</v>
      </c>
      <c r="E57" s="348">
        <v>1.0082072667712707</v>
      </c>
      <c r="F57" s="142">
        <v>438</v>
      </c>
      <c r="G57" s="143">
        <f t="shared" si="8"/>
        <v>4032.8290670850829</v>
      </c>
      <c r="H57" s="144">
        <f t="shared" si="9"/>
        <v>1766379.1313832663</v>
      </c>
      <c r="I57" s="144">
        <f>INDEX('Baselines+Historic Spend Factor'!$Q$9:$Q$159,MATCH(C57,'Baselines+Historic Spend Factor'!$C$9:$C$159,0))</f>
        <v>13645658.930881139</v>
      </c>
      <c r="J57" s="142">
        <v>40997.065999999999</v>
      </c>
      <c r="K57" s="145">
        <f t="shared" si="10"/>
        <v>41333.53985750139</v>
      </c>
      <c r="L57" s="144">
        <f t="shared" si="11"/>
        <v>4843195.8384450078</v>
      </c>
      <c r="M57" s="142">
        <v>4187.5000000000009</v>
      </c>
      <c r="N57" s="145">
        <f t="shared" si="12"/>
        <v>4221.8679296046967</v>
      </c>
      <c r="O57" s="144">
        <f t="shared" si="13"/>
        <v>1035770.1675069643</v>
      </c>
      <c r="P57" s="142">
        <v>4424</v>
      </c>
      <c r="Q57" s="145">
        <f t="shared" si="14"/>
        <v>4460.3089481961015</v>
      </c>
      <c r="R57" s="147">
        <f t="shared" si="15"/>
        <v>151838.29045395672</v>
      </c>
      <c r="S57" s="142">
        <v>3648</v>
      </c>
      <c r="T57" s="145">
        <f t="shared" si="16"/>
        <v>3677.9401091815957</v>
      </c>
      <c r="U57" s="147">
        <f t="shared" si="17"/>
        <v>162611.61583987033</v>
      </c>
      <c r="V57" s="142">
        <v>4641</v>
      </c>
      <c r="W57" s="145">
        <f t="shared" si="18"/>
        <v>4679.0899250854673</v>
      </c>
      <c r="X57" s="147">
        <f t="shared" si="19"/>
        <v>282160.35610422172</v>
      </c>
      <c r="Y57" s="142">
        <v>1583</v>
      </c>
      <c r="Z57" s="145">
        <f t="shared" si="20"/>
        <v>1595.9921032989216</v>
      </c>
      <c r="AA57" s="147">
        <f t="shared" si="21"/>
        <v>102942.80462106474</v>
      </c>
      <c r="AB57" s="142">
        <v>1636</v>
      </c>
      <c r="AC57" s="145">
        <f t="shared" si="22"/>
        <v>1649.4270884377988</v>
      </c>
      <c r="AD57" s="147">
        <f t="shared" si="23"/>
        <v>116500.9815499109</v>
      </c>
      <c r="AE57" s="142">
        <v>975</v>
      </c>
      <c r="AF57" s="145">
        <f t="shared" si="24"/>
        <v>983.00208510198888</v>
      </c>
      <c r="AG57" s="147">
        <f t="shared" si="25"/>
        <v>93951.339173464046</v>
      </c>
      <c r="AH57" s="144">
        <f t="shared" si="26"/>
        <v>910005.38774248841</v>
      </c>
      <c r="AI57" s="142">
        <v>211</v>
      </c>
      <c r="AJ57" s="145">
        <f t="shared" si="27"/>
        <v>212.73173328873813</v>
      </c>
      <c r="AK57" s="147">
        <f t="shared" si="28"/>
        <v>656574.63231974153</v>
      </c>
      <c r="AL57" s="142">
        <v>1490</v>
      </c>
      <c r="AM57" s="145">
        <f t="shared" si="29"/>
        <v>1502.2288274891935</v>
      </c>
      <c r="AN57" s="147">
        <f t="shared" si="30"/>
        <v>765706.82169853302</v>
      </c>
      <c r="AO57" s="142">
        <v>439</v>
      </c>
      <c r="AP57" s="145">
        <f t="shared" si="31"/>
        <v>442.60299011258786</v>
      </c>
      <c r="AQ57" s="147">
        <f t="shared" si="32"/>
        <v>779582.88866876089</v>
      </c>
      <c r="AR57" s="142">
        <v>319</v>
      </c>
      <c r="AS57" s="145">
        <f t="shared" si="33"/>
        <v>321.61811810003536</v>
      </c>
      <c r="AT57" s="147">
        <f t="shared" si="34"/>
        <v>465271.8270911717</v>
      </c>
      <c r="AU57" s="144">
        <f t="shared" si="35"/>
        <v>23101766.494353805</v>
      </c>
      <c r="AV57" s="148">
        <f>INDEX('Baselines+Historic Spend Factor'!P$9:P$159,MATCH('2019-20 StepbyStep Allocations'!C57,'Baselines+Historic Spend Factor'!C$9:C$159,0))</f>
        <v>27291317.861762278</v>
      </c>
      <c r="AW57" s="149">
        <v>40435.155000000006</v>
      </c>
      <c r="AX57" s="150">
        <f t="shared" si="36"/>
        <v>674.94035479182094</v>
      </c>
      <c r="AY57" s="148">
        <f t="shared" si="37"/>
        <v>681.68975833973911</v>
      </c>
      <c r="AZ57" s="148">
        <f t="shared" si="38"/>
        <v>563.49804384425477</v>
      </c>
      <c r="BA57" s="148">
        <f t="shared" si="39"/>
        <v>681.68975833973911</v>
      </c>
      <c r="BB57" s="151">
        <f t="shared" si="40"/>
        <v>4845513.5198245281</v>
      </c>
      <c r="BC57" s="148">
        <f t="shared" si="41"/>
        <v>0</v>
      </c>
      <c r="BD57" s="144">
        <f t="shared" si="42"/>
        <v>4845513.5198245281</v>
      </c>
      <c r="BE57" s="144">
        <f t="shared" si="4"/>
        <v>27947280.014178336</v>
      </c>
      <c r="BF57" s="144">
        <f>INDEX('Hospital Education Funding'!$G$9:$G$159,MATCH(C57,'Hospital Education Funding'!$C$9:$C$158,0))</f>
        <v>169292.16</v>
      </c>
      <c r="BG57" s="152">
        <f>INDEX('Import|Export Adjustments Data'!$Q$9:$Q$159,MATCH('2019-20 StepbyStep Allocations'!$C57,'Import|Export Adjustments Data'!$C$9:$C$159,0))</f>
        <v>4</v>
      </c>
      <c r="BH57" s="144">
        <f t="shared" si="43"/>
        <v>24000</v>
      </c>
      <c r="BI57" s="153">
        <f>INDEX('Baselines+Historic Spend Factor'!$F$9:$F$159,MATCH('2019-20 StepbyStep Allocations'!C57,'Baselines+Historic Spend Factor'!C$9:C$159,0))-INDEX('Baselines+Historic Spend Factor'!$G$9:$G$159,MATCH('2019-20 StepbyStep Allocations'!C57,'Baselines+Historic Spend Factor'!C$9:C$159,0))</f>
        <v>29128722.069938011</v>
      </c>
      <c r="BJ57" s="154">
        <f t="shared" si="2"/>
        <v>29906951.305561602</v>
      </c>
      <c r="BK57" s="155">
        <f t="shared" si="44"/>
        <v>2.671690277915606E-2</v>
      </c>
      <c r="BL57" s="156">
        <f t="shared" si="45"/>
        <v>674.94035479182094</v>
      </c>
      <c r="BM57" s="148">
        <f t="shared" si="5"/>
        <v>681.68975833973911</v>
      </c>
      <c r="BN57" s="148">
        <f t="shared" si="46"/>
        <v>681.68975833973911</v>
      </c>
      <c r="BO57" s="148">
        <f t="shared" si="6"/>
        <v>27947280.014178336</v>
      </c>
      <c r="BP57" s="144">
        <f t="shared" si="7"/>
        <v>29906951.305561602</v>
      </c>
      <c r="BQ57" s="148">
        <v>29468532.387319375</v>
      </c>
      <c r="BR57" s="157">
        <f t="shared" si="47"/>
        <v>1.4877528085887493E-2</v>
      </c>
      <c r="BT57" s="94"/>
      <c r="BU57" s="158"/>
      <c r="BX57" s="94"/>
    </row>
    <row r="58" spans="1:76" ht="15.4" x14ac:dyDescent="0.45">
      <c r="A58" s="139" t="s">
        <v>135</v>
      </c>
      <c r="B58" s="140" t="s">
        <v>158</v>
      </c>
      <c r="C58" s="102">
        <v>895</v>
      </c>
      <c r="D58" s="141" t="s">
        <v>163</v>
      </c>
      <c r="E58" s="348">
        <v>1.0054548012657853</v>
      </c>
      <c r="F58" s="142">
        <v>406</v>
      </c>
      <c r="G58" s="143">
        <f t="shared" si="8"/>
        <v>4021.8192050631415</v>
      </c>
      <c r="H58" s="144">
        <f t="shared" si="9"/>
        <v>1632858.5972556355</v>
      </c>
      <c r="I58" s="144">
        <f>INDEX('Baselines+Historic Spend Factor'!$Q$9:$Q$159,MATCH(C58,'Baselines+Historic Spend Factor'!$C$9:$C$159,0))</f>
        <v>16535476.599105094</v>
      </c>
      <c r="J58" s="142">
        <v>72474.65400000001</v>
      </c>
      <c r="K58" s="145">
        <f t="shared" si="10"/>
        <v>72869.988834376563</v>
      </c>
      <c r="L58" s="144">
        <f t="shared" si="11"/>
        <v>8538432.1760706063</v>
      </c>
      <c r="M58" s="142">
        <v>4411.0000000000018</v>
      </c>
      <c r="N58" s="145">
        <f t="shared" si="12"/>
        <v>4435.0611283833814</v>
      </c>
      <c r="O58" s="144">
        <f t="shared" si="13"/>
        <v>1088073.82998345</v>
      </c>
      <c r="P58" s="142">
        <v>4293</v>
      </c>
      <c r="Q58" s="145">
        <f t="shared" si="14"/>
        <v>4316.4174618340166</v>
      </c>
      <c r="R58" s="147">
        <f t="shared" si="15"/>
        <v>146939.9218535184</v>
      </c>
      <c r="S58" s="142">
        <v>5010</v>
      </c>
      <c r="T58" s="145">
        <f t="shared" si="16"/>
        <v>5037.328554341585</v>
      </c>
      <c r="U58" s="147">
        <f t="shared" si="17"/>
        <v>222713.83204227139</v>
      </c>
      <c r="V58" s="142">
        <v>3122</v>
      </c>
      <c r="W58" s="145">
        <f t="shared" si="18"/>
        <v>3139.0298895517817</v>
      </c>
      <c r="X58" s="147">
        <f t="shared" si="19"/>
        <v>189291.03856484406</v>
      </c>
      <c r="Y58" s="142">
        <v>2643</v>
      </c>
      <c r="Z58" s="145">
        <f t="shared" si="20"/>
        <v>2657.4170397454704</v>
      </c>
      <c r="AA58" s="147">
        <f t="shared" si="21"/>
        <v>171405.58687837655</v>
      </c>
      <c r="AB58" s="142">
        <v>885</v>
      </c>
      <c r="AC58" s="145">
        <f t="shared" si="22"/>
        <v>889.82749912022007</v>
      </c>
      <c r="AD58" s="147">
        <f t="shared" si="23"/>
        <v>62849.566242901812</v>
      </c>
      <c r="AE58" s="142">
        <v>431</v>
      </c>
      <c r="AF58" s="145">
        <f t="shared" si="24"/>
        <v>433.35101934555348</v>
      </c>
      <c r="AG58" s="147">
        <f t="shared" si="25"/>
        <v>41417.926998065632</v>
      </c>
      <c r="AH58" s="144">
        <f t="shared" si="26"/>
        <v>834617.87257997785</v>
      </c>
      <c r="AI58" s="142">
        <v>270</v>
      </c>
      <c r="AJ58" s="145">
        <f t="shared" si="27"/>
        <v>271.47279634176203</v>
      </c>
      <c r="AK58" s="147">
        <f t="shared" si="28"/>
        <v>837872.88660398708</v>
      </c>
      <c r="AL58" s="142">
        <v>2100</v>
      </c>
      <c r="AM58" s="145">
        <f t="shared" si="29"/>
        <v>2111.4550826581494</v>
      </c>
      <c r="AN58" s="147">
        <f t="shared" si="30"/>
        <v>1076237.8746276691</v>
      </c>
      <c r="AO58" s="142">
        <v>612</v>
      </c>
      <c r="AP58" s="145">
        <f t="shared" si="31"/>
        <v>615.33833837466068</v>
      </c>
      <c r="AQ58" s="147">
        <f t="shared" si="32"/>
        <v>1083831.8991399654</v>
      </c>
      <c r="AR58" s="142">
        <v>725</v>
      </c>
      <c r="AS58" s="145">
        <f t="shared" si="33"/>
        <v>728.95473091769441</v>
      </c>
      <c r="AT58" s="147">
        <f t="shared" si="34"/>
        <v>1054549.1078812196</v>
      </c>
      <c r="AU58" s="144">
        <f t="shared" si="35"/>
        <v>31049092.245991968</v>
      </c>
      <c r="AV58" s="148">
        <f>INDEX('Baselines+Historic Spend Factor'!P$9:P$159,MATCH('2019-20 StepbyStep Allocations'!C58,'Baselines+Historic Spend Factor'!C$9:C$159,0))</f>
        <v>33070953.198210187</v>
      </c>
      <c r="AW58" s="149">
        <v>72011.356</v>
      </c>
      <c r="AX58" s="150">
        <f t="shared" si="36"/>
        <v>459.24636106297163</v>
      </c>
      <c r="AY58" s="148">
        <f t="shared" si="37"/>
        <v>463.83882467360132</v>
      </c>
      <c r="AZ58" s="148">
        <f t="shared" si="38"/>
        <v>428.41311454887335</v>
      </c>
      <c r="BA58" s="148">
        <f t="shared" si="39"/>
        <v>463.83882467360132</v>
      </c>
      <c r="BB58" s="151">
        <f t="shared" si="40"/>
        <v>2567466.0839939569</v>
      </c>
      <c r="BC58" s="148">
        <f t="shared" si="41"/>
        <v>0</v>
      </c>
      <c r="BD58" s="144">
        <f t="shared" si="42"/>
        <v>2567466.0839939569</v>
      </c>
      <c r="BE58" s="144">
        <f t="shared" si="4"/>
        <v>33616558.329985924</v>
      </c>
      <c r="BF58" s="144">
        <f>INDEX('Hospital Education Funding'!$G$9:$G$159,MATCH(C58,'Hospital Education Funding'!$C$9:$C$158,0))</f>
        <v>0</v>
      </c>
      <c r="BG58" s="152">
        <f>INDEX('Import|Export Adjustments Data'!$Q$9:$Q$159,MATCH('2019-20 StepbyStep Allocations'!$C58,'Import|Export Adjustments Data'!$C$9:$C$159,0))</f>
        <v>-123</v>
      </c>
      <c r="BH58" s="144">
        <f t="shared" si="43"/>
        <v>-738000</v>
      </c>
      <c r="BI58" s="153">
        <f>INDEX('Baselines+Historic Spend Factor'!$F$9:$F$159,MATCH('2019-20 StepbyStep Allocations'!C58,'Baselines+Historic Spend Factor'!C$9:C$159,0))-INDEX('Baselines+Historic Spend Factor'!$G$9:$G$159,MATCH('2019-20 StepbyStep Allocations'!C58,'Baselines+Historic Spend Factor'!C$9:C$159,0))</f>
        <v>33479026.304083548</v>
      </c>
      <c r="BJ58" s="154">
        <f t="shared" si="2"/>
        <v>34511416.927241556</v>
      </c>
      <c r="BK58" s="155">
        <f t="shared" si="44"/>
        <v>3.0836936946164517E-2</v>
      </c>
      <c r="BL58" s="156">
        <f t="shared" si="45"/>
        <v>459.24636106297163</v>
      </c>
      <c r="BM58" s="148">
        <f t="shared" si="5"/>
        <v>463.83882467360132</v>
      </c>
      <c r="BN58" s="148">
        <f t="shared" si="46"/>
        <v>463.83882467360132</v>
      </c>
      <c r="BO58" s="148">
        <f t="shared" si="6"/>
        <v>33616558.329985924</v>
      </c>
      <c r="BP58" s="144">
        <f t="shared" si="7"/>
        <v>34511416.927241556</v>
      </c>
      <c r="BQ58" s="148">
        <v>34142868.397172913</v>
      </c>
      <c r="BR58" s="157">
        <f t="shared" si="47"/>
        <v>1.0794304853986914E-2</v>
      </c>
      <c r="BT58" s="94"/>
      <c r="BU58" s="158"/>
      <c r="BX58" s="94"/>
    </row>
    <row r="59" spans="1:76" ht="15.4" x14ac:dyDescent="0.45">
      <c r="A59" s="139" t="s">
        <v>192</v>
      </c>
      <c r="B59" s="140" t="s">
        <v>158</v>
      </c>
      <c r="C59" s="102">
        <v>896</v>
      </c>
      <c r="D59" s="141" t="s">
        <v>164</v>
      </c>
      <c r="E59" s="348">
        <v>1.0054548012657853</v>
      </c>
      <c r="F59" s="142">
        <v>974</v>
      </c>
      <c r="G59" s="143">
        <f t="shared" si="8"/>
        <v>4021.8192050631415</v>
      </c>
      <c r="H59" s="144">
        <f t="shared" si="9"/>
        <v>3917251.9057314997</v>
      </c>
      <c r="I59" s="144">
        <f>INDEX('Baselines+Historic Spend Factor'!$Q$9:$Q$159,MATCH(C59,'Baselines+Historic Spend Factor'!$C$9:$C$159,0))</f>
        <v>16317190.201425627</v>
      </c>
      <c r="J59" s="142">
        <v>63932.317999999999</v>
      </c>
      <c r="K59" s="145">
        <f t="shared" si="10"/>
        <v>64281.056089150989</v>
      </c>
      <c r="L59" s="144">
        <f t="shared" si="11"/>
        <v>7532036.8014723873</v>
      </c>
      <c r="M59" s="142">
        <v>5501</v>
      </c>
      <c r="N59" s="145">
        <f t="shared" si="12"/>
        <v>5531.006861763085</v>
      </c>
      <c r="O59" s="144">
        <f t="shared" si="13"/>
        <v>1356947.2089637171</v>
      </c>
      <c r="P59" s="142">
        <v>4193</v>
      </c>
      <c r="Q59" s="145">
        <f t="shared" si="14"/>
        <v>4215.871981707438</v>
      </c>
      <c r="R59" s="147">
        <f t="shared" si="15"/>
        <v>143517.1424020039</v>
      </c>
      <c r="S59" s="142">
        <v>2424</v>
      </c>
      <c r="T59" s="145">
        <f t="shared" si="16"/>
        <v>2437.2224382682639</v>
      </c>
      <c r="U59" s="147">
        <f t="shared" si="17"/>
        <v>107756.15346715885</v>
      </c>
      <c r="V59" s="142">
        <v>2978</v>
      </c>
      <c r="W59" s="145">
        <f t="shared" si="18"/>
        <v>2994.2443981695087</v>
      </c>
      <c r="X59" s="147">
        <f t="shared" si="19"/>
        <v>180560.12583155211</v>
      </c>
      <c r="Y59" s="142">
        <v>3849</v>
      </c>
      <c r="Z59" s="145">
        <f t="shared" si="20"/>
        <v>3869.995530072008</v>
      </c>
      <c r="AA59" s="147">
        <f t="shared" si="21"/>
        <v>249617.89780358356</v>
      </c>
      <c r="AB59" s="142">
        <v>3620</v>
      </c>
      <c r="AC59" s="145">
        <f t="shared" si="22"/>
        <v>3639.746380582143</v>
      </c>
      <c r="AD59" s="147">
        <f t="shared" si="23"/>
        <v>257079.58169412945</v>
      </c>
      <c r="AE59" s="142">
        <v>1379</v>
      </c>
      <c r="AF59" s="145">
        <f t="shared" si="24"/>
        <v>1386.5221709455179</v>
      </c>
      <c r="AG59" s="147">
        <f t="shared" si="25"/>
        <v>132518.14693812645</v>
      </c>
      <c r="AH59" s="144">
        <f t="shared" si="26"/>
        <v>1071049.0481365544</v>
      </c>
      <c r="AI59" s="142">
        <v>302</v>
      </c>
      <c r="AJ59" s="145">
        <f t="shared" si="27"/>
        <v>303.6473499822672</v>
      </c>
      <c r="AK59" s="147">
        <f t="shared" si="28"/>
        <v>937176.33983112616</v>
      </c>
      <c r="AL59" s="142">
        <v>2570</v>
      </c>
      <c r="AM59" s="145">
        <f t="shared" si="29"/>
        <v>2584.0188392530686</v>
      </c>
      <c r="AN59" s="147">
        <f t="shared" si="30"/>
        <v>1317110.1608538616</v>
      </c>
      <c r="AO59" s="142">
        <v>612</v>
      </c>
      <c r="AP59" s="145">
        <f t="shared" si="31"/>
        <v>615.33833837466068</v>
      </c>
      <c r="AQ59" s="147">
        <f t="shared" si="32"/>
        <v>1083831.8991399654</v>
      </c>
      <c r="AR59" s="142">
        <v>758</v>
      </c>
      <c r="AS59" s="145">
        <f t="shared" si="33"/>
        <v>762.13473935946524</v>
      </c>
      <c r="AT59" s="147">
        <f t="shared" si="34"/>
        <v>1102549.2741709854</v>
      </c>
      <c r="AU59" s="144">
        <f t="shared" si="35"/>
        <v>30717890.933994226</v>
      </c>
      <c r="AV59" s="148">
        <f>INDEX('Baselines+Historic Spend Factor'!P$9:P$159,MATCH('2019-20 StepbyStep Allocations'!C59,'Baselines+Historic Spend Factor'!C$9:C$159,0))</f>
        <v>32634380.402851254</v>
      </c>
      <c r="AW59" s="149">
        <v>63387.548999999999</v>
      </c>
      <c r="AX59" s="150">
        <f t="shared" si="36"/>
        <v>514.83896944573848</v>
      </c>
      <c r="AY59" s="148">
        <f t="shared" si="37"/>
        <v>519.98735914019585</v>
      </c>
      <c r="AZ59" s="148">
        <f t="shared" si="38"/>
        <v>480.47516334374467</v>
      </c>
      <c r="BA59" s="148">
        <f t="shared" si="39"/>
        <v>519.98735914019585</v>
      </c>
      <c r="BB59" s="151">
        <f t="shared" si="40"/>
        <v>2526106.2665369799</v>
      </c>
      <c r="BC59" s="148">
        <f t="shared" si="41"/>
        <v>0</v>
      </c>
      <c r="BD59" s="144">
        <f t="shared" si="42"/>
        <v>2526106.2665369799</v>
      </c>
      <c r="BE59" s="144">
        <f t="shared" si="4"/>
        <v>33243997.200531207</v>
      </c>
      <c r="BF59" s="144">
        <f>INDEX('Hospital Education Funding'!$G$9:$G$159,MATCH(C59,'Hospital Education Funding'!$C$9:$C$158,0))</f>
        <v>531144.8600000001</v>
      </c>
      <c r="BG59" s="152">
        <f>INDEX('Import|Export Adjustments Data'!$Q$9:$Q$159,MATCH('2019-20 StepbyStep Allocations'!$C59,'Import|Export Adjustments Data'!$C$9:$C$159,0))</f>
        <v>10</v>
      </c>
      <c r="BH59" s="144">
        <f t="shared" si="43"/>
        <v>60000</v>
      </c>
      <c r="BI59" s="153">
        <f>INDEX('Baselines+Historic Spend Factor'!$F$9:$F$159,MATCH('2019-20 StepbyStep Allocations'!C59,'Baselines+Historic Spend Factor'!C$9:C$159,0))-INDEX('Baselines+Historic Spend Factor'!$G$9:$G$159,MATCH('2019-20 StepbyStep Allocations'!C59,'Baselines+Historic Spend Factor'!C$9:C$159,0))</f>
        <v>37426907.370840989</v>
      </c>
      <c r="BJ59" s="154">
        <f t="shared" si="2"/>
        <v>37752393.966262706</v>
      </c>
      <c r="BK59" s="155">
        <f t="shared" si="44"/>
        <v>8.6965933946041574E-3</v>
      </c>
      <c r="BL59" s="156">
        <f t="shared" si="45"/>
        <v>514.83896944573848</v>
      </c>
      <c r="BM59" s="148">
        <f t="shared" si="5"/>
        <v>519.98735914019585</v>
      </c>
      <c r="BN59" s="148">
        <f t="shared" si="46"/>
        <v>519.98735914019585</v>
      </c>
      <c r="BO59" s="148">
        <f t="shared" si="6"/>
        <v>33243997.200531207</v>
      </c>
      <c r="BP59" s="144">
        <f t="shared" si="7"/>
        <v>37752393.966262706</v>
      </c>
      <c r="BQ59" s="148">
        <v>37345484.265845276</v>
      </c>
      <c r="BR59" s="157">
        <f t="shared" si="47"/>
        <v>1.0895820697378822E-2</v>
      </c>
      <c r="BT59" s="94"/>
      <c r="BU59" s="158"/>
      <c r="BX59" s="94"/>
    </row>
    <row r="60" spans="1:76" ht="15.4" x14ac:dyDescent="0.45">
      <c r="A60" s="139" t="s">
        <v>149</v>
      </c>
      <c r="B60" s="140" t="s">
        <v>158</v>
      </c>
      <c r="C60" s="102">
        <v>909</v>
      </c>
      <c r="D60" s="141" t="s">
        <v>165</v>
      </c>
      <c r="E60" s="348">
        <v>1</v>
      </c>
      <c r="F60" s="142">
        <v>579.5</v>
      </c>
      <c r="G60" s="143">
        <f t="shared" si="8"/>
        <v>4000</v>
      </c>
      <c r="H60" s="144">
        <f t="shared" si="9"/>
        <v>2318000</v>
      </c>
      <c r="I60" s="144">
        <f>INDEX('Baselines+Historic Spend Factor'!$Q$9:$Q$159,MATCH(C60,'Baselines+Historic Spend Factor'!$C$9:$C$159,0))</f>
        <v>19720094.787625886</v>
      </c>
      <c r="J60" s="142">
        <v>88065.877000000008</v>
      </c>
      <c r="K60" s="145">
        <f t="shared" si="10"/>
        <v>88065.877000000008</v>
      </c>
      <c r="L60" s="144">
        <f t="shared" si="11"/>
        <v>10318987.690525694</v>
      </c>
      <c r="M60" s="142">
        <v>6797.5000000000009</v>
      </c>
      <c r="N60" s="145">
        <f t="shared" si="12"/>
        <v>6797.5000000000009</v>
      </c>
      <c r="O60" s="144">
        <f t="shared" si="13"/>
        <v>1667661.7627609738</v>
      </c>
      <c r="P60" s="142">
        <v>7947</v>
      </c>
      <c r="Q60" s="145">
        <f t="shared" si="14"/>
        <v>7947</v>
      </c>
      <c r="R60" s="147">
        <f t="shared" si="15"/>
        <v>270532.5815436187</v>
      </c>
      <c r="S60" s="142">
        <v>5028</v>
      </c>
      <c r="T60" s="145">
        <f t="shared" si="16"/>
        <v>5028</v>
      </c>
      <c r="U60" s="147">
        <f t="shared" si="17"/>
        <v>222301.39158649879</v>
      </c>
      <c r="V60" s="142">
        <v>2526</v>
      </c>
      <c r="W60" s="145">
        <f t="shared" si="18"/>
        <v>2526</v>
      </c>
      <c r="X60" s="147">
        <f t="shared" si="19"/>
        <v>152323.86445452753</v>
      </c>
      <c r="Y60" s="142">
        <v>1607</v>
      </c>
      <c r="Z60" s="145">
        <f t="shared" si="20"/>
        <v>1607</v>
      </c>
      <c r="AA60" s="147">
        <f t="shared" si="21"/>
        <v>103652.82302093382</v>
      </c>
      <c r="AB60" s="142">
        <v>4731</v>
      </c>
      <c r="AC60" s="145">
        <f t="shared" si="22"/>
        <v>4731</v>
      </c>
      <c r="AD60" s="147">
        <f t="shared" si="23"/>
        <v>334156.11249276105</v>
      </c>
      <c r="AE60" s="142">
        <v>2103</v>
      </c>
      <c r="AF60" s="145">
        <f t="shared" si="24"/>
        <v>2103</v>
      </c>
      <c r="AG60" s="147">
        <f t="shared" si="25"/>
        <v>200996.18228306761</v>
      </c>
      <c r="AH60" s="144">
        <f t="shared" si="26"/>
        <v>1283962.9553814074</v>
      </c>
      <c r="AI60" s="142">
        <v>445</v>
      </c>
      <c r="AJ60" s="145">
        <f t="shared" si="27"/>
        <v>445</v>
      </c>
      <c r="AK60" s="147">
        <f t="shared" si="28"/>
        <v>1373446.7672752824</v>
      </c>
      <c r="AL60" s="142">
        <v>2710</v>
      </c>
      <c r="AM60" s="145">
        <f t="shared" si="29"/>
        <v>2710</v>
      </c>
      <c r="AN60" s="147">
        <f t="shared" si="30"/>
        <v>1381324.5018545298</v>
      </c>
      <c r="AO60" s="142">
        <v>910</v>
      </c>
      <c r="AP60" s="145">
        <f t="shared" si="31"/>
        <v>910</v>
      </c>
      <c r="AQ60" s="147">
        <f t="shared" si="32"/>
        <v>1602836.9544184788</v>
      </c>
      <c r="AR60" s="142">
        <v>1235</v>
      </c>
      <c r="AS60" s="145">
        <f t="shared" si="33"/>
        <v>1235</v>
      </c>
      <c r="AT60" s="147">
        <f t="shared" si="34"/>
        <v>1786624.1797947197</v>
      </c>
      <c r="AU60" s="144">
        <f t="shared" si="35"/>
        <v>39134939.599636979</v>
      </c>
      <c r="AV60" s="148">
        <f>INDEX('Baselines+Historic Spend Factor'!P$9:P$159,MATCH('2019-20 StepbyStep Allocations'!C60,'Baselines+Historic Spend Factor'!C$9:C$159,0))</f>
        <v>39440189.575251773</v>
      </c>
      <c r="AW60" s="149">
        <v>88297.342999999993</v>
      </c>
      <c r="AX60" s="150">
        <f t="shared" si="36"/>
        <v>446.67470430284379</v>
      </c>
      <c r="AY60" s="148">
        <f t="shared" si="37"/>
        <v>451.14145134587221</v>
      </c>
      <c r="AZ60" s="148">
        <f t="shared" si="38"/>
        <v>444.38255693106851</v>
      </c>
      <c r="BA60" s="148">
        <f t="shared" si="39"/>
        <v>451.14145134587221</v>
      </c>
      <c r="BB60" s="151">
        <f t="shared" si="40"/>
        <v>595227.96419009019</v>
      </c>
      <c r="BC60" s="148">
        <f t="shared" si="41"/>
        <v>0</v>
      </c>
      <c r="BD60" s="144">
        <f t="shared" si="42"/>
        <v>595227.96419009019</v>
      </c>
      <c r="BE60" s="144">
        <f t="shared" si="4"/>
        <v>39730167.563827068</v>
      </c>
      <c r="BF60" s="144">
        <f>INDEX('Hospital Education Funding'!$G$9:$G$159,MATCH(C60,'Hospital Education Funding'!$C$9:$C$158,0))</f>
        <v>810663.37</v>
      </c>
      <c r="BG60" s="152">
        <f>INDEX('Import|Export Adjustments Data'!$Q$9:$Q$159,MATCH('2019-20 StepbyStep Allocations'!$C60,'Import|Export Adjustments Data'!$C$9:$C$159,0))</f>
        <v>-128</v>
      </c>
      <c r="BH60" s="144">
        <f t="shared" si="43"/>
        <v>-768000</v>
      </c>
      <c r="BI60" s="153">
        <f>INDEX('Baselines+Historic Spend Factor'!$F$9:$F$159,MATCH('2019-20 StepbyStep Allocations'!C60,'Baselines+Historic Spend Factor'!C$9:C$159,0))-INDEX('Baselines+Historic Spend Factor'!$G$9:$G$159,MATCH('2019-20 StepbyStep Allocations'!C60,'Baselines+Historic Spend Factor'!C$9:C$159,0))</f>
        <v>41852826.575251773</v>
      </c>
      <c r="BJ60" s="154">
        <f t="shared" si="2"/>
        <v>42090830.933827065</v>
      </c>
      <c r="BK60" s="155">
        <f t="shared" si="44"/>
        <v>5.6866973643310281E-3</v>
      </c>
      <c r="BL60" s="156">
        <f t="shared" si="45"/>
        <v>446.67470430284379</v>
      </c>
      <c r="BM60" s="148">
        <f t="shared" si="5"/>
        <v>451.14145134587221</v>
      </c>
      <c r="BN60" s="148">
        <f t="shared" si="46"/>
        <v>451.14145134587221</v>
      </c>
      <c r="BO60" s="148">
        <f t="shared" si="6"/>
        <v>39730167.563827068</v>
      </c>
      <c r="BP60" s="144">
        <f t="shared" si="7"/>
        <v>42090830.933827065</v>
      </c>
      <c r="BQ60" s="148">
        <v>41781032.71081885</v>
      </c>
      <c r="BR60" s="157">
        <f t="shared" si="47"/>
        <v>7.4148053053746388E-3</v>
      </c>
      <c r="BT60" s="94"/>
      <c r="BU60" s="158"/>
      <c r="BX60" s="94"/>
    </row>
    <row r="61" spans="1:76" ht="15.4" x14ac:dyDescent="0.45">
      <c r="A61" s="139" t="s">
        <v>193</v>
      </c>
      <c r="B61" s="140" t="s">
        <v>158</v>
      </c>
      <c r="C61" s="102">
        <v>876</v>
      </c>
      <c r="D61" s="141" t="s">
        <v>166</v>
      </c>
      <c r="E61" s="348">
        <v>1.0054548012657853</v>
      </c>
      <c r="F61" s="142">
        <v>362.5</v>
      </c>
      <c r="G61" s="143">
        <f t="shared" si="8"/>
        <v>4021.8192050631415</v>
      </c>
      <c r="H61" s="144">
        <f t="shared" si="9"/>
        <v>1457909.4618353888</v>
      </c>
      <c r="I61" s="144">
        <f>INDEX('Baselines+Historic Spend Factor'!$Q$9:$Q$159,MATCH(C61,'Baselines+Historic Spend Factor'!$C$9:$C$159,0))</f>
        <v>7353513.5727012474</v>
      </c>
      <c r="J61" s="142">
        <v>26942.081999999995</v>
      </c>
      <c r="K61" s="145">
        <f t="shared" si="10"/>
        <v>27089.045702996489</v>
      </c>
      <c r="L61" s="144">
        <f t="shared" si="11"/>
        <v>3174118.4971939661</v>
      </c>
      <c r="M61" s="142">
        <v>5078.0000000000009</v>
      </c>
      <c r="N61" s="145">
        <f t="shared" si="12"/>
        <v>5105.6994808276586</v>
      </c>
      <c r="O61" s="144">
        <f t="shared" si="13"/>
        <v>1252604.6040933933</v>
      </c>
      <c r="P61" s="142">
        <v>2815</v>
      </c>
      <c r="Q61" s="145">
        <f t="shared" si="14"/>
        <v>2830.3552655631856</v>
      </c>
      <c r="R61" s="147">
        <f t="shared" si="15"/>
        <v>96351.241560133771</v>
      </c>
      <c r="S61" s="142">
        <v>2702</v>
      </c>
      <c r="T61" s="145">
        <f t="shared" si="16"/>
        <v>2716.7388730201519</v>
      </c>
      <c r="U61" s="147">
        <f t="shared" si="17"/>
        <v>120114.32618327689</v>
      </c>
      <c r="V61" s="142">
        <v>1993</v>
      </c>
      <c r="W61" s="145">
        <f t="shared" si="18"/>
        <v>2003.8714189227103</v>
      </c>
      <c r="X61" s="147">
        <f t="shared" si="19"/>
        <v>120838.25748229797</v>
      </c>
      <c r="Y61" s="142">
        <v>2312</v>
      </c>
      <c r="Z61" s="145">
        <f t="shared" si="20"/>
        <v>2324.6115005264955</v>
      </c>
      <c r="AA61" s="147">
        <f t="shared" si="21"/>
        <v>149939.35560454277</v>
      </c>
      <c r="AB61" s="142">
        <v>4754</v>
      </c>
      <c r="AC61" s="145">
        <f t="shared" si="22"/>
        <v>4779.9321252175432</v>
      </c>
      <c r="AD61" s="147">
        <f t="shared" si="23"/>
        <v>337612.24623588158</v>
      </c>
      <c r="AE61" s="142">
        <v>2365</v>
      </c>
      <c r="AF61" s="145">
        <f t="shared" si="24"/>
        <v>2377.9006049935824</v>
      </c>
      <c r="AG61" s="147">
        <f t="shared" si="25"/>
        <v>227270.06345806314</v>
      </c>
      <c r="AH61" s="144">
        <f t="shared" si="26"/>
        <v>1052125.4905241963</v>
      </c>
      <c r="AI61" s="142">
        <v>150</v>
      </c>
      <c r="AJ61" s="145">
        <f t="shared" si="27"/>
        <v>150.81822018986782</v>
      </c>
      <c r="AK61" s="147">
        <f t="shared" si="28"/>
        <v>465484.93700221501</v>
      </c>
      <c r="AL61" s="142">
        <v>1120</v>
      </c>
      <c r="AM61" s="145">
        <f t="shared" si="29"/>
        <v>1126.1093774176795</v>
      </c>
      <c r="AN61" s="147">
        <f t="shared" si="30"/>
        <v>573993.53313475684</v>
      </c>
      <c r="AO61" s="142">
        <v>280</v>
      </c>
      <c r="AP61" s="145">
        <f t="shared" si="31"/>
        <v>281.52734435441988</v>
      </c>
      <c r="AQ61" s="147">
        <f t="shared" si="32"/>
        <v>495870.80352808867</v>
      </c>
      <c r="AR61" s="142">
        <v>385</v>
      </c>
      <c r="AS61" s="145">
        <f t="shared" si="33"/>
        <v>387.10009848732739</v>
      </c>
      <c r="AT61" s="147">
        <f t="shared" si="34"/>
        <v>560001.94004726841</v>
      </c>
      <c r="AU61" s="144">
        <f t="shared" si="35"/>
        <v>14927713.378225133</v>
      </c>
      <c r="AV61" s="148">
        <f>INDEX('Baselines+Historic Spend Factor'!P$9:P$159,MATCH('2019-20 StepbyStep Allocations'!C61,'Baselines+Historic Spend Factor'!C$9:C$159,0))</f>
        <v>14707027.145402495</v>
      </c>
      <c r="AW61" s="149">
        <v>26845.030000000002</v>
      </c>
      <c r="AX61" s="150">
        <f t="shared" si="36"/>
        <v>547.84916036236473</v>
      </c>
      <c r="AY61" s="148">
        <f t="shared" si="37"/>
        <v>553.32765196598837</v>
      </c>
      <c r="AZ61" s="148">
        <f t="shared" si="38"/>
        <v>554.06680813402374</v>
      </c>
      <c r="BA61" s="148">
        <f t="shared" si="39"/>
        <v>554.06680813402374</v>
      </c>
      <c r="BB61" s="151">
        <f t="shared" si="40"/>
        <v>0</v>
      </c>
      <c r="BC61" s="148">
        <f t="shared" si="41"/>
        <v>0</v>
      </c>
      <c r="BD61" s="144">
        <f t="shared" si="42"/>
        <v>0</v>
      </c>
      <c r="BE61" s="144">
        <f t="shared" si="4"/>
        <v>14927713.378225131</v>
      </c>
      <c r="BF61" s="144">
        <f>INDEX('Hospital Education Funding'!$G$9:$G$159,MATCH(C61,'Hospital Education Funding'!$C$9:$C$158,0))</f>
        <v>0</v>
      </c>
      <c r="BG61" s="152">
        <f>INDEX('Import|Export Adjustments Data'!$Q$9:$Q$159,MATCH('2019-20 StepbyStep Allocations'!$C61,'Import|Export Adjustments Data'!$C$9:$C$159,0))</f>
        <v>-6</v>
      </c>
      <c r="BH61" s="144">
        <f t="shared" si="43"/>
        <v>-36000</v>
      </c>
      <c r="BI61" s="153">
        <f>INDEX('Baselines+Historic Spend Factor'!$F$9:$F$159,MATCH('2019-20 StepbyStep Allocations'!C61,'Baselines+Historic Spend Factor'!C$9:C$159,0))-INDEX('Baselines+Historic Spend Factor'!$G$9:$G$159,MATCH('2019-20 StepbyStep Allocations'!C61,'Baselines+Historic Spend Factor'!C$9:C$159,0))</f>
        <v>16067685.686379658</v>
      </c>
      <c r="BJ61" s="154">
        <f t="shared" si="2"/>
        <v>16349622.840060519</v>
      </c>
      <c r="BK61" s="155">
        <f t="shared" si="44"/>
        <v>1.7546842724204925E-2</v>
      </c>
      <c r="BL61" s="156">
        <f t="shared" si="45"/>
        <v>547.84916036236473</v>
      </c>
      <c r="BM61" s="148">
        <f t="shared" si="5"/>
        <v>554.06680813402374</v>
      </c>
      <c r="BN61" s="148">
        <f t="shared" si="46"/>
        <v>554.06680813402374</v>
      </c>
      <c r="BO61" s="148">
        <f t="shared" si="6"/>
        <v>14927713.378225131</v>
      </c>
      <c r="BP61" s="144">
        <f t="shared" si="7"/>
        <v>16349622.840060519</v>
      </c>
      <c r="BQ61" s="148">
        <v>16203649.031104013</v>
      </c>
      <c r="BR61" s="157">
        <f t="shared" si="47"/>
        <v>9.0086997488219023E-3</v>
      </c>
      <c r="BT61" s="94"/>
      <c r="BU61" s="158"/>
      <c r="BX61" s="94"/>
    </row>
    <row r="62" spans="1:76" ht="15.4" x14ac:dyDescent="0.45">
      <c r="A62" s="139" t="s">
        <v>242</v>
      </c>
      <c r="B62" s="140" t="s">
        <v>158</v>
      </c>
      <c r="C62" s="102">
        <v>340</v>
      </c>
      <c r="D62" s="141" t="s">
        <v>167</v>
      </c>
      <c r="E62" s="348">
        <v>1.0016847182558959</v>
      </c>
      <c r="F62" s="142">
        <v>508</v>
      </c>
      <c r="G62" s="143">
        <f t="shared" si="8"/>
        <v>4006.7388730235834</v>
      </c>
      <c r="H62" s="144">
        <f t="shared" si="9"/>
        <v>2035423.3474959803</v>
      </c>
      <c r="I62" s="144">
        <f>INDEX('Baselines+Historic Spend Factor'!$Q$9:$Q$159,MATCH(C62,'Baselines+Historic Spend Factor'!$C$9:$C$159,0))</f>
        <v>8859253.341232596</v>
      </c>
      <c r="J62" s="142">
        <v>31240.875</v>
      </c>
      <c r="K62" s="145">
        <f t="shared" si="10"/>
        <v>31293.507072442662</v>
      </c>
      <c r="L62" s="144">
        <f t="shared" si="11"/>
        <v>3666769.9825883135</v>
      </c>
      <c r="M62" s="142">
        <v>6205</v>
      </c>
      <c r="N62" s="145">
        <f t="shared" si="12"/>
        <v>6215.4536767778336</v>
      </c>
      <c r="O62" s="144">
        <f t="shared" si="13"/>
        <v>1524865.6763478478</v>
      </c>
      <c r="P62" s="142">
        <v>1853</v>
      </c>
      <c r="Q62" s="145">
        <f t="shared" si="14"/>
        <v>1856.121782928175</v>
      </c>
      <c r="R62" s="147">
        <f t="shared" si="15"/>
        <v>63186.286346407884</v>
      </c>
      <c r="S62" s="142">
        <v>2994</v>
      </c>
      <c r="T62" s="145">
        <f t="shared" si="16"/>
        <v>2999.0440464581525</v>
      </c>
      <c r="U62" s="147">
        <f t="shared" si="17"/>
        <v>132595.79653079787</v>
      </c>
      <c r="V62" s="142">
        <v>1269</v>
      </c>
      <c r="W62" s="145">
        <f t="shared" si="18"/>
        <v>1271.1379074667318</v>
      </c>
      <c r="X62" s="147">
        <f t="shared" si="19"/>
        <v>76652.667585104602</v>
      </c>
      <c r="Y62" s="142">
        <v>2352</v>
      </c>
      <c r="Z62" s="145">
        <f t="shared" si="20"/>
        <v>2355.9624573378669</v>
      </c>
      <c r="AA62" s="147">
        <f t="shared" si="21"/>
        <v>151961.51812968653</v>
      </c>
      <c r="AB62" s="142">
        <v>5966</v>
      </c>
      <c r="AC62" s="145">
        <f t="shared" si="22"/>
        <v>5976.0510291146747</v>
      </c>
      <c r="AD62" s="147">
        <f t="shared" si="23"/>
        <v>422095.53581638628</v>
      </c>
      <c r="AE62" s="142">
        <v>6766</v>
      </c>
      <c r="AF62" s="145">
        <f t="shared" si="24"/>
        <v>6777.3988037193913</v>
      </c>
      <c r="AG62" s="147">
        <f t="shared" si="25"/>
        <v>647756.19845812034</v>
      </c>
      <c r="AH62" s="144">
        <f t="shared" si="26"/>
        <v>1494248.0028665035</v>
      </c>
      <c r="AI62" s="142">
        <v>255</v>
      </c>
      <c r="AJ62" s="145">
        <f t="shared" si="27"/>
        <v>255.42960315525346</v>
      </c>
      <c r="AK62" s="147">
        <f t="shared" si="28"/>
        <v>788357.21959548572</v>
      </c>
      <c r="AL62" s="142">
        <v>1320</v>
      </c>
      <c r="AM62" s="145">
        <f t="shared" si="29"/>
        <v>1322.2238280977826</v>
      </c>
      <c r="AN62" s="147">
        <f t="shared" si="30"/>
        <v>673955.78254146094</v>
      </c>
      <c r="AO62" s="142">
        <v>335</v>
      </c>
      <c r="AP62" s="145">
        <f t="shared" si="31"/>
        <v>335.5643806157251</v>
      </c>
      <c r="AQ62" s="147">
        <f t="shared" si="32"/>
        <v>591049.43938179349</v>
      </c>
      <c r="AR62" s="142">
        <v>781</v>
      </c>
      <c r="AS62" s="145">
        <f t="shared" si="33"/>
        <v>782.31576495785464</v>
      </c>
      <c r="AT62" s="147">
        <f t="shared" si="34"/>
        <v>1131744.3416261584</v>
      </c>
      <c r="AU62" s="144">
        <f t="shared" si="35"/>
        <v>18730243.786180161</v>
      </c>
      <c r="AV62" s="148">
        <f>INDEX('Baselines+Historic Spend Factor'!P$9:P$159,MATCH('2019-20 StepbyStep Allocations'!C62,'Baselines+Historic Spend Factor'!C$9:C$159,0))</f>
        <v>17718506.682465192</v>
      </c>
      <c r="AW62" s="149">
        <v>30830.963000000003</v>
      </c>
      <c r="AX62" s="150">
        <f t="shared" si="36"/>
        <v>574.69845111439395</v>
      </c>
      <c r="AY62" s="148">
        <f t="shared" si="37"/>
        <v>580.44543562553793</v>
      </c>
      <c r="AZ62" s="148">
        <f t="shared" si="38"/>
        <v>599.54286767512633</v>
      </c>
      <c r="BA62" s="148">
        <f t="shared" si="39"/>
        <v>599.54286767512633</v>
      </c>
      <c r="BB62" s="151">
        <f t="shared" si="40"/>
        <v>0</v>
      </c>
      <c r="BC62" s="148">
        <f t="shared" si="41"/>
        <v>0</v>
      </c>
      <c r="BD62" s="144">
        <f t="shared" si="42"/>
        <v>0</v>
      </c>
      <c r="BE62" s="144">
        <f t="shared" si="4"/>
        <v>18730243.786180161</v>
      </c>
      <c r="BF62" s="144">
        <f>INDEX('Hospital Education Funding'!$G$9:$G$159,MATCH(C62,'Hospital Education Funding'!$C$9:$C$158,0))</f>
        <v>114663.28</v>
      </c>
      <c r="BG62" s="152">
        <f>INDEX('Import|Export Adjustments Data'!$Q$9:$Q$159,MATCH('2019-20 StepbyStep Allocations'!$C62,'Import|Export Adjustments Data'!$C$9:$C$159,0))</f>
        <v>-198</v>
      </c>
      <c r="BH62" s="144">
        <f t="shared" si="43"/>
        <v>-1188000</v>
      </c>
      <c r="BI62" s="153">
        <f>INDEX('Baselines+Historic Spend Factor'!$F$9:$F$159,MATCH('2019-20 StepbyStep Allocations'!C62,'Baselines+Historic Spend Factor'!C$9:C$159,0))-INDEX('Baselines+Historic Spend Factor'!$G$9:$G$159,MATCH('2019-20 StepbyStep Allocations'!C62,'Baselines+Historic Spend Factor'!C$9:C$159,0))</f>
        <v>19323269.341516513</v>
      </c>
      <c r="BJ62" s="154">
        <f t="shared" si="2"/>
        <v>19692330.413676143</v>
      </c>
      <c r="BK62" s="155">
        <f t="shared" si="44"/>
        <v>1.9099307970970036E-2</v>
      </c>
      <c r="BL62" s="156">
        <f t="shared" si="45"/>
        <v>574.69845111439395</v>
      </c>
      <c r="BM62" s="148">
        <f t="shared" si="5"/>
        <v>599.54286767512633</v>
      </c>
      <c r="BN62" s="148">
        <f t="shared" si="46"/>
        <v>599.54286767512633</v>
      </c>
      <c r="BO62" s="148">
        <f t="shared" si="6"/>
        <v>18730243.786180161</v>
      </c>
      <c r="BP62" s="144">
        <f t="shared" si="7"/>
        <v>19692330.413676143</v>
      </c>
      <c r="BQ62" s="148">
        <v>19210950.340757806</v>
      </c>
      <c r="BR62" s="157">
        <f t="shared" si="47"/>
        <v>2.5057587697629113E-2</v>
      </c>
      <c r="BT62" s="94"/>
      <c r="BU62" s="158"/>
      <c r="BX62" s="94"/>
    </row>
    <row r="63" spans="1:76" ht="15.4" x14ac:dyDescent="0.45">
      <c r="A63" s="139" t="s">
        <v>124</v>
      </c>
      <c r="B63" s="140" t="s">
        <v>158</v>
      </c>
      <c r="C63" s="102">
        <v>888</v>
      </c>
      <c r="D63" s="141" t="s">
        <v>168</v>
      </c>
      <c r="E63" s="348">
        <v>1</v>
      </c>
      <c r="F63" s="142">
        <v>2997.5</v>
      </c>
      <c r="G63" s="143">
        <f t="shared" si="8"/>
        <v>4000</v>
      </c>
      <c r="H63" s="144">
        <f t="shared" si="9"/>
        <v>11990000</v>
      </c>
      <c r="I63" s="144">
        <f>INDEX('Baselines+Historic Spend Factor'!$Q$9:$Q$159,MATCH(C63,'Baselines+Historic Spend Factor'!$C$9:$C$159,0))</f>
        <v>48059905.739182912</v>
      </c>
      <c r="J63" s="142">
        <v>237063.71799999996</v>
      </c>
      <c r="K63" s="145">
        <f t="shared" si="10"/>
        <v>237063.71799999996</v>
      </c>
      <c r="L63" s="144">
        <f t="shared" si="11"/>
        <v>27777587.315825559</v>
      </c>
      <c r="M63" s="142">
        <v>23123.000000000007</v>
      </c>
      <c r="N63" s="145">
        <f t="shared" si="12"/>
        <v>23123.000000000007</v>
      </c>
      <c r="O63" s="144">
        <f t="shared" si="13"/>
        <v>5672871.3409815375</v>
      </c>
      <c r="P63" s="142">
        <v>21952</v>
      </c>
      <c r="Q63" s="145">
        <f t="shared" si="14"/>
        <v>21952</v>
      </c>
      <c r="R63" s="147">
        <f t="shared" si="15"/>
        <v>747292.21467793116</v>
      </c>
      <c r="S63" s="142">
        <v>22383</v>
      </c>
      <c r="T63" s="145">
        <f t="shared" si="16"/>
        <v>22383</v>
      </c>
      <c r="U63" s="147">
        <f t="shared" si="17"/>
        <v>989612.57913297578</v>
      </c>
      <c r="V63" s="142">
        <v>17454</v>
      </c>
      <c r="W63" s="145">
        <f t="shared" si="18"/>
        <v>17454</v>
      </c>
      <c r="X63" s="147">
        <f t="shared" si="19"/>
        <v>1052518.1037962486</v>
      </c>
      <c r="Y63" s="142">
        <v>11008</v>
      </c>
      <c r="Z63" s="145">
        <f t="shared" si="20"/>
        <v>11008</v>
      </c>
      <c r="AA63" s="147">
        <f t="shared" si="21"/>
        <v>710025.06273456104</v>
      </c>
      <c r="AB63" s="142">
        <v>14365</v>
      </c>
      <c r="AC63" s="145">
        <f t="shared" si="22"/>
        <v>14365</v>
      </c>
      <c r="AD63" s="147">
        <f t="shared" si="23"/>
        <v>1014616.9004351114</v>
      </c>
      <c r="AE63" s="142">
        <v>3653</v>
      </c>
      <c r="AF63" s="145">
        <f t="shared" si="24"/>
        <v>3653</v>
      </c>
      <c r="AG63" s="147">
        <f t="shared" si="25"/>
        <v>349138.87488352164</v>
      </c>
      <c r="AH63" s="144">
        <f t="shared" si="26"/>
        <v>4863203.735660349</v>
      </c>
      <c r="AI63" s="142">
        <v>1279</v>
      </c>
      <c r="AJ63" s="145">
        <f t="shared" si="27"/>
        <v>1279</v>
      </c>
      <c r="AK63" s="147">
        <f t="shared" si="28"/>
        <v>3947502.0569552504</v>
      </c>
      <c r="AL63" s="142">
        <v>8350</v>
      </c>
      <c r="AM63" s="145">
        <f t="shared" si="29"/>
        <v>8350</v>
      </c>
      <c r="AN63" s="147">
        <f t="shared" si="30"/>
        <v>4256110.5499945842</v>
      </c>
      <c r="AO63" s="142">
        <v>2287</v>
      </c>
      <c r="AP63" s="145">
        <f t="shared" si="31"/>
        <v>2287</v>
      </c>
      <c r="AQ63" s="147">
        <f t="shared" si="32"/>
        <v>4028228.6975330338</v>
      </c>
      <c r="AR63" s="142">
        <v>3340</v>
      </c>
      <c r="AS63" s="145">
        <f t="shared" si="33"/>
        <v>3340</v>
      </c>
      <c r="AT63" s="147">
        <f t="shared" si="34"/>
        <v>4831841.911347663</v>
      </c>
      <c r="AU63" s="144">
        <f t="shared" si="35"/>
        <v>103437251.34748089</v>
      </c>
      <c r="AV63" s="148">
        <f>INDEX('Baselines+Historic Spend Factor'!P$9:P$159,MATCH('2019-20 StepbyStep Allocations'!C63,'Baselines+Historic Spend Factor'!C$9:C$159,0))</f>
        <v>96119811.478365824</v>
      </c>
      <c r="AW63" s="149">
        <v>235112.77900000001</v>
      </c>
      <c r="AX63" s="150">
        <f t="shared" si="36"/>
        <v>408.82427525713445</v>
      </c>
      <c r="AY63" s="148">
        <f t="shared" si="37"/>
        <v>412.91251800970582</v>
      </c>
      <c r="AZ63" s="148">
        <f t="shared" si="38"/>
        <v>436.32679104223325</v>
      </c>
      <c r="BA63" s="148">
        <f t="shared" si="39"/>
        <v>436.32679104223325</v>
      </c>
      <c r="BB63" s="151">
        <f t="shared" si="40"/>
        <v>0</v>
      </c>
      <c r="BC63" s="148">
        <f t="shared" si="41"/>
        <v>0</v>
      </c>
      <c r="BD63" s="144">
        <f t="shared" si="42"/>
        <v>0</v>
      </c>
      <c r="BE63" s="144">
        <f t="shared" si="4"/>
        <v>103437251.34748089</v>
      </c>
      <c r="BF63" s="144">
        <f>INDEX('Hospital Education Funding'!$G$9:$G$159,MATCH(C63,'Hospital Education Funding'!$C$9:$C$158,0))</f>
        <v>616100</v>
      </c>
      <c r="BG63" s="152">
        <f>INDEX('Import|Export Adjustments Data'!$Q$9:$Q$159,MATCH('2019-20 StepbyStep Allocations'!$C63,'Import|Export Adjustments Data'!$C$9:$C$159,0))</f>
        <v>-181</v>
      </c>
      <c r="BH63" s="144">
        <f t="shared" si="43"/>
        <v>-1086000</v>
      </c>
      <c r="BI63" s="153">
        <f>INDEX('Baselines+Historic Spend Factor'!$F$9:$F$159,MATCH('2019-20 StepbyStep Allocations'!C63,'Baselines+Historic Spend Factor'!C$9:C$159,0))-INDEX('Baselines+Historic Spend Factor'!$G$9:$G$159,MATCH('2019-20 StepbyStep Allocations'!C63,'Baselines+Historic Spend Factor'!C$9:C$159,0))</f>
        <v>107001811.47836582</v>
      </c>
      <c r="BJ63" s="154">
        <f t="shared" si="2"/>
        <v>114957351.34748089</v>
      </c>
      <c r="BK63" s="155">
        <f t="shared" si="44"/>
        <v>7.4349581181843538E-2</v>
      </c>
      <c r="BL63" s="156">
        <f t="shared" si="45"/>
        <v>408.82427525713445</v>
      </c>
      <c r="BM63" s="148">
        <f t="shared" si="5"/>
        <v>436.32679104223325</v>
      </c>
      <c r="BN63" s="148">
        <f t="shared" si="46"/>
        <v>433.72167362029393</v>
      </c>
      <c r="BO63" s="148">
        <f t="shared" si="6"/>
        <v>102819672.52560939</v>
      </c>
      <c r="BP63" s="144">
        <f t="shared" si="7"/>
        <v>114339772.52560939</v>
      </c>
      <c r="BQ63" s="148">
        <v>110753165.99344607</v>
      </c>
      <c r="BR63" s="157">
        <f t="shared" si="47"/>
        <v>3.2383783343724604E-2</v>
      </c>
      <c r="BT63" s="94"/>
      <c r="BU63" s="158"/>
      <c r="BX63" s="94"/>
    </row>
    <row r="64" spans="1:76" ht="15.4" x14ac:dyDescent="0.45">
      <c r="A64" s="139" t="s">
        <v>194</v>
      </c>
      <c r="B64" s="140" t="s">
        <v>158</v>
      </c>
      <c r="C64" s="102">
        <v>341</v>
      </c>
      <c r="D64" s="141" t="s">
        <v>169</v>
      </c>
      <c r="E64" s="348">
        <v>1.0016847182558959</v>
      </c>
      <c r="F64" s="142">
        <v>1406</v>
      </c>
      <c r="G64" s="143">
        <f t="shared" si="8"/>
        <v>4006.7388730235834</v>
      </c>
      <c r="H64" s="144">
        <f t="shared" si="9"/>
        <v>5633474.8554711584</v>
      </c>
      <c r="I64" s="144">
        <f>INDEX('Baselines+Historic Spend Factor'!$Q$9:$Q$159,MATCH(C64,'Baselines+Historic Spend Factor'!$C$9:$C$159,0))</f>
        <v>19616464.380863205</v>
      </c>
      <c r="J64" s="142">
        <v>89145.667000000016</v>
      </c>
      <c r="K64" s="145">
        <f t="shared" si="10"/>
        <v>89295.852332628929</v>
      </c>
      <c r="L64" s="144">
        <f t="shared" si="11"/>
        <v>10463108.214267803</v>
      </c>
      <c r="M64" s="142">
        <v>16836.500000000011</v>
      </c>
      <c r="N64" s="145">
        <f t="shared" si="12"/>
        <v>16864.864758915402</v>
      </c>
      <c r="O64" s="144">
        <f t="shared" si="13"/>
        <v>4137534.401261976</v>
      </c>
      <c r="P64" s="142">
        <v>4894</v>
      </c>
      <c r="Q64" s="145">
        <f t="shared" si="14"/>
        <v>4902.2450111443541</v>
      </c>
      <c r="R64" s="147">
        <f t="shared" si="15"/>
        <v>166882.72281668655</v>
      </c>
      <c r="S64" s="142">
        <v>6990</v>
      </c>
      <c r="T64" s="145">
        <f t="shared" si="16"/>
        <v>7001.7761806087119</v>
      </c>
      <c r="U64" s="147">
        <f t="shared" si="17"/>
        <v>309567.34059795487</v>
      </c>
      <c r="V64" s="142">
        <v>7321</v>
      </c>
      <c r="W64" s="145">
        <f t="shared" si="18"/>
        <v>7333.3338223514138</v>
      </c>
      <c r="X64" s="147">
        <f t="shared" si="19"/>
        <v>442217.63545354665</v>
      </c>
      <c r="Y64" s="142">
        <v>6828</v>
      </c>
      <c r="Z64" s="145">
        <f t="shared" si="20"/>
        <v>6839.503256251257</v>
      </c>
      <c r="AA64" s="147">
        <f t="shared" si="21"/>
        <v>441153.5908968962</v>
      </c>
      <c r="AB64" s="142">
        <v>23416</v>
      </c>
      <c r="AC64" s="145">
        <f t="shared" si="22"/>
        <v>23455.449362680058</v>
      </c>
      <c r="AD64" s="147">
        <f t="shared" si="23"/>
        <v>1656686.0654838253</v>
      </c>
      <c r="AE64" s="142">
        <v>13645</v>
      </c>
      <c r="AF64" s="145">
        <f t="shared" si="24"/>
        <v>13667.9879806017</v>
      </c>
      <c r="AG64" s="147">
        <f t="shared" si="25"/>
        <v>1306330.6721786954</v>
      </c>
      <c r="AH64" s="144">
        <f t="shared" si="26"/>
        <v>4322838.0274276054</v>
      </c>
      <c r="AI64" s="142">
        <v>774</v>
      </c>
      <c r="AJ64" s="145">
        <f t="shared" si="27"/>
        <v>775.30397193006343</v>
      </c>
      <c r="AK64" s="147">
        <f t="shared" si="28"/>
        <v>2392896.0312427683</v>
      </c>
      <c r="AL64" s="142">
        <v>4580</v>
      </c>
      <c r="AM64" s="145">
        <f t="shared" si="29"/>
        <v>4587.7160096120033</v>
      </c>
      <c r="AN64" s="147">
        <f t="shared" si="30"/>
        <v>2338422.3363938569</v>
      </c>
      <c r="AO64" s="142">
        <v>1076</v>
      </c>
      <c r="AP64" s="145">
        <f t="shared" si="31"/>
        <v>1077.812756843344</v>
      </c>
      <c r="AQ64" s="147">
        <f t="shared" si="32"/>
        <v>1898415.5127606262</v>
      </c>
      <c r="AR64" s="142">
        <v>1661</v>
      </c>
      <c r="AS64" s="145">
        <f t="shared" si="33"/>
        <v>1663.7983170230432</v>
      </c>
      <c r="AT64" s="147">
        <f t="shared" si="34"/>
        <v>2406949.2335992954</v>
      </c>
      <c r="AU64" s="144">
        <f t="shared" si="35"/>
        <v>47576628.137817137</v>
      </c>
      <c r="AV64" s="148">
        <f>INDEX('Baselines+Historic Spend Factor'!P$9:P$159,MATCH('2019-20 StepbyStep Allocations'!C64,'Baselines+Historic Spend Factor'!C$9:C$159,0))</f>
        <v>39232928.761726409</v>
      </c>
      <c r="AW64" s="149">
        <v>87207.813999999998</v>
      </c>
      <c r="AX64" s="150">
        <f t="shared" si="36"/>
        <v>449.87859415586786</v>
      </c>
      <c r="AY64" s="148">
        <f t="shared" si="37"/>
        <v>454.37738009742657</v>
      </c>
      <c r="AZ64" s="148">
        <f t="shared" si="38"/>
        <v>533.69535210070421</v>
      </c>
      <c r="BA64" s="148">
        <f t="shared" si="39"/>
        <v>533.69535210070421</v>
      </c>
      <c r="BB64" s="151">
        <f t="shared" si="40"/>
        <v>0</v>
      </c>
      <c r="BC64" s="148">
        <f t="shared" si="41"/>
        <v>0</v>
      </c>
      <c r="BD64" s="144">
        <f t="shared" si="42"/>
        <v>0</v>
      </c>
      <c r="BE64" s="144">
        <f t="shared" si="4"/>
        <v>47576628.137817137</v>
      </c>
      <c r="BF64" s="144">
        <f>INDEX('Hospital Education Funding'!$G$9:$G$159,MATCH(C64,'Hospital Education Funding'!$C$9:$C$158,0))</f>
        <v>618488.65</v>
      </c>
      <c r="BG64" s="152">
        <f>INDEX('Import|Export Adjustments Data'!$Q$9:$Q$159,MATCH('2019-20 StepbyStep Allocations'!$C64,'Import|Export Adjustments Data'!$C$9:$C$159,0))</f>
        <v>-46.5</v>
      </c>
      <c r="BH64" s="144">
        <f t="shared" si="43"/>
        <v>-279000</v>
      </c>
      <c r="BI64" s="153">
        <f>INDEX('Baselines+Historic Spend Factor'!$F$9:$F$159,MATCH('2019-20 StepbyStep Allocations'!C64,'Baselines+Historic Spend Factor'!C$9:C$159,0))-INDEX('Baselines+Historic Spend Factor'!$G$9:$G$159,MATCH('2019-20 StepbyStep Allocations'!C64,'Baselines+Historic Spend Factor'!C$9:C$159,0))</f>
        <v>44890040.818911023</v>
      </c>
      <c r="BJ64" s="154">
        <f t="shared" si="2"/>
        <v>53549591.643288292</v>
      </c>
      <c r="BK64" s="155">
        <f t="shared" si="44"/>
        <v>0.19290583537917438</v>
      </c>
      <c r="BL64" s="156">
        <f t="shared" si="45"/>
        <v>449.87859415586786</v>
      </c>
      <c r="BM64" s="148">
        <f t="shared" si="5"/>
        <v>533.69535210070421</v>
      </c>
      <c r="BN64" s="148">
        <f t="shared" si="46"/>
        <v>477.2762005399602</v>
      </c>
      <c r="BO64" s="148">
        <f t="shared" si="6"/>
        <v>42547105.240360521</v>
      </c>
      <c r="BP64" s="144">
        <f t="shared" si="7"/>
        <v>48520068.745831683</v>
      </c>
      <c r="BQ64" s="148">
        <v>46298230.886010408</v>
      </c>
      <c r="BR64" s="157">
        <f t="shared" si="47"/>
        <v>4.7989692420248309E-2</v>
      </c>
      <c r="BT64" s="94"/>
      <c r="BU64" s="158"/>
      <c r="BX64" s="94"/>
    </row>
    <row r="65" spans="1:76" ht="15.4" x14ac:dyDescent="0.45">
      <c r="A65" s="139" t="s">
        <v>195</v>
      </c>
      <c r="B65" s="140" t="s">
        <v>158</v>
      </c>
      <c r="C65" s="102">
        <v>352</v>
      </c>
      <c r="D65" s="141" t="s">
        <v>170</v>
      </c>
      <c r="E65" s="348">
        <v>1.0082072667712707</v>
      </c>
      <c r="F65" s="142">
        <v>1463</v>
      </c>
      <c r="G65" s="143">
        <f t="shared" si="8"/>
        <v>4032.8290670850829</v>
      </c>
      <c r="H65" s="144">
        <f t="shared" si="9"/>
        <v>5900028.9251454761</v>
      </c>
      <c r="I65" s="144">
        <f>INDEX('Baselines+Historic Spend Factor'!$Q$9:$Q$159,MATCH(C65,'Baselines+Historic Spend Factor'!$C$9:$C$159,0))</f>
        <v>31740265.604387954</v>
      </c>
      <c r="J65" s="142">
        <v>116427.86100000002</v>
      </c>
      <c r="K65" s="145">
        <f t="shared" si="10"/>
        <v>117383.41551483545</v>
      </c>
      <c r="L65" s="144">
        <f t="shared" si="11"/>
        <v>13754226.50670304</v>
      </c>
      <c r="M65" s="142">
        <v>20167.833332999984</v>
      </c>
      <c r="N65" s="145">
        <f t="shared" si="12"/>
        <v>20333.356121362442</v>
      </c>
      <c r="O65" s="144">
        <f t="shared" si="13"/>
        <v>4988475.2500475058</v>
      </c>
      <c r="P65" s="142">
        <v>8537</v>
      </c>
      <c r="Q65" s="145">
        <f t="shared" si="14"/>
        <v>8607.0654364263373</v>
      </c>
      <c r="R65" s="147">
        <f t="shared" si="15"/>
        <v>293002.59620375873</v>
      </c>
      <c r="S65" s="142">
        <v>12901</v>
      </c>
      <c r="T65" s="145">
        <f t="shared" si="16"/>
        <v>13006.881948616163</v>
      </c>
      <c r="U65" s="147">
        <f t="shared" si="17"/>
        <v>575069.20393370802</v>
      </c>
      <c r="V65" s="142">
        <v>11646</v>
      </c>
      <c r="W65" s="145">
        <f t="shared" si="18"/>
        <v>11741.581828818218</v>
      </c>
      <c r="X65" s="147">
        <f t="shared" si="19"/>
        <v>708045.57362416852</v>
      </c>
      <c r="Y65" s="142">
        <v>15278</v>
      </c>
      <c r="Z65" s="145">
        <f t="shared" si="20"/>
        <v>15403.390621731474</v>
      </c>
      <c r="AA65" s="147">
        <f t="shared" si="21"/>
        <v>993531.37650071201</v>
      </c>
      <c r="AB65" s="142">
        <v>28190</v>
      </c>
      <c r="AC65" s="145">
        <f t="shared" si="22"/>
        <v>28421.362850282123</v>
      </c>
      <c r="AD65" s="147">
        <f t="shared" si="23"/>
        <v>2007434.3947995037</v>
      </c>
      <c r="AE65" s="142">
        <v>15486</v>
      </c>
      <c r="AF65" s="145">
        <f t="shared" si="24"/>
        <v>15613.097733219898</v>
      </c>
      <c r="AG65" s="147">
        <f t="shared" si="25"/>
        <v>1492236.3471182198</v>
      </c>
      <c r="AH65" s="144">
        <f t="shared" si="26"/>
        <v>6069319.4921800708</v>
      </c>
      <c r="AI65" s="142">
        <v>972</v>
      </c>
      <c r="AJ65" s="145">
        <f t="shared" si="27"/>
        <v>979.97746330167513</v>
      </c>
      <c r="AK65" s="147">
        <f t="shared" si="28"/>
        <v>3024599.7280321741</v>
      </c>
      <c r="AL65" s="142">
        <v>4580</v>
      </c>
      <c r="AM65" s="145">
        <f t="shared" si="29"/>
        <v>4617.5892818124203</v>
      </c>
      <c r="AN65" s="147">
        <f t="shared" si="30"/>
        <v>2353649.1566303903</v>
      </c>
      <c r="AO65" s="142">
        <v>1444</v>
      </c>
      <c r="AP65" s="145">
        <f t="shared" si="31"/>
        <v>1455.851293217715</v>
      </c>
      <c r="AQ65" s="147">
        <f t="shared" si="32"/>
        <v>2564277.2009970178</v>
      </c>
      <c r="AR65" s="142">
        <v>1985</v>
      </c>
      <c r="AS65" s="145">
        <f t="shared" si="33"/>
        <v>2001.2914245409725</v>
      </c>
      <c r="AT65" s="147">
        <f t="shared" si="34"/>
        <v>2895186.7610532152</v>
      </c>
      <c r="AU65" s="144">
        <f t="shared" si="35"/>
        <v>67389999.70003137</v>
      </c>
      <c r="AV65" s="148">
        <f>INDEX('Baselines+Historic Spend Factor'!P$9:P$159,MATCH('2019-20 StepbyStep Allocations'!C65,'Baselines+Historic Spend Factor'!C$9:C$159,0))</f>
        <v>63480531.208775908</v>
      </c>
      <c r="AW65" s="149">
        <v>112822.79599999999</v>
      </c>
      <c r="AX65" s="150">
        <f t="shared" si="36"/>
        <v>562.65695816274501</v>
      </c>
      <c r="AY65" s="148">
        <f t="shared" si="37"/>
        <v>568.28352774437246</v>
      </c>
      <c r="AZ65" s="148">
        <f t="shared" si="38"/>
        <v>578.81334520120879</v>
      </c>
      <c r="BA65" s="148">
        <f t="shared" si="39"/>
        <v>578.81334520120879</v>
      </c>
      <c r="BB65" s="151">
        <f t="shared" si="40"/>
        <v>0</v>
      </c>
      <c r="BC65" s="148">
        <f t="shared" si="41"/>
        <v>0</v>
      </c>
      <c r="BD65" s="144">
        <f t="shared" si="42"/>
        <v>0</v>
      </c>
      <c r="BE65" s="144">
        <f t="shared" si="4"/>
        <v>67389999.70003137</v>
      </c>
      <c r="BF65" s="144">
        <f>INDEX('Hospital Education Funding'!$G$9:$G$159,MATCH(C65,'Hospital Education Funding'!$C$9:$C$158,0))</f>
        <v>1901342.5</v>
      </c>
      <c r="BG65" s="152">
        <f>INDEX('Import|Export Adjustments Data'!$Q$9:$Q$159,MATCH('2019-20 StepbyStep Allocations'!$C65,'Import|Export Adjustments Data'!$C$9:$C$159,0))</f>
        <v>-77.333333000000039</v>
      </c>
      <c r="BH65" s="144">
        <f t="shared" si="43"/>
        <v>-463999.99800000025</v>
      </c>
      <c r="BI65" s="153">
        <f>INDEX('Baselines+Historic Spend Factor'!$F$9:$F$159,MATCH('2019-20 StepbyStep Allocations'!C65,'Baselines+Historic Spend Factor'!C$9:C$159,0))-INDEX('Baselines+Historic Spend Factor'!$G$9:$G$159,MATCH('2019-20 StepbyStep Allocations'!C65,'Baselines+Historic Spend Factor'!C$9:C$159,0))</f>
        <v>70237404.496410996</v>
      </c>
      <c r="BJ65" s="154">
        <f t="shared" si="2"/>
        <v>74727371.127176851</v>
      </c>
      <c r="BK65" s="155">
        <f t="shared" si="44"/>
        <v>6.3925577303974634E-2</v>
      </c>
      <c r="BL65" s="156">
        <f t="shared" si="45"/>
        <v>562.65695816274501</v>
      </c>
      <c r="BM65" s="148">
        <f t="shared" si="5"/>
        <v>578.81334520120879</v>
      </c>
      <c r="BN65" s="148">
        <f t="shared" si="46"/>
        <v>578.81334520120879</v>
      </c>
      <c r="BO65" s="148">
        <f t="shared" si="6"/>
        <v>67389999.70003137</v>
      </c>
      <c r="BP65" s="144">
        <f t="shared" si="7"/>
        <v>74727371.127176851</v>
      </c>
      <c r="BQ65" s="148">
        <v>73481557.735347852</v>
      </c>
      <c r="BR65" s="157">
        <f t="shared" si="47"/>
        <v>1.6954096105528116E-2</v>
      </c>
      <c r="BT65" s="94"/>
      <c r="BU65" s="158"/>
      <c r="BX65" s="94"/>
    </row>
    <row r="66" spans="1:76" ht="15.4" x14ac:dyDescent="0.45">
      <c r="A66" s="139" t="s">
        <v>208</v>
      </c>
      <c r="B66" s="140" t="s">
        <v>158</v>
      </c>
      <c r="C66" s="102">
        <v>353</v>
      </c>
      <c r="D66" s="141" t="s">
        <v>171</v>
      </c>
      <c r="E66" s="348">
        <v>1.0082072667712707</v>
      </c>
      <c r="F66" s="142">
        <v>832.83333300000004</v>
      </c>
      <c r="G66" s="143">
        <f t="shared" si="8"/>
        <v>4032.8290670850829</v>
      </c>
      <c r="H66" s="144">
        <f t="shared" si="9"/>
        <v>3358674.4733597501</v>
      </c>
      <c r="I66" s="144">
        <f>INDEX('Baselines+Historic Spend Factor'!$Q$9:$Q$159,MATCH(C66,'Baselines+Historic Spend Factor'!$C$9:$C$159,0))</f>
        <v>13051513.011100166</v>
      </c>
      <c r="J66" s="142">
        <v>56520.367999999995</v>
      </c>
      <c r="K66" s="145">
        <f t="shared" si="10"/>
        <v>56984.245738186386</v>
      </c>
      <c r="L66" s="144">
        <f t="shared" si="11"/>
        <v>6677043.9398024324</v>
      </c>
      <c r="M66" s="142">
        <v>7636.5000000000055</v>
      </c>
      <c r="N66" s="145">
        <f t="shared" si="12"/>
        <v>7699.1747926988146</v>
      </c>
      <c r="O66" s="144">
        <f t="shared" si="13"/>
        <v>1888873.7633831494</v>
      </c>
      <c r="P66" s="142">
        <v>6062</v>
      </c>
      <c r="Q66" s="145">
        <f t="shared" si="14"/>
        <v>6111.7524511674428</v>
      </c>
      <c r="R66" s="147">
        <f t="shared" si="15"/>
        <v>208056.89799545336</v>
      </c>
      <c r="S66" s="142">
        <v>6703</v>
      </c>
      <c r="T66" s="145">
        <f t="shared" si="16"/>
        <v>6758.0133091678272</v>
      </c>
      <c r="U66" s="147">
        <f t="shared" si="17"/>
        <v>298789.92899524415</v>
      </c>
      <c r="V66" s="142">
        <v>8480</v>
      </c>
      <c r="W66" s="145">
        <f t="shared" si="18"/>
        <v>8549.5976222203753</v>
      </c>
      <c r="X66" s="147">
        <f t="shared" si="19"/>
        <v>515561.26260801556</v>
      </c>
      <c r="Y66" s="142">
        <v>5427</v>
      </c>
      <c r="Z66" s="145">
        <f t="shared" si="20"/>
        <v>5471.5408367676864</v>
      </c>
      <c r="AA66" s="147">
        <f t="shared" si="21"/>
        <v>352918.88861561491</v>
      </c>
      <c r="AB66" s="142">
        <v>7251</v>
      </c>
      <c r="AC66" s="145">
        <f t="shared" si="22"/>
        <v>7310.5108913584836</v>
      </c>
      <c r="AD66" s="147">
        <f t="shared" si="23"/>
        <v>516350.01052469667</v>
      </c>
      <c r="AE66" s="142">
        <v>2356</v>
      </c>
      <c r="AF66" s="145">
        <f t="shared" si="24"/>
        <v>2375.3363205131136</v>
      </c>
      <c r="AG66" s="147">
        <f t="shared" si="25"/>
        <v>227024.97958223723</v>
      </c>
      <c r="AH66" s="144">
        <f t="shared" si="26"/>
        <v>2118701.9683212619</v>
      </c>
      <c r="AI66" s="142">
        <v>420</v>
      </c>
      <c r="AJ66" s="145">
        <f t="shared" si="27"/>
        <v>423.4470520439337</v>
      </c>
      <c r="AK66" s="147">
        <f t="shared" si="28"/>
        <v>1306925.8084089642</v>
      </c>
      <c r="AL66" s="142">
        <v>2290</v>
      </c>
      <c r="AM66" s="145">
        <f t="shared" si="29"/>
        <v>2308.7946409062101</v>
      </c>
      <c r="AN66" s="147">
        <f t="shared" si="30"/>
        <v>1176824.5783151952</v>
      </c>
      <c r="AO66" s="142">
        <v>664</v>
      </c>
      <c r="AP66" s="145">
        <f t="shared" si="31"/>
        <v>669.4496251361237</v>
      </c>
      <c r="AQ66" s="147">
        <f t="shared" si="32"/>
        <v>1179141.3168019527</v>
      </c>
      <c r="AR66" s="142">
        <v>1036</v>
      </c>
      <c r="AS66" s="145">
        <f t="shared" si="33"/>
        <v>1044.5027283750364</v>
      </c>
      <c r="AT66" s="147">
        <f t="shared" si="34"/>
        <v>1511039.5387663129</v>
      </c>
      <c r="AU66" s="144">
        <f t="shared" si="35"/>
        <v>28910063.924899437</v>
      </c>
      <c r="AV66" s="148">
        <f>INDEX('Baselines+Historic Spend Factor'!P$9:P$159,MATCH('2019-20 StepbyStep Allocations'!C66,'Baselines+Historic Spend Factor'!C$9:C$159,0))</f>
        <v>26103026.022200331</v>
      </c>
      <c r="AW66" s="149">
        <v>55725.29</v>
      </c>
      <c r="AX66" s="150">
        <f t="shared" si="36"/>
        <v>468.42333206700818</v>
      </c>
      <c r="AY66" s="148">
        <f t="shared" si="37"/>
        <v>473.10756538767828</v>
      </c>
      <c r="AZ66" s="148">
        <f t="shared" si="38"/>
        <v>511.49815452191393</v>
      </c>
      <c r="BA66" s="148">
        <f t="shared" si="39"/>
        <v>511.49815452191393</v>
      </c>
      <c r="BB66" s="151">
        <f t="shared" si="40"/>
        <v>0</v>
      </c>
      <c r="BC66" s="148">
        <f t="shared" si="41"/>
        <v>0</v>
      </c>
      <c r="BD66" s="144">
        <f t="shared" si="42"/>
        <v>0</v>
      </c>
      <c r="BE66" s="144">
        <f t="shared" si="4"/>
        <v>28910063.924899437</v>
      </c>
      <c r="BF66" s="144">
        <f>INDEX('Hospital Education Funding'!$G$9:$G$159,MATCH(C66,'Hospital Education Funding'!$C$9:$C$158,0))</f>
        <v>449837.84</v>
      </c>
      <c r="BG66" s="152">
        <f>INDEX('Import|Export Adjustments Data'!$Q$9:$Q$159,MATCH('2019-20 StepbyStep Allocations'!$C66,'Import|Export Adjustments Data'!$C$9:$C$159,0))</f>
        <v>9.3333330000000387</v>
      </c>
      <c r="BH66" s="144">
        <f t="shared" si="43"/>
        <v>55999.998000000232</v>
      </c>
      <c r="BI66" s="153">
        <f>INDEX('Baselines+Historic Spend Factor'!$F$9:$F$159,MATCH('2019-20 StepbyStep Allocations'!C66,'Baselines+Historic Spend Factor'!C$9:C$159,0))-INDEX('Baselines+Historic Spend Factor'!$G$9:$G$159,MATCH('2019-20 StepbyStep Allocations'!C66,'Baselines+Historic Spend Factor'!C$9:C$159,0))</f>
        <v>29756441.755659733</v>
      </c>
      <c r="BJ66" s="154">
        <f t="shared" si="2"/>
        <v>32774576.236259185</v>
      </c>
      <c r="BK66" s="155">
        <f t="shared" si="44"/>
        <v>0.10142793635685288</v>
      </c>
      <c r="BL66" s="156">
        <f t="shared" si="45"/>
        <v>468.42333206700818</v>
      </c>
      <c r="BM66" s="148">
        <f t="shared" si="5"/>
        <v>511.49815452191393</v>
      </c>
      <c r="BN66" s="148">
        <f t="shared" si="46"/>
        <v>496.95031298988897</v>
      </c>
      <c r="BO66" s="148">
        <f t="shared" si="6"/>
        <v>28087814.567903701</v>
      </c>
      <c r="BP66" s="144">
        <f t="shared" si="7"/>
        <v>31952326.879263453</v>
      </c>
      <c r="BQ66" s="148">
        <v>30807151.83673995</v>
      </c>
      <c r="BR66" s="157">
        <f t="shared" si="47"/>
        <v>3.7172376355732784E-2</v>
      </c>
      <c r="BT66" s="94"/>
      <c r="BU66" s="158"/>
      <c r="BX66" s="94"/>
    </row>
    <row r="67" spans="1:76" ht="15.4" x14ac:dyDescent="0.45">
      <c r="A67" s="139" t="s">
        <v>136</v>
      </c>
      <c r="B67" s="140" t="s">
        <v>158</v>
      </c>
      <c r="C67" s="102">
        <v>354</v>
      </c>
      <c r="D67" s="141" t="s">
        <v>172</v>
      </c>
      <c r="E67" s="348">
        <v>1.0082072667712707</v>
      </c>
      <c r="F67" s="142">
        <v>571.5</v>
      </c>
      <c r="G67" s="143">
        <f t="shared" si="8"/>
        <v>4032.8290670850829</v>
      </c>
      <c r="H67" s="144">
        <f t="shared" si="9"/>
        <v>2304761.8118391247</v>
      </c>
      <c r="I67" s="144">
        <f>INDEX('Baselines+Historic Spend Factor'!$Q$9:$Q$159,MATCH(C67,'Baselines+Historic Spend Factor'!$C$9:$C$159,0))</f>
        <v>9880293.7918790244</v>
      </c>
      <c r="J67" s="142">
        <v>49125.876000000004</v>
      </c>
      <c r="K67" s="145">
        <f t="shared" si="10"/>
        <v>49529.065169704372</v>
      </c>
      <c r="L67" s="144">
        <f t="shared" si="11"/>
        <v>5803494.284277942</v>
      </c>
      <c r="M67" s="142">
        <v>6803</v>
      </c>
      <c r="N67" s="145">
        <f t="shared" si="12"/>
        <v>6858.834035844955</v>
      </c>
      <c r="O67" s="144">
        <f t="shared" si="13"/>
        <v>1682709.1222805677</v>
      </c>
      <c r="P67" s="142">
        <v>4655</v>
      </c>
      <c r="Q67" s="145">
        <f t="shared" si="14"/>
        <v>4693.2048268202652</v>
      </c>
      <c r="R67" s="147">
        <f t="shared" si="15"/>
        <v>159766.55562006522</v>
      </c>
      <c r="S67" s="142">
        <v>8546</v>
      </c>
      <c r="T67" s="145">
        <f t="shared" si="16"/>
        <v>8616.1393018272793</v>
      </c>
      <c r="U67" s="147">
        <f t="shared" si="17"/>
        <v>380942.67241434532</v>
      </c>
      <c r="V67" s="142">
        <v>5451</v>
      </c>
      <c r="W67" s="145">
        <f t="shared" si="18"/>
        <v>5495.7378111701964</v>
      </c>
      <c r="X67" s="147">
        <f t="shared" si="19"/>
        <v>331406.18425427983</v>
      </c>
      <c r="Y67" s="142">
        <v>3899</v>
      </c>
      <c r="Z67" s="145">
        <f t="shared" si="20"/>
        <v>3931.0001331411845</v>
      </c>
      <c r="AA67" s="147">
        <f t="shared" si="21"/>
        <v>253552.7449257937</v>
      </c>
      <c r="AB67" s="142">
        <v>8154</v>
      </c>
      <c r="AC67" s="145">
        <f t="shared" si="22"/>
        <v>8220.9220532529416</v>
      </c>
      <c r="AD67" s="147">
        <f t="shared" si="23"/>
        <v>580653.42515768553</v>
      </c>
      <c r="AE67" s="142">
        <v>1476</v>
      </c>
      <c r="AF67" s="145">
        <f t="shared" si="24"/>
        <v>1488.1139257543955</v>
      </c>
      <c r="AG67" s="147">
        <f t="shared" si="25"/>
        <v>142227.87345644404</v>
      </c>
      <c r="AH67" s="144">
        <f t="shared" si="26"/>
        <v>1848549.4558286134</v>
      </c>
      <c r="AI67" s="142">
        <v>341</v>
      </c>
      <c r="AJ67" s="145">
        <f t="shared" si="27"/>
        <v>343.79867796900334</v>
      </c>
      <c r="AK67" s="147">
        <f t="shared" si="28"/>
        <v>1061099.2873034687</v>
      </c>
      <c r="AL67" s="142">
        <v>2300</v>
      </c>
      <c r="AM67" s="145">
        <f t="shared" si="29"/>
        <v>2318.8767135739226</v>
      </c>
      <c r="AN67" s="147">
        <f t="shared" si="30"/>
        <v>1181963.5502729032</v>
      </c>
      <c r="AO67" s="142">
        <v>540</v>
      </c>
      <c r="AP67" s="145">
        <f t="shared" si="31"/>
        <v>544.4319240564862</v>
      </c>
      <c r="AQ67" s="147">
        <f t="shared" si="32"/>
        <v>958940.22751966026</v>
      </c>
      <c r="AR67" s="142">
        <v>681</v>
      </c>
      <c r="AS67" s="145">
        <f t="shared" si="33"/>
        <v>686.58914867123531</v>
      </c>
      <c r="AT67" s="147">
        <f t="shared" si="34"/>
        <v>993260.54623538512</v>
      </c>
      <c r="AU67" s="144">
        <f t="shared" si="35"/>
        <v>23410310.265597571</v>
      </c>
      <c r="AV67" s="148">
        <f>INDEX('Baselines+Historic Spend Factor'!P$9:P$159,MATCH('2019-20 StepbyStep Allocations'!C67,'Baselines+Historic Spend Factor'!C$9:C$159,0))</f>
        <v>19760587.583758049</v>
      </c>
      <c r="AW67" s="149">
        <v>48478.239999999998</v>
      </c>
      <c r="AX67" s="150">
        <f t="shared" si="36"/>
        <v>407.61767720441276</v>
      </c>
      <c r="AY67" s="148">
        <f t="shared" si="37"/>
        <v>411.69385397645686</v>
      </c>
      <c r="AZ67" s="148">
        <f t="shared" si="38"/>
        <v>476.53725840120529</v>
      </c>
      <c r="BA67" s="148">
        <f t="shared" si="39"/>
        <v>476.53725840120529</v>
      </c>
      <c r="BB67" s="151">
        <f t="shared" si="40"/>
        <v>0</v>
      </c>
      <c r="BC67" s="148">
        <f t="shared" si="41"/>
        <v>0</v>
      </c>
      <c r="BD67" s="144">
        <f t="shared" si="42"/>
        <v>0</v>
      </c>
      <c r="BE67" s="144">
        <f t="shared" si="4"/>
        <v>23410310.265597571</v>
      </c>
      <c r="BF67" s="144">
        <f>INDEX('Hospital Education Funding'!$G$9:$G$159,MATCH(C67,'Hospital Education Funding'!$C$9:$C$158,0))</f>
        <v>0</v>
      </c>
      <c r="BG67" s="152">
        <f>INDEX('Import|Export Adjustments Data'!$Q$9:$Q$159,MATCH('2019-20 StepbyStep Allocations'!$C67,'Import|Export Adjustments Data'!$C$9:$C$159,0))</f>
        <v>-62</v>
      </c>
      <c r="BH67" s="144">
        <f t="shared" si="43"/>
        <v>-372000</v>
      </c>
      <c r="BI67" s="153">
        <f>INDEX('Baselines+Historic Spend Factor'!$F$9:$F$159,MATCH('2019-20 StepbyStep Allocations'!C67,'Baselines+Historic Spend Factor'!C$9:C$159,0))-INDEX('Baselines+Historic Spend Factor'!$G$9:$G$159,MATCH('2019-20 StepbyStep Allocations'!C67,'Baselines+Historic Spend Factor'!C$9:C$159,0))</f>
        <v>21415625.869575206</v>
      </c>
      <c r="BJ67" s="154">
        <f t="shared" si="2"/>
        <v>25343072.077436697</v>
      </c>
      <c r="BK67" s="155">
        <f t="shared" si="44"/>
        <v>0.18339161469201537</v>
      </c>
      <c r="BL67" s="156">
        <f t="shared" si="45"/>
        <v>407.61767720441276</v>
      </c>
      <c r="BM67" s="148">
        <f t="shared" si="5"/>
        <v>476.53725840120529</v>
      </c>
      <c r="BN67" s="148">
        <f t="shared" si="46"/>
        <v>432.44159374616146</v>
      </c>
      <c r="BO67" s="148">
        <f t="shared" si="6"/>
        <v>21244072.111616306</v>
      </c>
      <c r="BP67" s="144">
        <f t="shared" si="7"/>
        <v>23176833.923455432</v>
      </c>
      <c r="BQ67" s="148">
        <v>22298300.770195495</v>
      </c>
      <c r="BR67" s="157">
        <f t="shared" si="47"/>
        <v>3.9399107686008517E-2</v>
      </c>
      <c r="BT67" s="94"/>
      <c r="BU67" s="158"/>
      <c r="BX67" s="94"/>
    </row>
    <row r="68" spans="1:76" ht="15.4" x14ac:dyDescent="0.45">
      <c r="A68" s="139" t="s">
        <v>137</v>
      </c>
      <c r="B68" s="140" t="s">
        <v>158</v>
      </c>
      <c r="C68" s="102">
        <v>355</v>
      </c>
      <c r="D68" s="141" t="s">
        <v>173</v>
      </c>
      <c r="E68" s="348">
        <v>1.0082072667712707</v>
      </c>
      <c r="F68" s="142">
        <v>651</v>
      </c>
      <c r="G68" s="143">
        <f t="shared" si="8"/>
        <v>4032.8290670850829</v>
      </c>
      <c r="H68" s="144">
        <f t="shared" si="9"/>
        <v>2625371.7226723889</v>
      </c>
      <c r="I68" s="144">
        <f>INDEX('Baselines+Historic Spend Factor'!$Q$9:$Q$159,MATCH(C68,'Baselines+Historic Spend Factor'!$C$9:$C$159,0))</f>
        <v>14295170.259389002</v>
      </c>
      <c r="J68" s="142">
        <v>53053.34399999999</v>
      </c>
      <c r="K68" s="145">
        <f t="shared" si="10"/>
        <v>53488.766947315984</v>
      </c>
      <c r="L68" s="144">
        <f t="shared" si="11"/>
        <v>6267466.4298267439</v>
      </c>
      <c r="M68" s="142">
        <v>7199.9999999999909</v>
      </c>
      <c r="N68" s="145">
        <f t="shared" si="12"/>
        <v>7259.0923207531396</v>
      </c>
      <c r="O68" s="144">
        <f t="shared" si="13"/>
        <v>1780906.3178627181</v>
      </c>
      <c r="P68" s="142">
        <v>4211</v>
      </c>
      <c r="Q68" s="145">
        <f t="shared" si="14"/>
        <v>4245.5608003738207</v>
      </c>
      <c r="R68" s="147">
        <f t="shared" si="15"/>
        <v>144527.81218390862</v>
      </c>
      <c r="S68" s="142">
        <v>4914</v>
      </c>
      <c r="T68" s="145">
        <f t="shared" si="16"/>
        <v>4954.330508914024</v>
      </c>
      <c r="U68" s="147">
        <f t="shared" si="17"/>
        <v>219044.26541587795</v>
      </c>
      <c r="V68" s="142">
        <v>4682</v>
      </c>
      <c r="W68" s="145">
        <f t="shared" si="18"/>
        <v>4720.4264230230892</v>
      </c>
      <c r="X68" s="147">
        <f t="shared" si="19"/>
        <v>284653.04617107654</v>
      </c>
      <c r="Y68" s="142">
        <v>4391</v>
      </c>
      <c r="Z68" s="145">
        <f t="shared" si="20"/>
        <v>4427.0381083926495</v>
      </c>
      <c r="AA68" s="147">
        <f t="shared" si="21"/>
        <v>285547.60271073616</v>
      </c>
      <c r="AB68" s="142">
        <v>8035</v>
      </c>
      <c r="AC68" s="145">
        <f t="shared" si="22"/>
        <v>8100.9453885071598</v>
      </c>
      <c r="AD68" s="147">
        <f t="shared" si="23"/>
        <v>572179.33175643883</v>
      </c>
      <c r="AE68" s="142">
        <v>5658</v>
      </c>
      <c r="AF68" s="145">
        <f t="shared" si="24"/>
        <v>5704.4367153918492</v>
      </c>
      <c r="AG68" s="147">
        <f t="shared" si="25"/>
        <v>545206.84824970213</v>
      </c>
      <c r="AH68" s="144">
        <f t="shared" si="26"/>
        <v>2051158.9064877403</v>
      </c>
      <c r="AI68" s="142">
        <v>341</v>
      </c>
      <c r="AJ68" s="145">
        <f t="shared" si="27"/>
        <v>343.79867796900334</v>
      </c>
      <c r="AK68" s="147">
        <f t="shared" si="28"/>
        <v>1061099.2873034687</v>
      </c>
      <c r="AL68" s="142">
        <v>2290</v>
      </c>
      <c r="AM68" s="145">
        <f t="shared" si="29"/>
        <v>2308.7946409062101</v>
      </c>
      <c r="AN68" s="147">
        <f t="shared" si="30"/>
        <v>1176824.5783151952</v>
      </c>
      <c r="AO68" s="142">
        <v>483</v>
      </c>
      <c r="AP68" s="145">
        <f t="shared" si="31"/>
        <v>486.96410985052376</v>
      </c>
      <c r="AQ68" s="147">
        <f t="shared" si="32"/>
        <v>857718.75905925164</v>
      </c>
      <c r="AR68" s="142">
        <v>658</v>
      </c>
      <c r="AS68" s="145">
        <f t="shared" si="33"/>
        <v>663.40038153549608</v>
      </c>
      <c r="AT68" s="147">
        <f t="shared" si="34"/>
        <v>959714.3016488743</v>
      </c>
      <c r="AU68" s="144">
        <f t="shared" si="35"/>
        <v>28450058.839892995</v>
      </c>
      <c r="AV68" s="148">
        <f>INDEX('Baselines+Historic Spend Factor'!P$9:P$159,MATCH('2019-20 StepbyStep Allocations'!C68,'Baselines+Historic Spend Factor'!C$9:C$159,0))</f>
        <v>28590340.518778004</v>
      </c>
      <c r="AW68" s="149">
        <v>51268.848999999995</v>
      </c>
      <c r="AX68" s="150">
        <f t="shared" si="36"/>
        <v>557.65520538169301</v>
      </c>
      <c r="AY68" s="148">
        <f t="shared" si="37"/>
        <v>563.23175743550996</v>
      </c>
      <c r="AZ68" s="148">
        <f t="shared" si="38"/>
        <v>536.25382859736419</v>
      </c>
      <c r="BA68" s="148">
        <f t="shared" si="39"/>
        <v>563.23175743550996</v>
      </c>
      <c r="BB68" s="151">
        <f t="shared" si="40"/>
        <v>1431269.3390576676</v>
      </c>
      <c r="BC68" s="148">
        <f t="shared" si="41"/>
        <v>0</v>
      </c>
      <c r="BD68" s="144">
        <f t="shared" si="42"/>
        <v>1431269.3390576676</v>
      </c>
      <c r="BE68" s="144">
        <f t="shared" si="4"/>
        <v>29881328.178950664</v>
      </c>
      <c r="BF68" s="144">
        <f>INDEX('Hospital Education Funding'!$G$9:$G$159,MATCH(C68,'Hospital Education Funding'!$C$9:$C$158,0))</f>
        <v>0</v>
      </c>
      <c r="BG68" s="152">
        <f>INDEX('Import|Export Adjustments Data'!$Q$9:$Q$159,MATCH('2019-20 StepbyStep Allocations'!$C68,'Import|Export Adjustments Data'!$C$9:$C$159,0))</f>
        <v>-87.5</v>
      </c>
      <c r="BH68" s="144">
        <f t="shared" si="43"/>
        <v>-525000</v>
      </c>
      <c r="BI68" s="153">
        <f>INDEX('Baselines+Historic Spend Factor'!$F$9:$F$159,MATCH('2019-20 StepbyStep Allocations'!C68,'Baselines+Historic Spend Factor'!C$9:C$159,0))-INDEX('Baselines+Historic Spend Factor'!$G$9:$G$159,MATCH('2019-20 StepbyStep Allocations'!C68,'Baselines+Historic Spend Factor'!C$9:C$159,0))</f>
        <v>30615758.911958829</v>
      </c>
      <c r="BJ68" s="154">
        <f t="shared" si="2"/>
        <v>31981699.901623052</v>
      </c>
      <c r="BK68" s="155">
        <f t="shared" si="44"/>
        <v>4.4615617518815487E-2</v>
      </c>
      <c r="BL68" s="156">
        <f t="shared" si="45"/>
        <v>557.65520538169301</v>
      </c>
      <c r="BM68" s="148">
        <f t="shared" si="5"/>
        <v>563.23175743550996</v>
      </c>
      <c r="BN68" s="148">
        <f t="shared" si="46"/>
        <v>563.23175743550996</v>
      </c>
      <c r="BO68" s="148">
        <f t="shared" si="6"/>
        <v>29881328.178950664</v>
      </c>
      <c r="BP68" s="144">
        <f t="shared" si="7"/>
        <v>31981699.901623052</v>
      </c>
      <c r="BQ68" s="148">
        <v>31177306.275366019</v>
      </c>
      <c r="BR68" s="157">
        <f t="shared" si="47"/>
        <v>2.5800613406187889E-2</v>
      </c>
      <c r="BT68" s="94"/>
      <c r="BU68" s="158"/>
      <c r="BX68" s="94"/>
    </row>
    <row r="69" spans="1:76" ht="15.4" x14ac:dyDescent="0.45">
      <c r="A69" s="139" t="s">
        <v>209</v>
      </c>
      <c r="B69" s="140" t="s">
        <v>158</v>
      </c>
      <c r="C69" s="102">
        <v>343</v>
      </c>
      <c r="D69" s="141" t="s">
        <v>174</v>
      </c>
      <c r="E69" s="348">
        <v>1.0016847182558959</v>
      </c>
      <c r="F69" s="142">
        <v>611</v>
      </c>
      <c r="G69" s="143">
        <f t="shared" si="8"/>
        <v>4006.7388730235834</v>
      </c>
      <c r="H69" s="144">
        <f t="shared" si="9"/>
        <v>2448117.4514174093</v>
      </c>
      <c r="I69" s="144">
        <f>INDEX('Baselines+Historic Spend Factor'!$Q$9:$Q$159,MATCH(C69,'Baselines+Historic Spend Factor'!$C$9:$C$159,0))</f>
        <v>12282357.636888251</v>
      </c>
      <c r="J69" s="142">
        <v>51095.598000000005</v>
      </c>
      <c r="K69" s="145">
        <f t="shared" si="10"/>
        <v>51181.679686746524</v>
      </c>
      <c r="L69" s="144">
        <f t="shared" si="11"/>
        <v>5997136.9236232815</v>
      </c>
      <c r="M69" s="142">
        <v>5863</v>
      </c>
      <c r="N69" s="145">
        <f t="shared" si="12"/>
        <v>5872.8775031343175</v>
      </c>
      <c r="O69" s="144">
        <f t="shared" si="13"/>
        <v>1440819.8969262582</v>
      </c>
      <c r="P69" s="142">
        <v>5237</v>
      </c>
      <c r="Q69" s="145">
        <f t="shared" si="14"/>
        <v>5245.8228695061271</v>
      </c>
      <c r="R69" s="147">
        <f t="shared" si="15"/>
        <v>178578.83518410043</v>
      </c>
      <c r="S69" s="142">
        <v>2101</v>
      </c>
      <c r="T69" s="145">
        <f t="shared" si="16"/>
        <v>2104.5395930556374</v>
      </c>
      <c r="U69" s="147">
        <f t="shared" si="17"/>
        <v>93047.350872146388</v>
      </c>
      <c r="V69" s="142">
        <v>3063</v>
      </c>
      <c r="W69" s="145">
        <f t="shared" si="18"/>
        <v>3068.1602920178093</v>
      </c>
      <c r="X69" s="147">
        <f t="shared" si="19"/>
        <v>185017.43168886952</v>
      </c>
      <c r="Y69" s="142">
        <v>1724</v>
      </c>
      <c r="Z69" s="145">
        <f t="shared" si="20"/>
        <v>1726.9044542731644</v>
      </c>
      <c r="AA69" s="147">
        <f t="shared" si="21"/>
        <v>111386.75903723622</v>
      </c>
      <c r="AB69" s="142">
        <v>5336</v>
      </c>
      <c r="AC69" s="145">
        <f t="shared" si="22"/>
        <v>5344.9896566134603</v>
      </c>
      <c r="AD69" s="147">
        <f t="shared" si="23"/>
        <v>377522.92643584264</v>
      </c>
      <c r="AE69" s="142">
        <v>2470</v>
      </c>
      <c r="AF69" s="145">
        <f t="shared" si="24"/>
        <v>2474.1612540920628</v>
      </c>
      <c r="AG69" s="147">
        <f t="shared" si="25"/>
        <v>236470.26458639628</v>
      </c>
      <c r="AH69" s="144">
        <f t="shared" si="26"/>
        <v>1182023.5678045915</v>
      </c>
      <c r="AI69" s="142">
        <v>320</v>
      </c>
      <c r="AJ69" s="145">
        <f t="shared" si="27"/>
        <v>320.53910984188667</v>
      </c>
      <c r="AK69" s="147">
        <f t="shared" si="28"/>
        <v>989311.02066884481</v>
      </c>
      <c r="AL69" s="142">
        <v>2390</v>
      </c>
      <c r="AM69" s="145">
        <f t="shared" si="29"/>
        <v>2394.0264766315913</v>
      </c>
      <c r="AN69" s="147">
        <f t="shared" si="30"/>
        <v>1220268.4244500694</v>
      </c>
      <c r="AO69" s="142">
        <v>491</v>
      </c>
      <c r="AP69" s="145">
        <f t="shared" si="31"/>
        <v>491.82719666364488</v>
      </c>
      <c r="AQ69" s="147">
        <f t="shared" si="32"/>
        <v>866284.40219838987</v>
      </c>
      <c r="AR69" s="142">
        <v>762</v>
      </c>
      <c r="AS69" s="145">
        <f t="shared" si="33"/>
        <v>763.28375531099266</v>
      </c>
      <c r="AT69" s="147">
        <f t="shared" si="34"/>
        <v>1104211.5087312842</v>
      </c>
      <c r="AU69" s="144">
        <f t="shared" si="35"/>
        <v>25082413.381290969</v>
      </c>
      <c r="AV69" s="148">
        <f>INDEX('Baselines+Historic Spend Factor'!P$9:P$159,MATCH('2019-20 StepbyStep Allocations'!C69,'Baselines+Historic Spend Factor'!C$9:C$159,0))</f>
        <v>24564715.273776501</v>
      </c>
      <c r="AW69" s="149">
        <v>50817.863000000012</v>
      </c>
      <c r="AX69" s="150">
        <f t="shared" si="36"/>
        <v>483.387411898381</v>
      </c>
      <c r="AY69" s="148">
        <f t="shared" si="37"/>
        <v>488.22128601736483</v>
      </c>
      <c r="AZ69" s="148">
        <f t="shared" si="38"/>
        <v>490.89186472171178</v>
      </c>
      <c r="BA69" s="148">
        <f t="shared" si="39"/>
        <v>490.89186472171178</v>
      </c>
      <c r="BB69" s="151">
        <f t="shared" si="40"/>
        <v>0</v>
      </c>
      <c r="BC69" s="148">
        <f t="shared" si="41"/>
        <v>0</v>
      </c>
      <c r="BD69" s="144">
        <f t="shared" si="42"/>
        <v>0</v>
      </c>
      <c r="BE69" s="144">
        <f t="shared" si="4"/>
        <v>25082413.381290969</v>
      </c>
      <c r="BF69" s="144">
        <f>INDEX('Hospital Education Funding'!$G$9:$G$159,MATCH(C69,'Hospital Education Funding'!$C$9:$C$158,0))</f>
        <v>0</v>
      </c>
      <c r="BG69" s="152">
        <f>INDEX('Import|Export Adjustments Data'!$Q$9:$Q$159,MATCH('2019-20 StepbyStep Allocations'!$C69,'Import|Export Adjustments Data'!$C$9:$C$159,0))</f>
        <v>-20</v>
      </c>
      <c r="BH69" s="144">
        <f t="shared" si="43"/>
        <v>-120000</v>
      </c>
      <c r="BI69" s="153">
        <f>INDEX('Baselines+Historic Spend Factor'!$F$9:$F$159,MATCH('2019-20 StepbyStep Allocations'!C69,'Baselines+Historic Spend Factor'!C$9:C$159,0))-INDEX('Baselines+Historic Spend Factor'!$G$9:$G$159,MATCH('2019-20 StepbyStep Allocations'!C69,'Baselines+Historic Spend Factor'!C$9:C$159,0))</f>
        <v>26698637.297876228</v>
      </c>
      <c r="BJ69" s="154">
        <f t="shared" si="2"/>
        <v>27410530.832708377</v>
      </c>
      <c r="BK69" s="155">
        <f t="shared" si="44"/>
        <v>2.6664040074014572E-2</v>
      </c>
      <c r="BL69" s="156">
        <f t="shared" si="45"/>
        <v>483.387411898381</v>
      </c>
      <c r="BM69" s="148">
        <f t="shared" si="5"/>
        <v>490.89186472171178</v>
      </c>
      <c r="BN69" s="148">
        <f t="shared" si="46"/>
        <v>490.89186472171178</v>
      </c>
      <c r="BO69" s="148">
        <f t="shared" si="6"/>
        <v>25082413.381290969</v>
      </c>
      <c r="BP69" s="144">
        <f t="shared" si="7"/>
        <v>27410530.832708377</v>
      </c>
      <c r="BQ69" s="148">
        <v>27283404.880592085</v>
      </c>
      <c r="BR69" s="157">
        <f t="shared" si="47"/>
        <v>4.6594606748193712E-3</v>
      </c>
      <c r="BT69" s="94"/>
      <c r="BU69" s="158"/>
      <c r="BX69" s="94"/>
    </row>
    <row r="70" spans="1:76" ht="15.4" x14ac:dyDescent="0.45">
      <c r="A70" s="139" t="s">
        <v>259</v>
      </c>
      <c r="B70" s="140" t="s">
        <v>158</v>
      </c>
      <c r="C70" s="102">
        <v>342</v>
      </c>
      <c r="D70" s="141" t="s">
        <v>175</v>
      </c>
      <c r="E70" s="348">
        <v>1.0016847182558959</v>
      </c>
      <c r="F70" s="142">
        <v>397</v>
      </c>
      <c r="G70" s="143">
        <f t="shared" si="8"/>
        <v>4006.7388730235834</v>
      </c>
      <c r="H70" s="144">
        <f t="shared" si="9"/>
        <v>1590675.3325903625</v>
      </c>
      <c r="I70" s="144">
        <f>INDEX('Baselines+Historic Spend Factor'!$Q$9:$Q$159,MATCH(C70,'Baselines+Historic Spend Factor'!$C$9:$C$159,0))</f>
        <v>9921978.1594597269</v>
      </c>
      <c r="J70" s="142">
        <v>34587.811000000002</v>
      </c>
      <c r="K70" s="145">
        <f t="shared" si="10"/>
        <v>34646.081716623179</v>
      </c>
      <c r="L70" s="144">
        <f t="shared" si="11"/>
        <v>4059602.9124740548</v>
      </c>
      <c r="M70" s="142">
        <v>4272</v>
      </c>
      <c r="N70" s="145">
        <f t="shared" si="12"/>
        <v>4279.1971163891876</v>
      </c>
      <c r="O70" s="144">
        <f t="shared" si="13"/>
        <v>1049834.9990907344</v>
      </c>
      <c r="P70" s="142">
        <v>3537</v>
      </c>
      <c r="Q70" s="145">
        <f t="shared" si="14"/>
        <v>3542.9588484711039</v>
      </c>
      <c r="R70" s="147">
        <f t="shared" si="15"/>
        <v>120609.76514152439</v>
      </c>
      <c r="S70" s="142">
        <v>2548</v>
      </c>
      <c r="T70" s="145">
        <f t="shared" si="16"/>
        <v>2552.2926621160227</v>
      </c>
      <c r="U70" s="147">
        <f t="shared" si="17"/>
        <v>112843.7172880671</v>
      </c>
      <c r="V70" s="142">
        <v>3529</v>
      </c>
      <c r="W70" s="145">
        <f t="shared" si="18"/>
        <v>3534.9453707250568</v>
      </c>
      <c r="X70" s="147">
        <f t="shared" si="19"/>
        <v>213165.69259876607</v>
      </c>
      <c r="Y70" s="142">
        <v>1919</v>
      </c>
      <c r="Z70" s="145">
        <f t="shared" si="20"/>
        <v>1922.2329743330642</v>
      </c>
      <c r="AA70" s="147">
        <f t="shared" si="21"/>
        <v>123985.60939237606</v>
      </c>
      <c r="AB70" s="142">
        <v>5749</v>
      </c>
      <c r="AC70" s="145">
        <f t="shared" si="22"/>
        <v>5758.6854452531452</v>
      </c>
      <c r="AD70" s="147">
        <f t="shared" si="23"/>
        <v>406742.7481408657</v>
      </c>
      <c r="AE70" s="142">
        <v>2833</v>
      </c>
      <c r="AF70" s="145">
        <f t="shared" si="24"/>
        <v>2837.7728068189531</v>
      </c>
      <c r="AG70" s="147">
        <f t="shared" si="25"/>
        <v>271222.77715516626</v>
      </c>
      <c r="AH70" s="144">
        <f t="shared" si="26"/>
        <v>1248570.3097167655</v>
      </c>
      <c r="AI70" s="142">
        <v>226</v>
      </c>
      <c r="AJ70" s="145">
        <f t="shared" si="27"/>
        <v>226.38074632583246</v>
      </c>
      <c r="AK70" s="147">
        <f t="shared" si="28"/>
        <v>698700.90834737162</v>
      </c>
      <c r="AL70" s="142">
        <v>1710</v>
      </c>
      <c r="AM70" s="145">
        <f t="shared" si="29"/>
        <v>1712.880868217582</v>
      </c>
      <c r="AN70" s="147">
        <f t="shared" si="30"/>
        <v>873079.08192871069</v>
      </c>
      <c r="AO70" s="142">
        <v>312</v>
      </c>
      <c r="AP70" s="145">
        <f t="shared" si="31"/>
        <v>312.52563209583951</v>
      </c>
      <c r="AQ70" s="147">
        <f t="shared" si="32"/>
        <v>550469.92563319276</v>
      </c>
      <c r="AR70" s="142">
        <v>505</v>
      </c>
      <c r="AS70" s="145">
        <f t="shared" si="33"/>
        <v>505.85078271922742</v>
      </c>
      <c r="AT70" s="147">
        <f t="shared" si="34"/>
        <v>731793.71641640214</v>
      </c>
      <c r="AU70" s="144">
        <f t="shared" si="35"/>
        <v>19134030.013066959</v>
      </c>
      <c r="AV70" s="148">
        <f>INDEX('Baselines+Historic Spend Factor'!P$9:P$159,MATCH('2019-20 StepbyStep Allocations'!C70,'Baselines+Historic Spend Factor'!C$9:C$159,0))</f>
        <v>19843956.318919454</v>
      </c>
      <c r="AW70" s="149">
        <v>34449.624000000003</v>
      </c>
      <c r="AX70" s="150">
        <f t="shared" si="36"/>
        <v>576.02824108964012</v>
      </c>
      <c r="AY70" s="148">
        <f t="shared" si="37"/>
        <v>581.78852350053648</v>
      </c>
      <c r="AZ70" s="148">
        <f t="shared" si="38"/>
        <v>553.2015314026944</v>
      </c>
      <c r="BA70" s="148">
        <f t="shared" si="39"/>
        <v>581.78852350053648</v>
      </c>
      <c r="BB70" s="151">
        <f t="shared" si="40"/>
        <v>988761.47973865562</v>
      </c>
      <c r="BC70" s="148">
        <f t="shared" si="41"/>
        <v>0</v>
      </c>
      <c r="BD70" s="144">
        <f t="shared" si="42"/>
        <v>988761.47973865562</v>
      </c>
      <c r="BE70" s="144">
        <f t="shared" si="4"/>
        <v>20122791.492805615</v>
      </c>
      <c r="BF70" s="144">
        <f>INDEX('Hospital Education Funding'!$G$9:$G$159,MATCH(C70,'Hospital Education Funding'!$C$9:$C$158,0))</f>
        <v>0</v>
      </c>
      <c r="BG70" s="152">
        <f>INDEX('Import|Export Adjustments Data'!$Q$9:$Q$159,MATCH('2019-20 StepbyStep Allocations'!$C70,'Import|Export Adjustments Data'!$C$9:$C$159,0))</f>
        <v>77.5</v>
      </c>
      <c r="BH70" s="144">
        <f t="shared" si="43"/>
        <v>465000</v>
      </c>
      <c r="BI70" s="153">
        <f>INDEX('Baselines+Historic Spend Factor'!$F$9:$F$159,MATCH('2019-20 StepbyStep Allocations'!C70,'Baselines+Historic Spend Factor'!C$9:C$159,0))-INDEX('Baselines+Historic Spend Factor'!$G$9:$G$159,MATCH('2019-20 StepbyStep Allocations'!C70,'Baselines+Historic Spend Factor'!C$9:C$159,0))</f>
        <v>21336597.9571447</v>
      </c>
      <c r="BJ70" s="154">
        <f t="shared" si="2"/>
        <v>22178466.825395979</v>
      </c>
      <c r="BK70" s="155">
        <f t="shared" si="44"/>
        <v>3.9456565191048787E-2</v>
      </c>
      <c r="BL70" s="156">
        <f t="shared" si="45"/>
        <v>576.02824108964012</v>
      </c>
      <c r="BM70" s="148">
        <f t="shared" si="5"/>
        <v>581.78852350053648</v>
      </c>
      <c r="BN70" s="148">
        <f t="shared" si="46"/>
        <v>581.78852350053648</v>
      </c>
      <c r="BO70" s="148">
        <f t="shared" si="6"/>
        <v>20122791.492805615</v>
      </c>
      <c r="BP70" s="144">
        <f t="shared" si="7"/>
        <v>22178466.825395979</v>
      </c>
      <c r="BQ70" s="148">
        <v>22033572.932175208</v>
      </c>
      <c r="BR70" s="157">
        <f t="shared" si="47"/>
        <v>6.5760507234478016E-3</v>
      </c>
      <c r="BT70" s="94"/>
      <c r="BU70" s="158"/>
      <c r="BX70" s="94"/>
    </row>
    <row r="71" spans="1:76" ht="15.4" x14ac:dyDescent="0.45">
      <c r="A71" s="139" t="s">
        <v>196</v>
      </c>
      <c r="B71" s="140" t="s">
        <v>158</v>
      </c>
      <c r="C71" s="102">
        <v>356</v>
      </c>
      <c r="D71" s="141" t="s">
        <v>176</v>
      </c>
      <c r="E71" s="348">
        <v>1.0082072667712707</v>
      </c>
      <c r="F71" s="142">
        <v>610</v>
      </c>
      <c r="G71" s="143">
        <f t="shared" si="8"/>
        <v>4032.8290670850829</v>
      </c>
      <c r="H71" s="144">
        <f t="shared" si="9"/>
        <v>2460025.7309219004</v>
      </c>
      <c r="I71" s="144">
        <f>INDEX('Baselines+Historic Spend Factor'!$Q$9:$Q$159,MATCH(C71,'Baselines+Historic Spend Factor'!$C$9:$C$159,0))</f>
        <v>13727727.665820554</v>
      </c>
      <c r="J71" s="142">
        <v>60202.332999999999</v>
      </c>
      <c r="K71" s="145">
        <f t="shared" si="10"/>
        <v>60696.429607183869</v>
      </c>
      <c r="L71" s="144">
        <f t="shared" si="11"/>
        <v>7112013.5438541025</v>
      </c>
      <c r="M71" s="142">
        <v>4492</v>
      </c>
      <c r="N71" s="145">
        <f t="shared" si="12"/>
        <v>4528.8670423365484</v>
      </c>
      <c r="O71" s="144">
        <f t="shared" si="13"/>
        <v>1111087.6638665751</v>
      </c>
      <c r="P71" s="142">
        <v>4935</v>
      </c>
      <c r="Q71" s="145">
        <f t="shared" si="14"/>
        <v>4975.5028615162209</v>
      </c>
      <c r="R71" s="147">
        <f t="shared" si="15"/>
        <v>169376.57400322706</v>
      </c>
      <c r="S71" s="142">
        <v>6032</v>
      </c>
      <c r="T71" s="145">
        <f t="shared" si="16"/>
        <v>6081.5062331643048</v>
      </c>
      <c r="U71" s="147">
        <f t="shared" si="17"/>
        <v>268879.73320890841</v>
      </c>
      <c r="V71" s="142">
        <v>2321</v>
      </c>
      <c r="W71" s="145">
        <f t="shared" si="18"/>
        <v>2340.0490661761191</v>
      </c>
      <c r="X71" s="147">
        <f t="shared" si="19"/>
        <v>141110.57671146275</v>
      </c>
      <c r="Y71" s="142">
        <v>396</v>
      </c>
      <c r="Z71" s="145">
        <f t="shared" si="20"/>
        <v>399.25007764142322</v>
      </c>
      <c r="AA71" s="147">
        <f t="shared" si="21"/>
        <v>25751.95870495366</v>
      </c>
      <c r="AB71" s="142">
        <v>2448</v>
      </c>
      <c r="AC71" s="145">
        <f t="shared" si="22"/>
        <v>2468.0913890560705</v>
      </c>
      <c r="AD71" s="147">
        <f t="shared" si="23"/>
        <v>174324.20711135809</v>
      </c>
      <c r="AE71" s="142">
        <v>2198</v>
      </c>
      <c r="AF71" s="145">
        <f t="shared" si="24"/>
        <v>2216.0395723632532</v>
      </c>
      <c r="AG71" s="147">
        <f t="shared" si="25"/>
        <v>211800.04461874257</v>
      </c>
      <c r="AH71" s="144">
        <f t="shared" si="26"/>
        <v>991243.0943586526</v>
      </c>
      <c r="AI71" s="142">
        <v>291</v>
      </c>
      <c r="AJ71" s="145">
        <f t="shared" si="27"/>
        <v>293.38831463043977</v>
      </c>
      <c r="AK71" s="147">
        <f t="shared" si="28"/>
        <v>905512.88154049648</v>
      </c>
      <c r="AL71" s="142">
        <v>2120</v>
      </c>
      <c r="AM71" s="145">
        <f t="shared" si="29"/>
        <v>2137.3994055550938</v>
      </c>
      <c r="AN71" s="147">
        <f t="shared" si="30"/>
        <v>1089462.0550341543</v>
      </c>
      <c r="AO71" s="142">
        <v>529</v>
      </c>
      <c r="AP71" s="145">
        <f t="shared" si="31"/>
        <v>533.34164412200221</v>
      </c>
      <c r="AQ71" s="147">
        <f t="shared" si="32"/>
        <v>939406.25992203748</v>
      </c>
      <c r="AR71" s="142">
        <v>700</v>
      </c>
      <c r="AS71" s="145">
        <f t="shared" si="33"/>
        <v>705.74508673988953</v>
      </c>
      <c r="AT71" s="147">
        <f t="shared" si="34"/>
        <v>1020972.6613285898</v>
      </c>
      <c r="AU71" s="144">
        <f t="shared" si="35"/>
        <v>26897425.825725164</v>
      </c>
      <c r="AV71" s="148">
        <f>INDEX('Baselines+Historic Spend Factor'!P$9:P$159,MATCH('2019-20 StepbyStep Allocations'!C71,'Baselines+Historic Spend Factor'!C$9:C$159,0))</f>
        <v>27455455.331641108</v>
      </c>
      <c r="AW71" s="149">
        <v>59121.629000000001</v>
      </c>
      <c r="AX71" s="150">
        <f t="shared" si="36"/>
        <v>464.38935793939487</v>
      </c>
      <c r="AY71" s="148">
        <f t="shared" si="37"/>
        <v>469.0332515187888</v>
      </c>
      <c r="AZ71" s="148">
        <f t="shared" si="38"/>
        <v>446.78377872374421</v>
      </c>
      <c r="BA71" s="148">
        <f t="shared" si="39"/>
        <v>469.0332515187888</v>
      </c>
      <c r="BB71" s="151">
        <f t="shared" si="40"/>
        <v>1339470.1702817155</v>
      </c>
      <c r="BC71" s="148">
        <f t="shared" si="41"/>
        <v>0</v>
      </c>
      <c r="BD71" s="144">
        <f t="shared" si="42"/>
        <v>1339470.1702817155</v>
      </c>
      <c r="BE71" s="144">
        <f t="shared" si="4"/>
        <v>28236895.99600688</v>
      </c>
      <c r="BF71" s="144">
        <f>INDEX('Hospital Education Funding'!$G$9:$G$159,MATCH(C71,'Hospital Education Funding'!$C$9:$C$158,0))</f>
        <v>50500</v>
      </c>
      <c r="BG71" s="152">
        <f>INDEX('Import|Export Adjustments Data'!$Q$9:$Q$159,MATCH('2019-20 StepbyStep Allocations'!$C71,'Import|Export Adjustments Data'!$C$9:$C$159,0))</f>
        <v>-65</v>
      </c>
      <c r="BH71" s="144">
        <f t="shared" si="43"/>
        <v>-390000</v>
      </c>
      <c r="BI71" s="153">
        <f>INDEX('Baselines+Historic Spend Factor'!$F$9:$F$159,MATCH('2019-20 StepbyStep Allocations'!C71,'Baselines+Historic Spend Factor'!C$9:C$159,0))-INDEX('Baselines+Historic Spend Factor'!$G$9:$G$159,MATCH('2019-20 StepbyStep Allocations'!C71,'Baselines+Historic Spend Factor'!C$9:C$159,0))</f>
        <v>29272036.583611265</v>
      </c>
      <c r="BJ71" s="154">
        <f t="shared" si="2"/>
        <v>30357421.726928782</v>
      </c>
      <c r="BK71" s="155">
        <f t="shared" si="44"/>
        <v>3.7079249344925902E-2</v>
      </c>
      <c r="BL71" s="156">
        <f t="shared" si="45"/>
        <v>464.38935793939487</v>
      </c>
      <c r="BM71" s="148">
        <f t="shared" si="5"/>
        <v>469.0332515187888</v>
      </c>
      <c r="BN71" s="148">
        <f t="shared" si="46"/>
        <v>469.0332515187888</v>
      </c>
      <c r="BO71" s="148">
        <f t="shared" si="6"/>
        <v>28236895.99600688</v>
      </c>
      <c r="BP71" s="144">
        <f t="shared" si="7"/>
        <v>30357421.726928782</v>
      </c>
      <c r="BQ71" s="148">
        <v>29951346.190143049</v>
      </c>
      <c r="BR71" s="157">
        <f t="shared" si="47"/>
        <v>1.3557839243945935E-2</v>
      </c>
      <c r="BT71" s="94"/>
      <c r="BU71" s="158"/>
      <c r="BX71" s="94"/>
    </row>
    <row r="72" spans="1:76" ht="15.4" x14ac:dyDescent="0.45">
      <c r="A72" s="139" t="s">
        <v>260</v>
      </c>
      <c r="B72" s="140" t="s">
        <v>158</v>
      </c>
      <c r="C72" s="102">
        <v>357</v>
      </c>
      <c r="D72" s="141" t="s">
        <v>177</v>
      </c>
      <c r="E72" s="348">
        <v>1.0082072667712707</v>
      </c>
      <c r="F72" s="142">
        <v>437</v>
      </c>
      <c r="G72" s="143">
        <f t="shared" si="8"/>
        <v>4032.8290670850829</v>
      </c>
      <c r="H72" s="144">
        <f t="shared" si="9"/>
        <v>1762346.3023161811</v>
      </c>
      <c r="I72" s="144">
        <f>INDEX('Baselines+Historic Spend Factor'!$Q$9:$Q$159,MATCH(C72,'Baselines+Historic Spend Factor'!$C$9:$C$159,0))</f>
        <v>8655812.6571818385</v>
      </c>
      <c r="J72" s="142">
        <v>47001.981</v>
      </c>
      <c r="K72" s="145">
        <f t="shared" si="10"/>
        <v>47387.738796845195</v>
      </c>
      <c r="L72" s="144">
        <f t="shared" si="11"/>
        <v>5552587.5626775669</v>
      </c>
      <c r="M72" s="142">
        <v>6019.4999999999973</v>
      </c>
      <c r="N72" s="145">
        <f t="shared" si="12"/>
        <v>6068.9036423296611</v>
      </c>
      <c r="O72" s="144">
        <f t="shared" si="13"/>
        <v>1488911.8861631444</v>
      </c>
      <c r="P72" s="142">
        <v>6410</v>
      </c>
      <c r="Q72" s="145">
        <f t="shared" si="14"/>
        <v>6462.6085800038454</v>
      </c>
      <c r="R72" s="147">
        <f t="shared" si="15"/>
        <v>220000.77798595448</v>
      </c>
      <c r="S72" s="142">
        <v>6244</v>
      </c>
      <c r="T72" s="145">
        <f t="shared" si="16"/>
        <v>6295.2461737198146</v>
      </c>
      <c r="U72" s="147">
        <f t="shared" si="17"/>
        <v>278329.75035749731</v>
      </c>
      <c r="V72" s="142">
        <v>8900</v>
      </c>
      <c r="W72" s="145">
        <f t="shared" si="18"/>
        <v>8973.0446742643089</v>
      </c>
      <c r="X72" s="147">
        <f t="shared" si="19"/>
        <v>541096.13646360126</v>
      </c>
      <c r="Y72" s="142">
        <v>2641</v>
      </c>
      <c r="Z72" s="145">
        <f t="shared" si="20"/>
        <v>2662.6753915429258</v>
      </c>
      <c r="AA72" s="147">
        <f t="shared" si="21"/>
        <v>171744.75489844091</v>
      </c>
      <c r="AB72" s="142">
        <v>3814</v>
      </c>
      <c r="AC72" s="145">
        <f t="shared" si="22"/>
        <v>3845.3025154656266</v>
      </c>
      <c r="AD72" s="147">
        <f t="shared" si="23"/>
        <v>271598.25405339862</v>
      </c>
      <c r="AE72" s="142">
        <v>1630</v>
      </c>
      <c r="AF72" s="145">
        <f t="shared" si="24"/>
        <v>1643.3778448371713</v>
      </c>
      <c r="AG72" s="147">
        <f t="shared" si="25"/>
        <v>157067.36702845787</v>
      </c>
      <c r="AH72" s="144">
        <f t="shared" si="26"/>
        <v>1639837.0407873504</v>
      </c>
      <c r="AI72" s="142">
        <v>283</v>
      </c>
      <c r="AJ72" s="145">
        <f t="shared" si="27"/>
        <v>285.32265649626959</v>
      </c>
      <c r="AK72" s="147">
        <f t="shared" si="28"/>
        <v>880619.05661842087</v>
      </c>
      <c r="AL72" s="142">
        <v>1570</v>
      </c>
      <c r="AM72" s="145">
        <f t="shared" si="29"/>
        <v>1582.8854088308949</v>
      </c>
      <c r="AN72" s="147">
        <f t="shared" si="30"/>
        <v>806818.5973601992</v>
      </c>
      <c r="AO72" s="142">
        <v>494</v>
      </c>
      <c r="AP72" s="145">
        <f t="shared" si="31"/>
        <v>498.05438978500774</v>
      </c>
      <c r="AQ72" s="147">
        <f t="shared" si="32"/>
        <v>877252.72665687441</v>
      </c>
      <c r="AR72" s="142">
        <v>706</v>
      </c>
      <c r="AS72" s="145">
        <f t="shared" si="33"/>
        <v>711.79433034051715</v>
      </c>
      <c r="AT72" s="147">
        <f t="shared" si="34"/>
        <v>1029723.8555685491</v>
      </c>
      <c r="AU72" s="144">
        <f t="shared" si="35"/>
        <v>20931563.383013945</v>
      </c>
      <c r="AV72" s="148">
        <f>INDEX('Baselines+Historic Spend Factor'!P$9:P$159,MATCH('2019-20 StepbyStep Allocations'!C72,'Baselines+Historic Spend Factor'!C$9:C$159,0))</f>
        <v>17311625.314363677</v>
      </c>
      <c r="AW72" s="149">
        <v>46405.287000000004</v>
      </c>
      <c r="AX72" s="150">
        <f t="shared" si="36"/>
        <v>373.05286603148636</v>
      </c>
      <c r="AY72" s="148">
        <f t="shared" si="37"/>
        <v>376.78339469180122</v>
      </c>
      <c r="AZ72" s="148">
        <f t="shared" si="38"/>
        <v>445.33364206529819</v>
      </c>
      <c r="BA72" s="148">
        <f t="shared" si="39"/>
        <v>445.33364206529819</v>
      </c>
      <c r="BB72" s="151">
        <f t="shared" si="40"/>
        <v>0</v>
      </c>
      <c r="BC72" s="148">
        <f t="shared" si="41"/>
        <v>0</v>
      </c>
      <c r="BD72" s="144">
        <f t="shared" si="42"/>
        <v>0</v>
      </c>
      <c r="BE72" s="144">
        <f t="shared" si="4"/>
        <v>20931563.383013945</v>
      </c>
      <c r="BF72" s="144">
        <f>INDEX('Hospital Education Funding'!$G$9:$G$159,MATCH(C72,'Hospital Education Funding'!$C$9:$C$158,0))</f>
        <v>75750</v>
      </c>
      <c r="BG72" s="152">
        <f>INDEX('Import|Export Adjustments Data'!$Q$9:$Q$159,MATCH('2019-20 StepbyStep Allocations'!$C72,'Import|Export Adjustments Data'!$C$9:$C$159,0))</f>
        <v>-68</v>
      </c>
      <c r="BH72" s="144">
        <f t="shared" si="43"/>
        <v>-408000</v>
      </c>
      <c r="BI72" s="153">
        <f>INDEX('Baselines+Historic Spend Factor'!$F$9:$F$159,MATCH('2019-20 StepbyStep Allocations'!C72,'Baselines+Historic Spend Factor'!C$9:C$159,0))-INDEX('Baselines+Historic Spend Factor'!$G$9:$G$159,MATCH('2019-20 StepbyStep Allocations'!C72,'Baselines+Historic Spend Factor'!C$9:C$159,0))</f>
        <v>18704085.231868561</v>
      </c>
      <c r="BJ72" s="154">
        <f t="shared" si="2"/>
        <v>22361659.685330126</v>
      </c>
      <c r="BK72" s="155">
        <f t="shared" si="44"/>
        <v>0.19554949670725863</v>
      </c>
      <c r="BL72" s="156">
        <f t="shared" si="45"/>
        <v>373.05286603148636</v>
      </c>
      <c r="BM72" s="148">
        <f t="shared" si="5"/>
        <v>445.33364206529819</v>
      </c>
      <c r="BN72" s="148">
        <f t="shared" si="46"/>
        <v>395.77178557280388</v>
      </c>
      <c r="BO72" s="148">
        <f t="shared" si="6"/>
        <v>18602057.945829</v>
      </c>
      <c r="BP72" s="144">
        <f t="shared" si="7"/>
        <v>20032154.248145182</v>
      </c>
      <c r="BQ72" s="148">
        <v>19324350.431046486</v>
      </c>
      <c r="BR72" s="157">
        <f t="shared" ref="BR72:BR103" si="48">BP72/BQ72-1</f>
        <v>3.6627560632596312E-2</v>
      </c>
      <c r="BT72" s="94"/>
      <c r="BU72" s="158"/>
      <c r="BX72" s="94"/>
    </row>
    <row r="73" spans="1:76" ht="15.4" x14ac:dyDescent="0.45">
      <c r="A73" s="139" t="s">
        <v>167</v>
      </c>
      <c r="B73" s="140" t="s">
        <v>158</v>
      </c>
      <c r="C73" s="102">
        <v>358</v>
      </c>
      <c r="D73" s="141" t="s">
        <v>178</v>
      </c>
      <c r="E73" s="348">
        <v>1.0082072667712707</v>
      </c>
      <c r="F73" s="142">
        <v>614</v>
      </c>
      <c r="G73" s="143">
        <f t="shared" si="8"/>
        <v>4032.8290670850829</v>
      </c>
      <c r="H73" s="144">
        <f t="shared" si="9"/>
        <v>2476157.047190241</v>
      </c>
      <c r="I73" s="144">
        <f>INDEX('Baselines+Historic Spend Factor'!$Q$9:$Q$159,MATCH(C73,'Baselines+Historic Spend Factor'!$C$9:$C$159,0))</f>
        <v>11396274.182333272</v>
      </c>
      <c r="J73" s="142">
        <v>54007.162999999993</v>
      </c>
      <c r="K73" s="145">
        <f t="shared" si="10"/>
        <v>54450.414194300494</v>
      </c>
      <c r="L73" s="144">
        <f t="shared" si="11"/>
        <v>6380146.0106394254</v>
      </c>
      <c r="M73" s="142">
        <v>3401</v>
      </c>
      <c r="N73" s="145">
        <f t="shared" si="12"/>
        <v>3428.9129142890915</v>
      </c>
      <c r="O73" s="144">
        <f t="shared" si="13"/>
        <v>841230.88709043222</v>
      </c>
      <c r="P73" s="142">
        <v>2667</v>
      </c>
      <c r="Q73" s="145">
        <f t="shared" si="14"/>
        <v>2688.8887804789788</v>
      </c>
      <c r="R73" s="147">
        <f t="shared" si="15"/>
        <v>91535.425099616303</v>
      </c>
      <c r="S73" s="142">
        <v>3122</v>
      </c>
      <c r="T73" s="145">
        <f t="shared" si="16"/>
        <v>3147.6230868599073</v>
      </c>
      <c r="U73" s="147">
        <f t="shared" si="17"/>
        <v>139164.87517874865</v>
      </c>
      <c r="V73" s="142">
        <v>2062</v>
      </c>
      <c r="W73" s="145">
        <f t="shared" si="18"/>
        <v>2078.9233840823604</v>
      </c>
      <c r="X73" s="147">
        <f t="shared" si="19"/>
        <v>125364.07116718493</v>
      </c>
      <c r="Y73" s="142">
        <v>1798</v>
      </c>
      <c r="Z73" s="145">
        <f t="shared" si="20"/>
        <v>1812.7566656547447</v>
      </c>
      <c r="AA73" s="147">
        <f t="shared" si="21"/>
        <v>116924.29735228958</v>
      </c>
      <c r="AB73" s="142">
        <v>2653</v>
      </c>
      <c r="AC73" s="145">
        <f t="shared" si="22"/>
        <v>2674.7738787441813</v>
      </c>
      <c r="AD73" s="147">
        <f t="shared" si="23"/>
        <v>188922.43523955598</v>
      </c>
      <c r="AE73" s="142">
        <v>532</v>
      </c>
      <c r="AF73" s="145">
        <f t="shared" si="24"/>
        <v>536.36626592231596</v>
      </c>
      <c r="AG73" s="147">
        <f t="shared" si="25"/>
        <v>51263.705066956791</v>
      </c>
      <c r="AH73" s="144">
        <f t="shared" si="26"/>
        <v>713174.80910435226</v>
      </c>
      <c r="AI73" s="142">
        <v>223</v>
      </c>
      <c r="AJ73" s="145">
        <f t="shared" si="27"/>
        <v>224.83022048999337</v>
      </c>
      <c r="AK73" s="147">
        <f t="shared" si="28"/>
        <v>693915.36970285478</v>
      </c>
      <c r="AL73" s="142">
        <v>1290</v>
      </c>
      <c r="AM73" s="145">
        <f t="shared" si="29"/>
        <v>1300.5873741349392</v>
      </c>
      <c r="AN73" s="147">
        <f t="shared" si="30"/>
        <v>662927.38254436746</v>
      </c>
      <c r="AO73" s="142">
        <v>353</v>
      </c>
      <c r="AP73" s="145">
        <f t="shared" si="31"/>
        <v>355.89716517025857</v>
      </c>
      <c r="AQ73" s="147">
        <f t="shared" si="32"/>
        <v>626862.77836007427</v>
      </c>
      <c r="AR73" s="142">
        <v>442</v>
      </c>
      <c r="AS73" s="145">
        <f t="shared" si="33"/>
        <v>445.62761191290167</v>
      </c>
      <c r="AT73" s="147">
        <f t="shared" si="34"/>
        <v>644671.30901033815</v>
      </c>
      <c r="AU73" s="144">
        <f t="shared" si="35"/>
        <v>21959202.728785116</v>
      </c>
      <c r="AV73" s="148">
        <f>INDEX('Baselines+Historic Spend Factor'!P$9:P$159,MATCH('2019-20 StepbyStep Allocations'!C73,'Baselines+Historic Spend Factor'!C$9:C$159,0))</f>
        <v>22792548.364666544</v>
      </c>
      <c r="AW73" s="149">
        <v>52640.579000000005</v>
      </c>
      <c r="AX73" s="150">
        <f t="shared" si="36"/>
        <v>432.98437816701335</v>
      </c>
      <c r="AY73" s="148">
        <f t="shared" si="37"/>
        <v>437.3142219486835</v>
      </c>
      <c r="AZ73" s="148">
        <f t="shared" si="38"/>
        <v>406.59796791742457</v>
      </c>
      <c r="BA73" s="148">
        <f t="shared" si="39"/>
        <v>437.3142219486835</v>
      </c>
      <c r="BB73" s="151">
        <f t="shared" si="40"/>
        <v>1658897.7382156078</v>
      </c>
      <c r="BC73" s="148">
        <f t="shared" si="41"/>
        <v>0</v>
      </c>
      <c r="BD73" s="144">
        <f t="shared" si="42"/>
        <v>1658897.7382156078</v>
      </c>
      <c r="BE73" s="144">
        <f t="shared" ref="BE73:BE136" si="49">BA73*J73+BC73</f>
        <v>23618100.467000723</v>
      </c>
      <c r="BF73" s="144">
        <f>INDEX('Hospital Education Funding'!$G$9:$G$159,MATCH(C73,'Hospital Education Funding'!$C$9:$C$158,0))</f>
        <v>0</v>
      </c>
      <c r="BG73" s="152">
        <f>INDEX('Import|Export Adjustments Data'!$Q$9:$Q$159,MATCH('2019-20 StepbyStep Allocations'!$C73,'Import|Export Adjustments Data'!$C$9:$C$159,0))</f>
        <v>-94.5</v>
      </c>
      <c r="BH73" s="144">
        <f t="shared" si="43"/>
        <v>-567000</v>
      </c>
      <c r="BI73" s="153">
        <f>INDEX('Baselines+Historic Spend Factor'!$F$9:$F$159,MATCH('2019-20 StepbyStep Allocations'!C73,'Baselines+Historic Spend Factor'!C$9:C$159,0))-INDEX('Baselines+Historic Spend Factor'!$G$9:$G$159,MATCH('2019-20 StepbyStep Allocations'!C73,'Baselines+Historic Spend Factor'!C$9:C$159,0))</f>
        <v>24751917.514246743</v>
      </c>
      <c r="BJ73" s="154">
        <f t="shared" ref="BJ73:BJ136" si="50">H73 + BE73 + BF73 + BH73</f>
        <v>25527257.514190964</v>
      </c>
      <c r="BK73" s="155">
        <f t="shared" si="44"/>
        <v>3.1324441813364468E-2</v>
      </c>
      <c r="BL73" s="156">
        <f t="shared" si="45"/>
        <v>432.98437816701335</v>
      </c>
      <c r="BM73" s="148">
        <f t="shared" ref="BM73:BM136" si="51">BA73</f>
        <v>437.3142219486835</v>
      </c>
      <c r="BN73" s="148">
        <f t="shared" si="46"/>
        <v>437.3142219486835</v>
      </c>
      <c r="BO73" s="148">
        <f t="shared" ref="BO73:BO136" si="52">BN73*J73+BC73</f>
        <v>23618100.467000723</v>
      </c>
      <c r="BP73" s="144">
        <f t="shared" ref="BP73:BP136" si="53">H73 + BF73 + BH73 + BO73</f>
        <v>25527257.514190964</v>
      </c>
      <c r="BQ73" s="148">
        <v>25028561.508396678</v>
      </c>
      <c r="BR73" s="157">
        <f t="shared" si="48"/>
        <v>1.9925076622041571E-2</v>
      </c>
      <c r="BT73" s="94"/>
      <c r="BU73" s="158"/>
      <c r="BX73" s="94"/>
    </row>
    <row r="74" spans="1:76" ht="15.4" x14ac:dyDescent="0.45">
      <c r="A74" s="139" t="s">
        <v>138</v>
      </c>
      <c r="B74" s="140" t="s">
        <v>158</v>
      </c>
      <c r="C74" s="102">
        <v>877</v>
      </c>
      <c r="D74" s="141" t="s">
        <v>179</v>
      </c>
      <c r="E74" s="348">
        <v>1.0054548012657853</v>
      </c>
      <c r="F74" s="142">
        <v>403</v>
      </c>
      <c r="G74" s="143">
        <f t="shared" ref="G74:G137" si="54">E74*4000</f>
        <v>4021.8192050631415</v>
      </c>
      <c r="H74" s="144">
        <f t="shared" ref="H74:H137" si="55">F74*G74</f>
        <v>1620793.1396404461</v>
      </c>
      <c r="I74" s="144">
        <f>INDEX('Baselines+Historic Spend Factor'!$Q$9:$Q$159,MATCH(C74,'Baselines+Historic Spend Factor'!$C$9:$C$159,0))</f>
        <v>9013191.7214255389</v>
      </c>
      <c r="J74" s="142">
        <v>42663.842999999993</v>
      </c>
      <c r="K74" s="145">
        <f t="shared" ref="K74:K137" si="56">E74*J74</f>
        <v>42896.565784799663</v>
      </c>
      <c r="L74" s="144">
        <f t="shared" ref="L74:L137" si="57">K74/K$8*L$8</f>
        <v>5026341.0685068555</v>
      </c>
      <c r="M74" s="142">
        <v>3440</v>
      </c>
      <c r="N74" s="145">
        <f t="shared" ref="N74:N137" si="58">M74*$E74</f>
        <v>3458.7645163543016</v>
      </c>
      <c r="O74" s="144">
        <f t="shared" ref="O74:O137" si="59">N74/N$8*O$8</f>
        <v>848554.51714873419</v>
      </c>
      <c r="P74" s="142">
        <v>5366</v>
      </c>
      <c r="Q74" s="145">
        <f t="shared" ref="Q74:Q137" si="60">P74*$E74</f>
        <v>5395.2704635922046</v>
      </c>
      <c r="R74" s="147">
        <f t="shared" ref="R74:R137" si="61">Q74/Q$8*R$8</f>
        <v>183666.34536826925</v>
      </c>
      <c r="S74" s="142">
        <v>3043</v>
      </c>
      <c r="T74" s="145">
        <f t="shared" ref="T74:T137" si="62">S74*$E74</f>
        <v>3059.5989602517848</v>
      </c>
      <c r="U74" s="147">
        <f t="shared" ref="U74:U137" si="63">T74/T$8*U$8</f>
        <v>135273.09199693249</v>
      </c>
      <c r="V74" s="142">
        <v>1870</v>
      </c>
      <c r="W74" s="145">
        <f t="shared" ref="W74:W137" si="64">V74*$E74</f>
        <v>1880.2004783670186</v>
      </c>
      <c r="X74" s="147">
        <f t="shared" ref="X74:X137" si="65">W74/W$8*X$8</f>
        <v>113380.60285594441</v>
      </c>
      <c r="Y74" s="142">
        <v>1294</v>
      </c>
      <c r="Z74" s="145">
        <f t="shared" ref="Z74:Z137" si="66">Y74*$E74</f>
        <v>1301.0585128379262</v>
      </c>
      <c r="AA74" s="147">
        <f t="shared" ref="AA74:AA137" si="67">Z74/Z$8*AA$8</f>
        <v>83919.345221573691</v>
      </c>
      <c r="AB74" s="142">
        <v>3024</v>
      </c>
      <c r="AC74" s="145">
        <f t="shared" ref="AC74:AC137" si="68">AB74*$E74</f>
        <v>3040.4953190277347</v>
      </c>
      <c r="AD74" s="147">
        <f t="shared" ref="AD74:AD137" si="69">AC74/AC$8*AD$8</f>
        <v>214753.77211133906</v>
      </c>
      <c r="AE74" s="142">
        <v>448</v>
      </c>
      <c r="AF74" s="145">
        <f t="shared" ref="AF74:AF137" si="70">AE74*$E74</f>
        <v>450.44375096707182</v>
      </c>
      <c r="AG74" s="147">
        <f t="shared" ref="AG74:AG137" si="71">AF74/AF$8*AG$8</f>
        <v>43051.580731167989</v>
      </c>
      <c r="AH74" s="144">
        <f t="shared" ref="AH74:AH137" si="72">AG74+AD74+AA74+X74+U74+R74</f>
        <v>774044.73828522686</v>
      </c>
      <c r="AI74" s="142">
        <v>152</v>
      </c>
      <c r="AJ74" s="145">
        <f t="shared" ref="AJ74:AJ137" si="73">AI74*$E74</f>
        <v>152.82912979239939</v>
      </c>
      <c r="AK74" s="147">
        <f t="shared" ref="AK74:AK137" si="74">AJ74/AJ$8*AK$8</f>
        <v>471691.4028289112</v>
      </c>
      <c r="AL74" s="142">
        <v>1370</v>
      </c>
      <c r="AM74" s="145">
        <f t="shared" ref="AM74:AM137" si="75">AL74*$E74</f>
        <v>1377.473077734126</v>
      </c>
      <c r="AN74" s="147">
        <f t="shared" ref="AN74:AN137" si="76">AM74/AM$8*AN$8</f>
        <v>702117.08963805088</v>
      </c>
      <c r="AO74" s="142">
        <v>383</v>
      </c>
      <c r="AP74" s="145">
        <f t="shared" ref="AP74:AP137" si="77">AO74*$E74</f>
        <v>385.08918888479576</v>
      </c>
      <c r="AQ74" s="147">
        <f t="shared" ref="AQ74:AQ137" si="78">(AP74/AP$8)*AQ$8</f>
        <v>678280.42054020695</v>
      </c>
      <c r="AR74" s="142">
        <v>521</v>
      </c>
      <c r="AS74" s="145">
        <f t="shared" ref="AS74:AS137" si="79">AR74*$E74</f>
        <v>523.84195145947422</v>
      </c>
      <c r="AT74" s="147">
        <f t="shared" ref="AT74:AT137" si="80">(AS74/AS$8)*AT$8</f>
        <v>757820.8071808489</v>
      </c>
      <c r="AU74" s="144">
        <f t="shared" ref="AU74:AU137" si="81">I74+L74+O74+AH74+AK74+AN74+AQ74+AT74</f>
        <v>18272041.765554372</v>
      </c>
      <c r="AV74" s="148">
        <f>INDEX('Baselines+Historic Spend Factor'!P$9:P$159,MATCH('2019-20 StepbyStep Allocations'!C74,'Baselines+Historic Spend Factor'!C$9:C$159,0))</f>
        <v>18026383.442851078</v>
      </c>
      <c r="AW74" s="149">
        <v>42393.394</v>
      </c>
      <c r="AX74" s="150">
        <f t="shared" ref="AX74:AX137" si="82">AV74/AW74</f>
        <v>425.21680247755296</v>
      </c>
      <c r="AY74" s="148">
        <f t="shared" ref="AY74:AY137" si="83">AX74*(100%+1%)</f>
        <v>429.46897050232849</v>
      </c>
      <c r="AZ74" s="148">
        <f t="shared" ref="AZ74:AZ137" si="84">AU74/J74</f>
        <v>428.27932227189132</v>
      </c>
      <c r="BA74" s="148">
        <f t="shared" ref="BA74:BA137" si="85">MAX(AY74,AZ74)</f>
        <v>429.46897050232849</v>
      </c>
      <c r="BB74" s="151">
        <f t="shared" ref="BB74:BB137" si="86">(BA74-AZ74)*J74</f>
        <v>50754.965328599304</v>
      </c>
      <c r="BC74" s="148">
        <f t="shared" ref="BC74:BC137" si="87">MAX(AV74-BA74*J74,0)</f>
        <v>0</v>
      </c>
      <c r="BD74" s="144">
        <f t="shared" ref="BD74:BD137" si="88">BB74+BC74</f>
        <v>50754.965328599304</v>
      </c>
      <c r="BE74" s="144">
        <f t="shared" si="49"/>
        <v>18322796.730882972</v>
      </c>
      <c r="BF74" s="144">
        <f>INDEX('Hospital Education Funding'!$G$9:$G$159,MATCH(C74,'Hospital Education Funding'!$C$9:$C$158,0))</f>
        <v>314640.25</v>
      </c>
      <c r="BG74" s="152">
        <f>INDEX('Import|Export Adjustments Data'!$Q$9:$Q$159,MATCH('2019-20 StepbyStep Allocations'!$C74,'Import|Export Adjustments Data'!$C$9:$C$159,0))</f>
        <v>-82</v>
      </c>
      <c r="BH74" s="144">
        <f t="shared" ref="BH74:BH137" si="89">BG74*6000</f>
        <v>-492000</v>
      </c>
      <c r="BI74" s="153">
        <f>INDEX('Baselines+Historic Spend Factor'!$F$9:$F$159,MATCH('2019-20 StepbyStep Allocations'!C74,'Baselines+Historic Spend Factor'!C$9:C$159,0))-INDEX('Baselines+Historic Spend Factor'!$G$9:$G$159,MATCH('2019-20 StepbyStep Allocations'!C74,'Baselines+Historic Spend Factor'!C$9:C$159,0))</f>
        <v>19367374.294415578</v>
      </c>
      <c r="BJ74" s="154">
        <f t="shared" si="50"/>
        <v>19766230.120523419</v>
      </c>
      <c r="BK74" s="155">
        <f t="shared" ref="BK74:BK137" si="90">BJ74/BI74-1</f>
        <v>2.0594212723138661E-2</v>
      </c>
      <c r="BL74" s="156">
        <f t="shared" ref="BL74:BL137" si="91">AX74</f>
        <v>425.21680247755296</v>
      </c>
      <c r="BM74" s="148">
        <f t="shared" si="51"/>
        <v>429.46897050232849</v>
      </c>
      <c r="BN74" s="148">
        <f t="shared" ref="BN74:BN137" si="92">MIN(BL74*(100% + 6.09%), BM74)</f>
        <v>429.46897050232849</v>
      </c>
      <c r="BO74" s="148">
        <f t="shared" si="52"/>
        <v>18322796.730882972</v>
      </c>
      <c r="BP74" s="144">
        <f t="shared" si="53"/>
        <v>19766230.120523419</v>
      </c>
      <c r="BQ74" s="148">
        <v>19633045.987684812</v>
      </c>
      <c r="BR74" s="157">
        <f t="shared" si="48"/>
        <v>6.7836714141120691E-3</v>
      </c>
      <c r="BT74" s="94"/>
      <c r="BU74" s="158"/>
      <c r="BX74" s="94"/>
    </row>
    <row r="75" spans="1:76" ht="15.4" x14ac:dyDescent="0.45">
      <c r="A75" s="139" t="s">
        <v>168</v>
      </c>
      <c r="B75" s="140" t="s">
        <v>158</v>
      </c>
      <c r="C75" s="102">
        <v>359</v>
      </c>
      <c r="D75" s="141" t="s">
        <v>180</v>
      </c>
      <c r="E75" s="348">
        <v>1.0082072667712707</v>
      </c>
      <c r="F75" s="142">
        <v>726</v>
      </c>
      <c r="G75" s="143">
        <f t="shared" si="54"/>
        <v>4032.8290670850829</v>
      </c>
      <c r="H75" s="144">
        <f t="shared" si="55"/>
        <v>2927833.90270377</v>
      </c>
      <c r="I75" s="144">
        <f>INDEX('Baselines+Historic Spend Factor'!$Q$9:$Q$159,MATCH(C75,'Baselines+Historic Spend Factor'!$C$9:$C$159,0))</f>
        <v>12527873.113839479</v>
      </c>
      <c r="J75" s="142">
        <v>64599.025000000001</v>
      </c>
      <c r="K75" s="145">
        <f t="shared" si="56"/>
        <v>65129.206431338986</v>
      </c>
      <c r="L75" s="144">
        <f t="shared" si="57"/>
        <v>7631417.5518707857</v>
      </c>
      <c r="M75" s="142">
        <v>6566</v>
      </c>
      <c r="N75" s="145">
        <f t="shared" si="58"/>
        <v>6619.8889136201633</v>
      </c>
      <c r="O75" s="144">
        <f t="shared" si="59"/>
        <v>1624087.6226509197</v>
      </c>
      <c r="P75" s="142">
        <v>7508</v>
      </c>
      <c r="Q75" s="145">
        <f t="shared" si="60"/>
        <v>7569.6201589187003</v>
      </c>
      <c r="R75" s="147">
        <f t="shared" si="61"/>
        <v>257685.77864563905</v>
      </c>
      <c r="S75" s="142">
        <v>6169</v>
      </c>
      <c r="T75" s="145">
        <f t="shared" si="62"/>
        <v>6219.6306287119687</v>
      </c>
      <c r="U75" s="147">
        <f t="shared" si="63"/>
        <v>274986.58391342103</v>
      </c>
      <c r="V75" s="142">
        <v>5632</v>
      </c>
      <c r="W75" s="145">
        <f t="shared" si="64"/>
        <v>5678.2233264557963</v>
      </c>
      <c r="X75" s="147">
        <f t="shared" si="65"/>
        <v>342410.49893966317</v>
      </c>
      <c r="Y75" s="142">
        <v>3372</v>
      </c>
      <c r="Z75" s="145">
        <f t="shared" si="66"/>
        <v>3399.674903552725</v>
      </c>
      <c r="AA75" s="147">
        <f t="shared" si="67"/>
        <v>219281.83018460541</v>
      </c>
      <c r="AB75" s="142">
        <v>5544</v>
      </c>
      <c r="AC75" s="145">
        <f t="shared" si="68"/>
        <v>5589.5010869799244</v>
      </c>
      <c r="AD75" s="147">
        <f t="shared" si="69"/>
        <v>394793.05728160508</v>
      </c>
      <c r="AE75" s="142">
        <v>1993</v>
      </c>
      <c r="AF75" s="145">
        <f t="shared" si="70"/>
        <v>2009.3570826751425</v>
      </c>
      <c r="AG75" s="147">
        <f t="shared" si="71"/>
        <v>192046.17330534753</v>
      </c>
      <c r="AH75" s="144">
        <f t="shared" si="72"/>
        <v>1681203.9222702812</v>
      </c>
      <c r="AI75" s="142">
        <v>355</v>
      </c>
      <c r="AJ75" s="145">
        <f t="shared" si="73"/>
        <v>357.91357970380108</v>
      </c>
      <c r="AK75" s="147">
        <f t="shared" si="74"/>
        <v>1104663.4809171006</v>
      </c>
      <c r="AL75" s="142">
        <v>2380</v>
      </c>
      <c r="AM75" s="145">
        <f t="shared" si="75"/>
        <v>2399.5332949156241</v>
      </c>
      <c r="AN75" s="147">
        <f t="shared" si="76"/>
        <v>1223075.3259345694</v>
      </c>
      <c r="AO75" s="142">
        <v>533</v>
      </c>
      <c r="AP75" s="145">
        <f t="shared" si="77"/>
        <v>537.37447318908733</v>
      </c>
      <c r="AQ75" s="147">
        <f t="shared" si="78"/>
        <v>946509.52086662769</v>
      </c>
      <c r="AR75" s="142">
        <v>699</v>
      </c>
      <c r="AS75" s="145">
        <f t="shared" si="79"/>
        <v>704.73687947311828</v>
      </c>
      <c r="AT75" s="147">
        <f t="shared" si="80"/>
        <v>1019514.1289552633</v>
      </c>
      <c r="AU75" s="144">
        <f t="shared" si="81"/>
        <v>27758344.66730503</v>
      </c>
      <c r="AV75" s="148">
        <f>INDEX('Baselines+Historic Spend Factor'!P$9:P$159,MATCH('2019-20 StepbyStep Allocations'!C75,'Baselines+Historic Spend Factor'!C$9:C$159,0))</f>
        <v>25055746.227678958</v>
      </c>
      <c r="AW75" s="149">
        <v>64477.025000000001</v>
      </c>
      <c r="AX75" s="150">
        <f t="shared" si="82"/>
        <v>388.5996016050517</v>
      </c>
      <c r="AY75" s="148">
        <f t="shared" si="83"/>
        <v>392.48559762110222</v>
      </c>
      <c r="AZ75" s="148">
        <f t="shared" si="84"/>
        <v>429.70222332775194</v>
      </c>
      <c r="BA75" s="148">
        <f t="shared" si="85"/>
        <v>429.70222332775194</v>
      </c>
      <c r="BB75" s="151">
        <f t="shared" si="86"/>
        <v>0</v>
      </c>
      <c r="BC75" s="148">
        <f t="shared" si="87"/>
        <v>0</v>
      </c>
      <c r="BD75" s="144">
        <f t="shared" si="88"/>
        <v>0</v>
      </c>
      <c r="BE75" s="144">
        <f t="shared" si="49"/>
        <v>27758344.66730503</v>
      </c>
      <c r="BF75" s="144">
        <f>INDEX('Hospital Education Funding'!$G$9:$G$159,MATCH(C75,'Hospital Education Funding'!$C$9:$C$158,0))</f>
        <v>30300</v>
      </c>
      <c r="BG75" s="152">
        <f>INDEX('Import|Export Adjustments Data'!$Q$9:$Q$159,MATCH('2019-20 StepbyStep Allocations'!$C75,'Import|Export Adjustments Data'!$C$9:$C$159,0))</f>
        <v>-94</v>
      </c>
      <c r="BH75" s="144">
        <f t="shared" si="89"/>
        <v>-564000</v>
      </c>
      <c r="BI75" s="153">
        <f>INDEX('Baselines+Historic Spend Factor'!$F$9:$F$159,MATCH('2019-20 StepbyStep Allocations'!C75,'Baselines+Historic Spend Factor'!C$9:C$159,0))-INDEX('Baselines+Historic Spend Factor'!$G$9:$G$159,MATCH('2019-20 StepbyStep Allocations'!C75,'Baselines+Historic Spend Factor'!C$9:C$159,0))</f>
        <v>27290234.138632242</v>
      </c>
      <c r="BJ75" s="154">
        <f t="shared" si="50"/>
        <v>30152478.570008799</v>
      </c>
      <c r="BK75" s="155">
        <f t="shared" si="90"/>
        <v>0.10488163702944364</v>
      </c>
      <c r="BL75" s="156">
        <f t="shared" si="91"/>
        <v>388.5996016050517</v>
      </c>
      <c r="BM75" s="148">
        <f t="shared" si="51"/>
        <v>429.70222332775194</v>
      </c>
      <c r="BN75" s="148">
        <f t="shared" si="92"/>
        <v>412.26531734279934</v>
      </c>
      <c r="BO75" s="148">
        <f t="shared" si="52"/>
        <v>26631937.541660428</v>
      </c>
      <c r="BP75" s="144">
        <f t="shared" si="53"/>
        <v>29026071.444364198</v>
      </c>
      <c r="BQ75" s="148">
        <v>28191816.987283412</v>
      </c>
      <c r="BR75" s="157">
        <f t="shared" si="48"/>
        <v>2.9592078348731343E-2</v>
      </c>
      <c r="BT75" s="94"/>
      <c r="BU75" s="158"/>
      <c r="BX75" s="94"/>
    </row>
    <row r="76" spans="1:76" ht="15.4" x14ac:dyDescent="0.45">
      <c r="A76" s="139" t="s">
        <v>261</v>
      </c>
      <c r="B76" s="140" t="s">
        <v>158</v>
      </c>
      <c r="C76" s="102">
        <v>344</v>
      </c>
      <c r="D76" s="141" t="s">
        <v>181</v>
      </c>
      <c r="E76" s="348">
        <v>1.0016847182558959</v>
      </c>
      <c r="F76" s="142">
        <v>1056</v>
      </c>
      <c r="G76" s="143">
        <f t="shared" si="54"/>
        <v>4006.7388730235834</v>
      </c>
      <c r="H76" s="144">
        <f t="shared" si="55"/>
        <v>4231116.2499129046</v>
      </c>
      <c r="I76" s="144">
        <f>INDEX('Baselines+Historic Spend Factor'!$Q$9:$Q$159,MATCH(C76,'Baselines+Historic Spend Factor'!$C$9:$C$159,0))</f>
        <v>14518417.85787775</v>
      </c>
      <c r="J76" s="142">
        <v>64723.622999999992</v>
      </c>
      <c r="K76" s="145">
        <f t="shared" si="56"/>
        <v>64832.664069255814</v>
      </c>
      <c r="L76" s="144">
        <f t="shared" si="57"/>
        <v>7596670.6432122188</v>
      </c>
      <c r="M76" s="142">
        <v>8529.5000000000018</v>
      </c>
      <c r="N76" s="145">
        <f t="shared" si="58"/>
        <v>8543.869804363665</v>
      </c>
      <c r="O76" s="144">
        <f t="shared" si="59"/>
        <v>2096106.653732308</v>
      </c>
      <c r="P76" s="142">
        <v>4477</v>
      </c>
      <c r="Q76" s="145">
        <f t="shared" si="60"/>
        <v>4484.5424836316461</v>
      </c>
      <c r="R76" s="147">
        <f t="shared" si="61"/>
        <v>152663.25092977233</v>
      </c>
      <c r="S76" s="142">
        <v>3288</v>
      </c>
      <c r="T76" s="145">
        <f t="shared" si="62"/>
        <v>3293.5393536253855</v>
      </c>
      <c r="U76" s="147">
        <f t="shared" si="63"/>
        <v>145616.22544865173</v>
      </c>
      <c r="V76" s="142">
        <v>4280</v>
      </c>
      <c r="W76" s="145">
        <f t="shared" si="64"/>
        <v>4287.2105941352347</v>
      </c>
      <c r="X76" s="147">
        <f t="shared" si="65"/>
        <v>258529.0916187925</v>
      </c>
      <c r="Y76" s="142">
        <v>3803</v>
      </c>
      <c r="Z76" s="145">
        <f t="shared" si="66"/>
        <v>3809.4069835271721</v>
      </c>
      <c r="AA76" s="147">
        <f t="shared" si="67"/>
        <v>245709.88666972701</v>
      </c>
      <c r="AB76" s="142">
        <v>6257</v>
      </c>
      <c r="AC76" s="145">
        <f t="shared" si="68"/>
        <v>6267.5412821271402</v>
      </c>
      <c r="AD76" s="147">
        <f t="shared" si="69"/>
        <v>442683.83633978025</v>
      </c>
      <c r="AE76" s="142">
        <v>7570</v>
      </c>
      <c r="AF76" s="145">
        <f t="shared" si="70"/>
        <v>7582.7533171971318</v>
      </c>
      <c r="AG76" s="147">
        <f t="shared" si="71"/>
        <v>724728.70563523076</v>
      </c>
      <c r="AH76" s="144">
        <f t="shared" si="72"/>
        <v>1969930.9966419549</v>
      </c>
      <c r="AI76" s="142">
        <v>460</v>
      </c>
      <c r="AJ76" s="145">
        <f t="shared" si="73"/>
        <v>460.77497039771208</v>
      </c>
      <c r="AK76" s="147">
        <f t="shared" si="74"/>
        <v>1422134.5922114644</v>
      </c>
      <c r="AL76" s="142">
        <v>3680</v>
      </c>
      <c r="AM76" s="145">
        <f t="shared" si="75"/>
        <v>3686.1997631816967</v>
      </c>
      <c r="AN76" s="147">
        <f t="shared" si="76"/>
        <v>1878907.0301155879</v>
      </c>
      <c r="AO76" s="142">
        <v>571</v>
      </c>
      <c r="AP76" s="145">
        <f t="shared" si="77"/>
        <v>571.96197412411652</v>
      </c>
      <c r="AQ76" s="147">
        <f t="shared" si="78"/>
        <v>1007430.5369761315</v>
      </c>
      <c r="AR76" s="142">
        <v>890</v>
      </c>
      <c r="AS76" s="145">
        <f t="shared" si="79"/>
        <v>891.49939924774731</v>
      </c>
      <c r="AT76" s="147">
        <f t="shared" si="80"/>
        <v>1289695.8566546494</v>
      </c>
      <c r="AU76" s="144">
        <f t="shared" si="81"/>
        <v>31779294.167422064</v>
      </c>
      <c r="AV76" s="148">
        <f>INDEX('Baselines+Historic Spend Factor'!P$9:P$159,MATCH('2019-20 StepbyStep Allocations'!C76,'Baselines+Historic Spend Factor'!C$9:C$159,0))</f>
        <v>29036835.7157555</v>
      </c>
      <c r="AW76" s="149">
        <v>64320.655000000006</v>
      </c>
      <c r="AX76" s="150">
        <f t="shared" si="82"/>
        <v>451.43874414455973</v>
      </c>
      <c r="AY76" s="148">
        <f t="shared" si="83"/>
        <v>455.95313158600533</v>
      </c>
      <c r="AZ76" s="148">
        <f t="shared" si="84"/>
        <v>490.99992698835894</v>
      </c>
      <c r="BA76" s="148">
        <f t="shared" si="85"/>
        <v>490.99992698835894</v>
      </c>
      <c r="BB76" s="151">
        <f t="shared" si="86"/>
        <v>0</v>
      </c>
      <c r="BC76" s="148">
        <f t="shared" si="87"/>
        <v>0</v>
      </c>
      <c r="BD76" s="144">
        <f t="shared" si="88"/>
        <v>0</v>
      </c>
      <c r="BE76" s="144">
        <f t="shared" si="49"/>
        <v>31779294.167422064</v>
      </c>
      <c r="BF76" s="144">
        <f>INDEX('Hospital Education Funding'!$G$9:$G$159,MATCH(C76,'Hospital Education Funding'!$C$9:$C$158,0))</f>
        <v>1372691</v>
      </c>
      <c r="BG76" s="152">
        <f>INDEX('Import|Export Adjustments Data'!$Q$9:$Q$159,MATCH('2019-20 StepbyStep Allocations'!$C76,'Import|Export Adjustments Data'!$C$9:$C$159,0))</f>
        <v>-80</v>
      </c>
      <c r="BH76" s="144">
        <f t="shared" si="89"/>
        <v>-480000</v>
      </c>
      <c r="BI76" s="153">
        <f>INDEX('Baselines+Historic Spend Factor'!$F$9:$F$159,MATCH('2019-20 StepbyStep Allocations'!C76,'Baselines+Historic Spend Factor'!C$9:C$159,0))-INDEX('Baselines+Historic Spend Factor'!$G$9:$G$159,MATCH('2019-20 StepbyStep Allocations'!C76,'Baselines+Historic Spend Factor'!C$9:C$159,0))</f>
        <v>34002647.63328699</v>
      </c>
      <c r="BJ76" s="154">
        <f t="shared" si="50"/>
        <v>36903101.417334966</v>
      </c>
      <c r="BK76" s="155">
        <f t="shared" si="90"/>
        <v>8.530082172802822E-2</v>
      </c>
      <c r="BL76" s="156">
        <f t="shared" si="91"/>
        <v>451.43874414455973</v>
      </c>
      <c r="BM76" s="148">
        <f t="shared" si="51"/>
        <v>490.99992698835894</v>
      </c>
      <c r="BN76" s="148">
        <f t="shared" si="92"/>
        <v>478.93136366296341</v>
      </c>
      <c r="BO76" s="148">
        <f t="shared" si="52"/>
        <v>30998173.02459754</v>
      </c>
      <c r="BP76" s="144">
        <f t="shared" si="53"/>
        <v>36121980.274510443</v>
      </c>
      <c r="BQ76" s="148">
        <v>35062483.29262881</v>
      </c>
      <c r="BR76" s="157">
        <f t="shared" si="48"/>
        <v>3.0217397126129253E-2</v>
      </c>
      <c r="BT76" s="94"/>
      <c r="BU76" s="158"/>
      <c r="BX76" s="94"/>
    </row>
    <row r="77" spans="1:76" ht="15.4" x14ac:dyDescent="0.45">
      <c r="A77" s="139" t="s">
        <v>112</v>
      </c>
      <c r="B77" s="140" t="s">
        <v>182</v>
      </c>
      <c r="C77" s="102">
        <v>301</v>
      </c>
      <c r="D77" s="141" t="s">
        <v>183</v>
      </c>
      <c r="E77" s="348">
        <v>1.1243577599840504</v>
      </c>
      <c r="F77" s="142">
        <v>320</v>
      </c>
      <c r="G77" s="143">
        <f t="shared" si="54"/>
        <v>4497.4310399362021</v>
      </c>
      <c r="H77" s="144">
        <f t="shared" si="55"/>
        <v>1439177.9327795845</v>
      </c>
      <c r="I77" s="144">
        <f>INDEX('Baselines+Historic Spend Factor'!$Q$9:$Q$159,MATCH(C77,'Baselines+Historic Spend Factor'!$C$9:$C$159,0))</f>
        <v>12482620.907457069</v>
      </c>
      <c r="J77" s="142">
        <v>61110.881999999998</v>
      </c>
      <c r="K77" s="145">
        <f t="shared" si="56"/>
        <v>68710.494396169626</v>
      </c>
      <c r="L77" s="144">
        <f t="shared" si="57"/>
        <v>8051049.6237266669</v>
      </c>
      <c r="M77" s="142">
        <v>6877</v>
      </c>
      <c r="N77" s="145">
        <f t="shared" si="58"/>
        <v>7732.2083154103148</v>
      </c>
      <c r="O77" s="144">
        <f t="shared" si="59"/>
        <v>1896978.0285858363</v>
      </c>
      <c r="P77" s="142">
        <v>3532</v>
      </c>
      <c r="Q77" s="145">
        <f t="shared" si="60"/>
        <v>3971.2316082636662</v>
      </c>
      <c r="R77" s="147">
        <f t="shared" si="61"/>
        <v>135189.06994981584</v>
      </c>
      <c r="S77" s="142">
        <v>15780</v>
      </c>
      <c r="T77" s="145">
        <f t="shared" si="62"/>
        <v>17742.365452548314</v>
      </c>
      <c r="U77" s="147">
        <f t="shared" si="63"/>
        <v>784437.65515865374</v>
      </c>
      <c r="V77" s="142">
        <v>13385</v>
      </c>
      <c r="W77" s="145">
        <f t="shared" si="64"/>
        <v>15049.528617386515</v>
      </c>
      <c r="X77" s="147">
        <f t="shared" si="65"/>
        <v>907522.7067376551</v>
      </c>
      <c r="Y77" s="142">
        <v>12577</v>
      </c>
      <c r="Z77" s="145">
        <f t="shared" si="66"/>
        <v>14141.047547319402</v>
      </c>
      <c r="AA77" s="147">
        <f t="shared" si="67"/>
        <v>912109.20893149241</v>
      </c>
      <c r="AB77" s="142">
        <v>7207</v>
      </c>
      <c r="AC77" s="145">
        <f t="shared" si="68"/>
        <v>8103.2463762050511</v>
      </c>
      <c r="AD77" s="147">
        <f t="shared" si="69"/>
        <v>572341.85323266406</v>
      </c>
      <c r="AE77" s="142">
        <v>0</v>
      </c>
      <c r="AF77" s="145">
        <f t="shared" si="70"/>
        <v>0</v>
      </c>
      <c r="AG77" s="147">
        <f t="shared" si="71"/>
        <v>0</v>
      </c>
      <c r="AH77" s="144">
        <f t="shared" si="72"/>
        <v>3311600.4940102813</v>
      </c>
      <c r="AI77" s="142">
        <v>418</v>
      </c>
      <c r="AJ77" s="145">
        <f t="shared" si="73"/>
        <v>469.98154367333308</v>
      </c>
      <c r="AK77" s="147">
        <f t="shared" si="74"/>
        <v>1450549.7344655872</v>
      </c>
      <c r="AL77" s="142">
        <v>1900</v>
      </c>
      <c r="AM77" s="145">
        <f t="shared" si="75"/>
        <v>2136.2797439696956</v>
      </c>
      <c r="AN77" s="147">
        <f t="shared" si="76"/>
        <v>1088891.3480298384</v>
      </c>
      <c r="AO77" s="142">
        <v>648</v>
      </c>
      <c r="AP77" s="145">
        <f t="shared" si="77"/>
        <v>728.5838284696647</v>
      </c>
      <c r="AQ77" s="147">
        <f t="shared" si="78"/>
        <v>1283297.8952339259</v>
      </c>
      <c r="AR77" s="142">
        <v>541</v>
      </c>
      <c r="AS77" s="145">
        <f t="shared" si="79"/>
        <v>608.27754815137132</v>
      </c>
      <c r="AT77" s="147">
        <f t="shared" si="80"/>
        <v>879970.34457772213</v>
      </c>
      <c r="AU77" s="144">
        <f t="shared" si="81"/>
        <v>30444958.376086924</v>
      </c>
      <c r="AV77" s="148">
        <f>INDEX('Baselines+Historic Spend Factor'!P$9:P$159,MATCH('2019-20 StepbyStep Allocations'!C77,'Baselines+Historic Spend Factor'!C$9:C$159,0))</f>
        <v>24965241.814914137</v>
      </c>
      <c r="AW77" s="149">
        <v>58015.88700000001</v>
      </c>
      <c r="AX77" s="150">
        <f t="shared" si="82"/>
        <v>430.31733385226244</v>
      </c>
      <c r="AY77" s="148">
        <f t="shared" si="83"/>
        <v>434.62050719078508</v>
      </c>
      <c r="AZ77" s="148">
        <f t="shared" si="84"/>
        <v>498.19209573978861</v>
      </c>
      <c r="BA77" s="148">
        <f t="shared" si="85"/>
        <v>498.19209573978861</v>
      </c>
      <c r="BB77" s="151">
        <f t="shared" si="86"/>
        <v>0</v>
      </c>
      <c r="BC77" s="148">
        <f t="shared" si="87"/>
        <v>0</v>
      </c>
      <c r="BD77" s="144">
        <f t="shared" si="88"/>
        <v>0</v>
      </c>
      <c r="BE77" s="144">
        <f t="shared" si="49"/>
        <v>30444958.376086924</v>
      </c>
      <c r="BF77" s="144">
        <f>INDEX('Hospital Education Funding'!$G$9:$G$159,MATCH(C77,'Hospital Education Funding'!$C$9:$C$158,0))</f>
        <v>0</v>
      </c>
      <c r="BG77" s="152">
        <f>INDEX('Import|Export Adjustments Data'!$Q$9:$Q$159,MATCH('2019-20 StepbyStep Allocations'!$C77,'Import|Export Adjustments Data'!$C$9:$C$159,0))</f>
        <v>48</v>
      </c>
      <c r="BH77" s="144">
        <f t="shared" si="89"/>
        <v>288000</v>
      </c>
      <c r="BI77" s="153">
        <f>INDEX('Baselines+Historic Spend Factor'!$F$9:$F$159,MATCH('2019-20 StepbyStep Allocations'!C77,'Baselines+Historic Spend Factor'!C$9:C$159,0))-INDEX('Baselines+Historic Spend Factor'!$G$9:$G$159,MATCH('2019-20 StepbyStep Allocations'!C77,'Baselines+Historic Spend Factor'!C$9:C$159,0))</f>
        <v>26530440.299374234</v>
      </c>
      <c r="BJ77" s="154">
        <f t="shared" si="50"/>
        <v>32172136.308866508</v>
      </c>
      <c r="BK77" s="155">
        <f t="shared" si="90"/>
        <v>0.21264992008539507</v>
      </c>
      <c r="BL77" s="156">
        <f t="shared" si="91"/>
        <v>430.31733385226244</v>
      </c>
      <c r="BM77" s="148">
        <f t="shared" si="51"/>
        <v>498.19209573978861</v>
      </c>
      <c r="BN77" s="148">
        <f t="shared" si="92"/>
        <v>456.52365948386517</v>
      </c>
      <c r="BO77" s="148">
        <f t="shared" si="52"/>
        <v>27898563.484926663</v>
      </c>
      <c r="BP77" s="144">
        <f t="shared" si="53"/>
        <v>29625741.417706247</v>
      </c>
      <c r="BQ77" s="148">
        <v>28097412.736738436</v>
      </c>
      <c r="BR77" s="157">
        <f t="shared" si="48"/>
        <v>5.4393929266286722E-2</v>
      </c>
      <c r="BT77" s="94"/>
      <c r="BU77" s="158"/>
      <c r="BX77" s="94"/>
    </row>
    <row r="78" spans="1:76" ht="15.4" x14ac:dyDescent="0.45">
      <c r="A78" s="139" t="s">
        <v>113</v>
      </c>
      <c r="B78" s="140" t="s">
        <v>182</v>
      </c>
      <c r="C78" s="102">
        <v>302</v>
      </c>
      <c r="D78" s="141" t="s">
        <v>184</v>
      </c>
      <c r="E78" s="348">
        <v>1.1116135618035334</v>
      </c>
      <c r="F78" s="142">
        <v>667</v>
      </c>
      <c r="G78" s="143">
        <f t="shared" si="54"/>
        <v>4446.4542472141338</v>
      </c>
      <c r="H78" s="144">
        <f t="shared" si="55"/>
        <v>2965784.9828918274</v>
      </c>
      <c r="I78" s="144">
        <f>INDEX('Baselines+Historic Spend Factor'!$Q$9:$Q$159,MATCH(C78,'Baselines+Historic Spend Factor'!$C$9:$C$159,0))</f>
        <v>21625987.189735401</v>
      </c>
      <c r="J78" s="142">
        <v>87627.451000000001</v>
      </c>
      <c r="K78" s="145">
        <f t="shared" si="56"/>
        <v>97407.862917874605</v>
      </c>
      <c r="L78" s="144">
        <f t="shared" si="57"/>
        <v>11413620.946623426</v>
      </c>
      <c r="M78" s="142">
        <v>6279.0000000000009</v>
      </c>
      <c r="N78" s="145">
        <f t="shared" si="58"/>
        <v>6979.821554564387</v>
      </c>
      <c r="O78" s="144">
        <f t="shared" si="59"/>
        <v>1712391.5435736496</v>
      </c>
      <c r="P78" s="142">
        <v>7629</v>
      </c>
      <c r="Q78" s="145">
        <f t="shared" si="60"/>
        <v>8480.4998629991569</v>
      </c>
      <c r="R78" s="147">
        <f t="shared" si="61"/>
        <v>288694.03809204313</v>
      </c>
      <c r="S78" s="142">
        <v>6978</v>
      </c>
      <c r="T78" s="145">
        <f t="shared" si="62"/>
        <v>7756.8394342650563</v>
      </c>
      <c r="U78" s="147">
        <f t="shared" si="63"/>
        <v>342950.71609987115</v>
      </c>
      <c r="V78" s="142">
        <v>7266</v>
      </c>
      <c r="W78" s="145">
        <f t="shared" si="64"/>
        <v>8076.9841400644736</v>
      </c>
      <c r="X78" s="147">
        <f t="shared" si="65"/>
        <v>487061.53497725638</v>
      </c>
      <c r="Y78" s="142">
        <v>4592</v>
      </c>
      <c r="Z78" s="145">
        <f t="shared" si="66"/>
        <v>5104.5294758018254</v>
      </c>
      <c r="AA78" s="147">
        <f t="shared" si="67"/>
        <v>329246.35367792577</v>
      </c>
      <c r="AB78" s="142">
        <v>3251</v>
      </c>
      <c r="AC78" s="145">
        <f t="shared" si="68"/>
        <v>3613.855689423287</v>
      </c>
      <c r="AD78" s="147">
        <f t="shared" si="69"/>
        <v>255250.8916270413</v>
      </c>
      <c r="AE78" s="142">
        <v>0</v>
      </c>
      <c r="AF78" s="145">
        <f t="shared" si="70"/>
        <v>0</v>
      </c>
      <c r="AG78" s="147">
        <f t="shared" si="71"/>
        <v>0</v>
      </c>
      <c r="AH78" s="144">
        <f t="shared" si="72"/>
        <v>1703203.5344741377</v>
      </c>
      <c r="AI78" s="142">
        <v>511</v>
      </c>
      <c r="AJ78" s="145">
        <f t="shared" si="73"/>
        <v>568.03453008160557</v>
      </c>
      <c r="AK78" s="147">
        <f t="shared" si="74"/>
        <v>1753180.2000928435</v>
      </c>
      <c r="AL78" s="142">
        <v>1980</v>
      </c>
      <c r="AM78" s="145">
        <f t="shared" si="75"/>
        <v>2200.9948523709963</v>
      </c>
      <c r="AN78" s="147">
        <f t="shared" si="76"/>
        <v>1121877.5343305354</v>
      </c>
      <c r="AO78" s="142">
        <v>582</v>
      </c>
      <c r="AP78" s="145">
        <f t="shared" si="77"/>
        <v>646.95909296965647</v>
      </c>
      <c r="AQ78" s="147">
        <f t="shared" si="78"/>
        <v>1139527.4090206875</v>
      </c>
      <c r="AR78" s="142">
        <v>651</v>
      </c>
      <c r="AS78" s="145">
        <f t="shared" si="79"/>
        <v>723.66042873410026</v>
      </c>
      <c r="AT78" s="147">
        <f t="shared" si="80"/>
        <v>1046890.056629115</v>
      </c>
      <c r="AU78" s="144">
        <f t="shared" si="81"/>
        <v>41516678.414479785</v>
      </c>
      <c r="AV78" s="148">
        <f>INDEX('Baselines+Historic Spend Factor'!P$9:P$159,MATCH('2019-20 StepbyStep Allocations'!C78,'Baselines+Historic Spend Factor'!C$9:C$159,0))</f>
        <v>43251974.379470803</v>
      </c>
      <c r="AW78" s="149">
        <v>85204.365999999995</v>
      </c>
      <c r="AX78" s="150">
        <f t="shared" si="82"/>
        <v>507.62626858195046</v>
      </c>
      <c r="AY78" s="148">
        <f t="shared" si="83"/>
        <v>512.70253126776993</v>
      </c>
      <c r="AZ78" s="148">
        <f t="shared" si="84"/>
        <v>473.78621585694401</v>
      </c>
      <c r="BA78" s="148">
        <f t="shared" si="85"/>
        <v>512.70253126776993</v>
      </c>
      <c r="BB78" s="151">
        <f t="shared" si="86"/>
        <v>3410137.5217626928</v>
      </c>
      <c r="BC78" s="148">
        <f t="shared" si="87"/>
        <v>0</v>
      </c>
      <c r="BD78" s="144">
        <f t="shared" si="88"/>
        <v>3410137.5217626928</v>
      </c>
      <c r="BE78" s="144">
        <f t="shared" si="49"/>
        <v>44926815.936242476</v>
      </c>
      <c r="BF78" s="144">
        <f>INDEX('Hospital Education Funding'!$G$9:$G$159,MATCH(C78,'Hospital Education Funding'!$C$9:$C$158,0))</f>
        <v>546557.46</v>
      </c>
      <c r="BG78" s="152">
        <f>INDEX('Import|Export Adjustments Data'!$Q$9:$Q$159,MATCH('2019-20 StepbyStep Allocations'!$C78,'Import|Export Adjustments Data'!$C$9:$C$159,0))</f>
        <v>63.5</v>
      </c>
      <c r="BH78" s="144">
        <f t="shared" si="89"/>
        <v>381000</v>
      </c>
      <c r="BI78" s="153">
        <f>INDEX('Baselines+Historic Spend Factor'!$F$9:$F$159,MATCH('2019-20 StepbyStep Allocations'!C78,'Baselines+Historic Spend Factor'!C$9:C$159,0))-INDEX('Baselines+Historic Spend Factor'!$G$9:$G$159,MATCH('2019-20 StepbyStep Allocations'!C78,'Baselines+Historic Spend Factor'!C$9:C$159,0))</f>
        <v>46868992.927799284</v>
      </c>
      <c r="BJ78" s="154">
        <f t="shared" si="50"/>
        <v>48820158.379134305</v>
      </c>
      <c r="BK78" s="155">
        <f t="shared" si="90"/>
        <v>4.1630197908044453E-2</v>
      </c>
      <c r="BL78" s="156">
        <f t="shared" si="91"/>
        <v>507.62626858195046</v>
      </c>
      <c r="BM78" s="148">
        <f t="shared" si="51"/>
        <v>512.70253126776993</v>
      </c>
      <c r="BN78" s="148">
        <f t="shared" si="92"/>
        <v>512.70253126776993</v>
      </c>
      <c r="BO78" s="148">
        <f t="shared" si="52"/>
        <v>44926815.936242476</v>
      </c>
      <c r="BP78" s="144">
        <f t="shared" si="53"/>
        <v>48820158.379134305</v>
      </c>
      <c r="BQ78" s="148">
        <v>48101252.826467998</v>
      </c>
      <c r="BR78" s="157">
        <f t="shared" si="48"/>
        <v>1.4945672106709162E-2</v>
      </c>
      <c r="BT78" s="94"/>
      <c r="BU78" s="158"/>
      <c r="BX78" s="94"/>
    </row>
    <row r="79" spans="1:76" ht="15.4" x14ac:dyDescent="0.45">
      <c r="A79" s="139" t="s">
        <v>139</v>
      </c>
      <c r="B79" s="140" t="s">
        <v>182</v>
      </c>
      <c r="C79" s="102">
        <v>303</v>
      </c>
      <c r="D79" s="141" t="s">
        <v>185</v>
      </c>
      <c r="E79" s="348">
        <v>1.0870826162281</v>
      </c>
      <c r="F79" s="142">
        <v>597</v>
      </c>
      <c r="G79" s="143">
        <f t="shared" si="54"/>
        <v>4348.3304649124002</v>
      </c>
      <c r="H79" s="144">
        <f t="shared" si="55"/>
        <v>2595953.2875527027</v>
      </c>
      <c r="I79" s="144">
        <f>INDEX('Baselines+Historic Spend Factor'!$Q$9:$Q$159,MATCH(C79,'Baselines+Historic Spend Factor'!$C$9:$C$159,0))</f>
        <v>14696026.132432904</v>
      </c>
      <c r="J79" s="142">
        <v>55322.501000000011</v>
      </c>
      <c r="K79" s="145">
        <f t="shared" si="56"/>
        <v>60140.129123361687</v>
      </c>
      <c r="L79" s="144">
        <f t="shared" si="57"/>
        <v>7046829.8649952123</v>
      </c>
      <c r="M79" s="142">
        <v>4404.9999999999982</v>
      </c>
      <c r="N79" s="145">
        <f t="shared" si="58"/>
        <v>4788.5989244847788</v>
      </c>
      <c r="O79" s="144">
        <f t="shared" si="59"/>
        <v>1174808.874374636</v>
      </c>
      <c r="P79" s="142">
        <v>6151</v>
      </c>
      <c r="Q79" s="145">
        <f t="shared" si="60"/>
        <v>6686.6451724190429</v>
      </c>
      <c r="R79" s="147">
        <f t="shared" si="61"/>
        <v>227627.4544306907</v>
      </c>
      <c r="S79" s="142">
        <v>6955</v>
      </c>
      <c r="T79" s="145">
        <f t="shared" si="62"/>
        <v>7560.6595958664357</v>
      </c>
      <c r="U79" s="147">
        <f t="shared" si="63"/>
        <v>334277.07825634925</v>
      </c>
      <c r="V79" s="142">
        <v>5308</v>
      </c>
      <c r="W79" s="145">
        <f t="shared" si="64"/>
        <v>5770.2345269387552</v>
      </c>
      <c r="X79" s="147">
        <f t="shared" si="65"/>
        <v>347958.99523050425</v>
      </c>
      <c r="Y79" s="142">
        <v>4217</v>
      </c>
      <c r="Z79" s="145">
        <f t="shared" si="66"/>
        <v>4584.2273926338976</v>
      </c>
      <c r="AA79" s="147">
        <f t="shared" si="67"/>
        <v>295686.44095606613</v>
      </c>
      <c r="AB79" s="142">
        <v>879</v>
      </c>
      <c r="AC79" s="145">
        <f t="shared" si="68"/>
        <v>955.5456196644999</v>
      </c>
      <c r="AD79" s="147">
        <f t="shared" si="69"/>
        <v>67491.314643114703</v>
      </c>
      <c r="AE79" s="142">
        <v>0</v>
      </c>
      <c r="AF79" s="145">
        <f t="shared" si="70"/>
        <v>0</v>
      </c>
      <c r="AG79" s="147">
        <f t="shared" si="71"/>
        <v>0</v>
      </c>
      <c r="AH79" s="144">
        <f t="shared" si="72"/>
        <v>1273041.2835167251</v>
      </c>
      <c r="AI79" s="142">
        <v>308</v>
      </c>
      <c r="AJ79" s="145">
        <f t="shared" si="73"/>
        <v>334.82144579825479</v>
      </c>
      <c r="AK79" s="147">
        <f t="shared" si="74"/>
        <v>1033391.9828001107</v>
      </c>
      <c r="AL79" s="142">
        <v>1930</v>
      </c>
      <c r="AM79" s="145">
        <f t="shared" si="75"/>
        <v>2098.0694493202332</v>
      </c>
      <c r="AN79" s="147">
        <f t="shared" si="76"/>
        <v>1069415.0320806194</v>
      </c>
      <c r="AO79" s="142">
        <v>407</v>
      </c>
      <c r="AP79" s="145">
        <f t="shared" si="77"/>
        <v>442.44262480483667</v>
      </c>
      <c r="AQ79" s="147">
        <f t="shared" si="78"/>
        <v>779300.42774406821</v>
      </c>
      <c r="AR79" s="142">
        <v>616</v>
      </c>
      <c r="AS79" s="145">
        <f t="shared" si="79"/>
        <v>669.64289159650957</v>
      </c>
      <c r="AT79" s="147">
        <f t="shared" si="80"/>
        <v>968745.08660241158</v>
      </c>
      <c r="AU79" s="144">
        <f t="shared" si="81"/>
        <v>28041558.684546687</v>
      </c>
      <c r="AV79" s="148">
        <f>INDEX('Baselines+Historic Spend Factor'!P$9:P$159,MATCH('2019-20 StepbyStep Allocations'!C79,'Baselines+Historic Spend Factor'!C$9:C$159,0))</f>
        <v>29392052.264865808</v>
      </c>
      <c r="AW79" s="149">
        <v>53901.499000000003</v>
      </c>
      <c r="AX79" s="150">
        <f t="shared" si="82"/>
        <v>545.29192712925862</v>
      </c>
      <c r="AY79" s="148">
        <f t="shared" si="83"/>
        <v>550.74484640055118</v>
      </c>
      <c r="AZ79" s="148">
        <f t="shared" si="84"/>
        <v>506.87438524420077</v>
      </c>
      <c r="BA79" s="148">
        <f t="shared" si="85"/>
        <v>550.74484640055118</v>
      </c>
      <c r="BB79" s="151">
        <f t="shared" si="86"/>
        <v>2427023.6311926576</v>
      </c>
      <c r="BC79" s="148">
        <f t="shared" si="87"/>
        <v>0</v>
      </c>
      <c r="BD79" s="144">
        <f t="shared" si="88"/>
        <v>2427023.6311926576</v>
      </c>
      <c r="BE79" s="144">
        <f t="shared" si="49"/>
        <v>30468582.315739345</v>
      </c>
      <c r="BF79" s="144">
        <f>INDEX('Hospital Education Funding'!$G$9:$G$159,MATCH(C79,'Hospital Education Funding'!$C$9:$C$158,0))</f>
        <v>297950</v>
      </c>
      <c r="BG79" s="152">
        <f>INDEX('Import|Export Adjustments Data'!$Q$9:$Q$159,MATCH('2019-20 StepbyStep Allocations'!$C79,'Import|Export Adjustments Data'!$C$9:$C$159,0))</f>
        <v>-217.5</v>
      </c>
      <c r="BH79" s="144">
        <f t="shared" si="89"/>
        <v>-1305000</v>
      </c>
      <c r="BI79" s="153">
        <f>INDEX('Baselines+Historic Spend Factor'!$F$9:$F$159,MATCH('2019-20 StepbyStep Allocations'!C79,'Baselines+Historic Spend Factor'!C$9:C$159,0))-INDEX('Baselines+Historic Spend Factor'!$G$9:$G$159,MATCH('2019-20 StepbyStep Allocations'!C79,'Baselines+Historic Spend Factor'!C$9:C$159,0))</f>
        <v>31216657.221953597</v>
      </c>
      <c r="BJ79" s="154">
        <f t="shared" si="50"/>
        <v>32057485.603292048</v>
      </c>
      <c r="BK79" s="155">
        <f t="shared" si="90"/>
        <v>2.6935247273917717E-2</v>
      </c>
      <c r="BL79" s="156">
        <f t="shared" si="91"/>
        <v>545.29192712925862</v>
      </c>
      <c r="BM79" s="148">
        <f t="shared" si="51"/>
        <v>550.74484640055118</v>
      </c>
      <c r="BN79" s="148">
        <f t="shared" si="92"/>
        <v>550.74484640055118</v>
      </c>
      <c r="BO79" s="148">
        <f t="shared" si="52"/>
        <v>30468582.315739345</v>
      </c>
      <c r="BP79" s="144">
        <f t="shared" si="53"/>
        <v>32057485.603292048</v>
      </c>
      <c r="BQ79" s="148">
        <v>31575805.130558103</v>
      </c>
      <c r="BR79" s="157">
        <f t="shared" si="48"/>
        <v>1.5254732879884214E-2</v>
      </c>
      <c r="BT79" s="94"/>
      <c r="BU79" s="158"/>
      <c r="BX79" s="94"/>
    </row>
    <row r="80" spans="1:76" ht="15.4" x14ac:dyDescent="0.45">
      <c r="A80" s="139" t="s">
        <v>114</v>
      </c>
      <c r="B80" s="140" t="s">
        <v>182</v>
      </c>
      <c r="C80" s="102">
        <v>304</v>
      </c>
      <c r="D80" s="141" t="s">
        <v>186</v>
      </c>
      <c r="E80" s="348">
        <v>1.1488887055594839</v>
      </c>
      <c r="F80" s="142">
        <v>803</v>
      </c>
      <c r="G80" s="143">
        <f t="shared" si="54"/>
        <v>4595.5548222379357</v>
      </c>
      <c r="H80" s="144">
        <f t="shared" si="55"/>
        <v>3690230.5222570621</v>
      </c>
      <c r="I80" s="144">
        <f>INDEX('Baselines+Historic Spend Factor'!$Q$9:$Q$159,MATCH(C80,'Baselines+Historic Spend Factor'!$C$9:$C$159,0))</f>
        <v>25953945.224596709</v>
      </c>
      <c r="J80" s="142">
        <v>72455.538000000015</v>
      </c>
      <c r="K80" s="145">
        <f t="shared" si="56"/>
        <v>83243.349263436015</v>
      </c>
      <c r="L80" s="144">
        <f t="shared" si="57"/>
        <v>9753915.2010889221</v>
      </c>
      <c r="M80" s="142">
        <v>6089</v>
      </c>
      <c r="N80" s="145">
        <f t="shared" si="58"/>
        <v>6995.5833281516971</v>
      </c>
      <c r="O80" s="144">
        <f t="shared" si="59"/>
        <v>1716258.4515728925</v>
      </c>
      <c r="P80" s="142">
        <v>11322</v>
      </c>
      <c r="Q80" s="145">
        <f t="shared" si="60"/>
        <v>13007.717924344477</v>
      </c>
      <c r="R80" s="147">
        <f t="shared" si="61"/>
        <v>442810.05537487264</v>
      </c>
      <c r="S80" s="142">
        <v>6682</v>
      </c>
      <c r="T80" s="145">
        <f t="shared" si="62"/>
        <v>7676.8743305484713</v>
      </c>
      <c r="U80" s="147">
        <f t="shared" si="63"/>
        <v>339415.2439768489</v>
      </c>
      <c r="V80" s="142">
        <v>7421</v>
      </c>
      <c r="W80" s="145">
        <f t="shared" si="64"/>
        <v>8525.9030839569295</v>
      </c>
      <c r="X80" s="147">
        <f t="shared" si="65"/>
        <v>514132.4250645659</v>
      </c>
      <c r="Y80" s="142">
        <v>10688</v>
      </c>
      <c r="Z80" s="145">
        <f t="shared" si="66"/>
        <v>12279.322485019764</v>
      </c>
      <c r="AA80" s="147">
        <f t="shared" si="67"/>
        <v>792026.40968060168</v>
      </c>
      <c r="AB80" s="142">
        <v>7921</v>
      </c>
      <c r="AC80" s="145">
        <f t="shared" si="68"/>
        <v>9100.3474367366725</v>
      </c>
      <c r="AD80" s="147">
        <f t="shared" si="69"/>
        <v>642768.27769887738</v>
      </c>
      <c r="AE80" s="142">
        <v>1205</v>
      </c>
      <c r="AF80" s="145">
        <f t="shared" si="70"/>
        <v>1384.4108901991781</v>
      </c>
      <c r="AG80" s="147">
        <f t="shared" si="71"/>
        <v>132316.35931580496</v>
      </c>
      <c r="AH80" s="144">
        <f t="shared" si="72"/>
        <v>2863468.7711115712</v>
      </c>
      <c r="AI80" s="142">
        <v>558</v>
      </c>
      <c r="AJ80" s="145">
        <f t="shared" si="73"/>
        <v>641.07989770219194</v>
      </c>
      <c r="AK80" s="147">
        <f t="shared" si="74"/>
        <v>1978627.2203690885</v>
      </c>
      <c r="AL80" s="142">
        <v>1990</v>
      </c>
      <c r="AM80" s="145">
        <f t="shared" si="75"/>
        <v>2286.2885240633727</v>
      </c>
      <c r="AN80" s="147">
        <f t="shared" si="76"/>
        <v>1165352.8991134933</v>
      </c>
      <c r="AO80" s="142">
        <v>751</v>
      </c>
      <c r="AP80" s="145">
        <f t="shared" si="77"/>
        <v>862.81541787517233</v>
      </c>
      <c r="AQ80" s="147">
        <f t="shared" si="78"/>
        <v>1519727.9523212619</v>
      </c>
      <c r="AR80" s="142">
        <v>779</v>
      </c>
      <c r="AS80" s="145">
        <f t="shared" si="79"/>
        <v>894.98430163083788</v>
      </c>
      <c r="AT80" s="147">
        <f t="shared" si="80"/>
        <v>1294737.3229395512</v>
      </c>
      <c r="AU80" s="144">
        <f t="shared" si="81"/>
        <v>46246033.043113485</v>
      </c>
      <c r="AV80" s="148">
        <f>INDEX('Baselines+Historic Spend Factor'!P$9:P$159,MATCH('2019-20 StepbyStep Allocations'!C80,'Baselines+Historic Spend Factor'!C$9:C$159,0))</f>
        <v>51907890.449193418</v>
      </c>
      <c r="AW80" s="149">
        <v>70894.807000000001</v>
      </c>
      <c r="AX80" s="150">
        <f t="shared" si="82"/>
        <v>732.18184301134238</v>
      </c>
      <c r="AY80" s="148">
        <f t="shared" si="83"/>
        <v>739.50366144145585</v>
      </c>
      <c r="AZ80" s="148">
        <f t="shared" si="84"/>
        <v>638.26774763736455</v>
      </c>
      <c r="BA80" s="148">
        <f t="shared" si="85"/>
        <v>739.50366144145585</v>
      </c>
      <c r="BB80" s="151">
        <f t="shared" si="86"/>
        <v>7335102.5995970629</v>
      </c>
      <c r="BC80" s="148">
        <f t="shared" si="87"/>
        <v>0</v>
      </c>
      <c r="BD80" s="144">
        <f t="shared" si="88"/>
        <v>7335102.5995970629</v>
      </c>
      <c r="BE80" s="144">
        <f t="shared" si="49"/>
        <v>53581135.642710552</v>
      </c>
      <c r="BF80" s="144">
        <f>INDEX('Hospital Education Funding'!$G$9:$G$159,MATCH(C80,'Hospital Education Funding'!$C$9:$C$158,0))</f>
        <v>0</v>
      </c>
      <c r="BG80" s="152">
        <f>INDEX('Import|Export Adjustments Data'!$Q$9:$Q$159,MATCH('2019-20 StepbyStep Allocations'!$C80,'Import|Export Adjustments Data'!$C$9:$C$159,0))</f>
        <v>-344.5</v>
      </c>
      <c r="BH80" s="144">
        <f t="shared" si="89"/>
        <v>-2067000</v>
      </c>
      <c r="BI80" s="153">
        <f>INDEX('Baselines+Historic Spend Factor'!$F$9:$F$159,MATCH('2019-20 StepbyStep Allocations'!C80,'Baselines+Historic Spend Factor'!C$9:C$159,0))-INDEX('Baselines+Historic Spend Factor'!$G$9:$G$159,MATCH('2019-20 StepbyStep Allocations'!C80,'Baselines+Historic Spend Factor'!C$9:C$159,0))</f>
        <v>53703276.552672155</v>
      </c>
      <c r="BJ80" s="154">
        <f t="shared" si="50"/>
        <v>55204366.164967611</v>
      </c>
      <c r="BK80" s="155">
        <f t="shared" si="90"/>
        <v>2.7951546137472416E-2</v>
      </c>
      <c r="BL80" s="156">
        <f t="shared" si="91"/>
        <v>732.18184301134238</v>
      </c>
      <c r="BM80" s="148">
        <f t="shared" si="51"/>
        <v>739.50366144145585</v>
      </c>
      <c r="BN80" s="148">
        <f t="shared" si="92"/>
        <v>739.50366144145585</v>
      </c>
      <c r="BO80" s="148">
        <f t="shared" si="52"/>
        <v>53581135.642710552</v>
      </c>
      <c r="BP80" s="144">
        <f t="shared" si="53"/>
        <v>55204366.164967611</v>
      </c>
      <c r="BQ80" s="148">
        <v>54519853.74340719</v>
      </c>
      <c r="BR80" s="157">
        <f t="shared" si="48"/>
        <v>1.2555287194679909E-2</v>
      </c>
      <c r="BT80" s="94"/>
      <c r="BU80" s="158"/>
      <c r="BX80" s="94"/>
    </row>
    <row r="81" spans="1:76" ht="15.4" x14ac:dyDescent="0.45">
      <c r="A81" s="139" t="s">
        <v>169</v>
      </c>
      <c r="B81" s="140" t="s">
        <v>182</v>
      </c>
      <c r="C81" s="102">
        <v>305</v>
      </c>
      <c r="D81" s="141" t="s">
        <v>187</v>
      </c>
      <c r="E81" s="348">
        <v>1.0870826162281</v>
      </c>
      <c r="F81" s="142">
        <v>827.5</v>
      </c>
      <c r="G81" s="143">
        <f t="shared" si="54"/>
        <v>4348.3304649124002</v>
      </c>
      <c r="H81" s="144">
        <f t="shared" si="55"/>
        <v>3598243.4597150111</v>
      </c>
      <c r="I81" s="144">
        <f>INDEX('Baselines+Historic Spend Factor'!$Q$9:$Q$159,MATCH(C81,'Baselines+Historic Spend Factor'!$C$9:$C$159,0))</f>
        <v>20673297.326787718</v>
      </c>
      <c r="J81" s="142">
        <v>71632.801999999996</v>
      </c>
      <c r="K81" s="145">
        <f t="shared" si="56"/>
        <v>77870.77380590947</v>
      </c>
      <c r="L81" s="144">
        <f t="shared" si="57"/>
        <v>9124391.6909484752</v>
      </c>
      <c r="M81" s="142">
        <v>4234.0000000000009</v>
      </c>
      <c r="N81" s="145">
        <f t="shared" si="58"/>
        <v>4602.707797109776</v>
      </c>
      <c r="O81" s="144">
        <f t="shared" si="59"/>
        <v>1129203.353939208</v>
      </c>
      <c r="P81" s="142">
        <v>2288</v>
      </c>
      <c r="Q81" s="145">
        <f t="shared" si="60"/>
        <v>2487.2450259298926</v>
      </c>
      <c r="R81" s="147">
        <f t="shared" si="61"/>
        <v>84671.047916992407</v>
      </c>
      <c r="S81" s="142">
        <v>4792</v>
      </c>
      <c r="T81" s="145">
        <f t="shared" si="62"/>
        <v>5209.2998969650553</v>
      </c>
      <c r="U81" s="147">
        <f t="shared" si="63"/>
        <v>230317.14723284342</v>
      </c>
      <c r="V81" s="142">
        <v>3317</v>
      </c>
      <c r="W81" s="145">
        <f t="shared" si="64"/>
        <v>3605.8530380286074</v>
      </c>
      <c r="X81" s="147">
        <f t="shared" si="65"/>
        <v>217441.59517324463</v>
      </c>
      <c r="Y81" s="142">
        <v>2917</v>
      </c>
      <c r="Z81" s="145">
        <f t="shared" si="66"/>
        <v>3171.0199915373678</v>
      </c>
      <c r="AA81" s="147">
        <f t="shared" si="67"/>
        <v>204533.40011117977</v>
      </c>
      <c r="AB81" s="142">
        <v>6108</v>
      </c>
      <c r="AC81" s="145">
        <f t="shared" si="68"/>
        <v>6639.9006199212345</v>
      </c>
      <c r="AD81" s="147">
        <f t="shared" si="69"/>
        <v>468984.0157453295</v>
      </c>
      <c r="AE81" s="142">
        <v>711</v>
      </c>
      <c r="AF81" s="145">
        <f t="shared" si="70"/>
        <v>772.9157401381791</v>
      </c>
      <c r="AG81" s="147">
        <f t="shared" si="71"/>
        <v>73872.141224092033</v>
      </c>
      <c r="AH81" s="144">
        <f t="shared" si="72"/>
        <v>1279819.3474036816</v>
      </c>
      <c r="AI81" s="142">
        <v>287</v>
      </c>
      <c r="AJ81" s="145">
        <f t="shared" si="73"/>
        <v>311.99271085746471</v>
      </c>
      <c r="AK81" s="147">
        <f t="shared" si="74"/>
        <v>962933.43851828517</v>
      </c>
      <c r="AL81" s="142">
        <v>2270</v>
      </c>
      <c r="AM81" s="145">
        <f t="shared" si="75"/>
        <v>2467.6775388377869</v>
      </c>
      <c r="AN81" s="147">
        <f t="shared" si="76"/>
        <v>1257809.3900637336</v>
      </c>
      <c r="AO81" s="142">
        <v>487</v>
      </c>
      <c r="AP81" s="145">
        <f t="shared" si="77"/>
        <v>529.40923410308471</v>
      </c>
      <c r="AQ81" s="147">
        <f t="shared" si="78"/>
        <v>932479.87300088769</v>
      </c>
      <c r="AR81" s="142">
        <v>527</v>
      </c>
      <c r="AS81" s="145">
        <f t="shared" si="79"/>
        <v>572.89253875220868</v>
      </c>
      <c r="AT81" s="147">
        <f t="shared" si="80"/>
        <v>828780.29324589437</v>
      </c>
      <c r="AU81" s="144">
        <f t="shared" si="81"/>
        <v>36188714.71390789</v>
      </c>
      <c r="AV81" s="148">
        <f>INDEX('Baselines+Historic Spend Factor'!P$9:P$159,MATCH('2019-20 StepbyStep Allocations'!C81,'Baselines+Historic Spend Factor'!C$9:C$159,0))</f>
        <v>41346594.653575435</v>
      </c>
      <c r="AW81" s="149">
        <v>69379.938000000009</v>
      </c>
      <c r="AX81" s="150">
        <f t="shared" si="82"/>
        <v>595.9445315960852</v>
      </c>
      <c r="AY81" s="148">
        <f t="shared" si="83"/>
        <v>601.90397691204601</v>
      </c>
      <c r="AZ81" s="148">
        <f t="shared" si="84"/>
        <v>505.19753106834901</v>
      </c>
      <c r="BA81" s="148">
        <f t="shared" si="85"/>
        <v>601.90397691204601</v>
      </c>
      <c r="BB81" s="151">
        <f t="shared" si="86"/>
        <v>6927353.6872452693</v>
      </c>
      <c r="BC81" s="148">
        <f t="shared" si="87"/>
        <v>0</v>
      </c>
      <c r="BD81" s="144">
        <f t="shared" si="88"/>
        <v>6927353.6872452693</v>
      </c>
      <c r="BE81" s="144">
        <f t="shared" si="49"/>
        <v>43116068.401153162</v>
      </c>
      <c r="BF81" s="144">
        <f>INDEX('Hospital Education Funding'!$G$9:$G$159,MATCH(C81,'Hospital Education Funding'!$C$9:$C$158,0))</f>
        <v>707000</v>
      </c>
      <c r="BG81" s="152">
        <f>INDEX('Import|Export Adjustments Data'!$Q$9:$Q$159,MATCH('2019-20 StepbyStep Allocations'!$C81,'Import|Export Adjustments Data'!$C$9:$C$159,0))</f>
        <v>80.5</v>
      </c>
      <c r="BH81" s="144">
        <f t="shared" si="89"/>
        <v>483000</v>
      </c>
      <c r="BI81" s="153">
        <f>INDEX('Baselines+Historic Spend Factor'!$F$9:$F$159,MATCH('2019-20 StepbyStep Allocations'!C81,'Baselines+Historic Spend Factor'!C$9:C$159,0))-INDEX('Baselines+Historic Spend Factor'!$G$9:$G$159,MATCH('2019-20 StepbyStep Allocations'!C81,'Baselines+Historic Spend Factor'!C$9:C$159,0))</f>
        <v>45523454.980746582</v>
      </c>
      <c r="BJ81" s="154">
        <f t="shared" si="50"/>
        <v>47904311.860868171</v>
      </c>
      <c r="BK81" s="155">
        <f t="shared" si="90"/>
        <v>5.2299564721713931E-2</v>
      </c>
      <c r="BL81" s="156">
        <f t="shared" si="91"/>
        <v>595.9445315960852</v>
      </c>
      <c r="BM81" s="148">
        <f t="shared" si="51"/>
        <v>601.90397691204601</v>
      </c>
      <c r="BN81" s="148">
        <f t="shared" si="92"/>
        <v>601.90397691204601</v>
      </c>
      <c r="BO81" s="148">
        <f t="shared" si="52"/>
        <v>43116068.401153162</v>
      </c>
      <c r="BP81" s="144">
        <f t="shared" si="53"/>
        <v>47904311.860868171</v>
      </c>
      <c r="BQ81" s="148">
        <v>46933736.911804028</v>
      </c>
      <c r="BR81" s="157">
        <f t="shared" si="48"/>
        <v>2.0679686147472287E-2</v>
      </c>
      <c r="BT81" s="94"/>
      <c r="BU81" s="158"/>
      <c r="BX81" s="94"/>
    </row>
    <row r="82" spans="1:76" ht="15.4" x14ac:dyDescent="0.45">
      <c r="A82" s="139" t="s">
        <v>125</v>
      </c>
      <c r="B82" s="140" t="s">
        <v>182</v>
      </c>
      <c r="C82" s="102">
        <v>306</v>
      </c>
      <c r="D82" s="141" t="s">
        <v>188</v>
      </c>
      <c r="E82" s="348">
        <v>1.0870826162281</v>
      </c>
      <c r="F82" s="142">
        <v>1104</v>
      </c>
      <c r="G82" s="143">
        <f t="shared" si="54"/>
        <v>4348.3304649124002</v>
      </c>
      <c r="H82" s="144">
        <f t="shared" si="55"/>
        <v>4800556.8332632901</v>
      </c>
      <c r="I82" s="144">
        <f>INDEX('Baselines+Historic Spend Factor'!$Q$9:$Q$159,MATCH(C82,'Baselines+Historic Spend Factor'!$C$9:$C$159,0))</f>
        <v>27359993.428959522</v>
      </c>
      <c r="J82" s="142">
        <v>90717.059000000008</v>
      </c>
      <c r="K82" s="145">
        <f t="shared" si="56"/>
        <v>98616.93783423891</v>
      </c>
      <c r="L82" s="144">
        <f t="shared" si="57"/>
        <v>11555292.495285645</v>
      </c>
      <c r="M82" s="142">
        <v>11882</v>
      </c>
      <c r="N82" s="145">
        <f t="shared" si="58"/>
        <v>12916.715646022283</v>
      </c>
      <c r="O82" s="144">
        <f t="shared" si="59"/>
        <v>3168916.922887498</v>
      </c>
      <c r="P82" s="142">
        <v>12931</v>
      </c>
      <c r="Q82" s="145">
        <f t="shared" si="60"/>
        <v>14057.065310445561</v>
      </c>
      <c r="R82" s="147">
        <f t="shared" si="61"/>
        <v>478532.04572317703</v>
      </c>
      <c r="S82" s="142">
        <v>16988</v>
      </c>
      <c r="T82" s="145">
        <f t="shared" si="62"/>
        <v>18467.359484482964</v>
      </c>
      <c r="U82" s="147">
        <f t="shared" si="63"/>
        <v>816491.5895641786</v>
      </c>
      <c r="V82" s="142">
        <v>10008</v>
      </c>
      <c r="W82" s="145">
        <f t="shared" si="64"/>
        <v>10879.522823210824</v>
      </c>
      <c r="X82" s="147">
        <f t="shared" si="65"/>
        <v>656061.34594327165</v>
      </c>
      <c r="Y82" s="142">
        <v>10351</v>
      </c>
      <c r="Z82" s="145">
        <f t="shared" si="66"/>
        <v>11252.392160577063</v>
      </c>
      <c r="AA82" s="147">
        <f t="shared" si="67"/>
        <v>725788.55829647637</v>
      </c>
      <c r="AB82" s="142">
        <v>3361</v>
      </c>
      <c r="AC82" s="145">
        <f t="shared" si="68"/>
        <v>3653.684673142644</v>
      </c>
      <c r="AD82" s="147">
        <f t="shared" si="69"/>
        <v>258064.05974460582</v>
      </c>
      <c r="AE82" s="142">
        <v>479</v>
      </c>
      <c r="AF82" s="145">
        <f t="shared" si="70"/>
        <v>520.7125731732599</v>
      </c>
      <c r="AG82" s="147">
        <f t="shared" si="71"/>
        <v>49767.588813417846</v>
      </c>
      <c r="AH82" s="144">
        <f t="shared" si="72"/>
        <v>2984705.1880851272</v>
      </c>
      <c r="AI82" s="142">
        <v>589</v>
      </c>
      <c r="AJ82" s="145">
        <f t="shared" si="73"/>
        <v>640.29166095835092</v>
      </c>
      <c r="AK82" s="147">
        <f t="shared" si="74"/>
        <v>1976194.4086664456</v>
      </c>
      <c r="AL82" s="142">
        <v>2840</v>
      </c>
      <c r="AM82" s="145">
        <f t="shared" si="75"/>
        <v>3087.3146300878038</v>
      </c>
      <c r="AN82" s="147">
        <f t="shared" si="76"/>
        <v>1573646.9902118957</v>
      </c>
      <c r="AO82" s="142">
        <v>847</v>
      </c>
      <c r="AP82" s="145">
        <f t="shared" si="77"/>
        <v>920.75897594520063</v>
      </c>
      <c r="AQ82" s="147">
        <f t="shared" si="78"/>
        <v>1621787.3766565744</v>
      </c>
      <c r="AR82" s="142">
        <v>970</v>
      </c>
      <c r="AS82" s="145">
        <f t="shared" si="79"/>
        <v>1054.4701377412571</v>
      </c>
      <c r="AT82" s="147">
        <f t="shared" si="80"/>
        <v>1525458.9837732781</v>
      </c>
      <c r="AU82" s="144">
        <f t="shared" si="81"/>
        <v>51765995.794525981</v>
      </c>
      <c r="AV82" s="148">
        <f>INDEX('Baselines+Historic Spend Factor'!P$9:P$159,MATCH('2019-20 StepbyStep Allocations'!C82,'Baselines+Historic Spend Factor'!C$9:C$159,0))</f>
        <v>54719986.857919045</v>
      </c>
      <c r="AW82" s="149">
        <v>88563.663000000015</v>
      </c>
      <c r="AX82" s="150">
        <f t="shared" si="82"/>
        <v>617.86047464995931</v>
      </c>
      <c r="AY82" s="148">
        <f t="shared" si="83"/>
        <v>624.03907939645887</v>
      </c>
      <c r="AZ82" s="148">
        <f t="shared" si="84"/>
        <v>570.63132739483956</v>
      </c>
      <c r="BA82" s="148">
        <f t="shared" si="85"/>
        <v>624.03907939645887</v>
      </c>
      <c r="BB82" s="151">
        <f t="shared" si="86"/>
        <v>4844994.1893882677</v>
      </c>
      <c r="BC82" s="148">
        <f t="shared" si="87"/>
        <v>0</v>
      </c>
      <c r="BD82" s="144">
        <f t="shared" si="88"/>
        <v>4844994.1893882677</v>
      </c>
      <c r="BE82" s="144">
        <f t="shared" si="49"/>
        <v>56610989.983914249</v>
      </c>
      <c r="BF82" s="144">
        <f>INDEX('Hospital Education Funding'!$G$9:$G$159,MATCH(C82,'Hospital Education Funding'!$C$9:$C$158,0))</f>
        <v>388850</v>
      </c>
      <c r="BG82" s="152">
        <f>INDEX('Import|Export Adjustments Data'!$Q$9:$Q$159,MATCH('2019-20 StepbyStep Allocations'!$C82,'Import|Export Adjustments Data'!$C$9:$C$159,0))</f>
        <v>-273</v>
      </c>
      <c r="BH82" s="144">
        <f t="shared" si="89"/>
        <v>-1638000</v>
      </c>
      <c r="BI82" s="153">
        <f>INDEX('Baselines+Historic Spend Factor'!$F$9:$F$159,MATCH('2019-20 StepbyStep Allocations'!C82,'Baselines+Historic Spend Factor'!C$9:C$159,0))-INDEX('Baselines+Historic Spend Factor'!$G$9:$G$159,MATCH('2019-20 StepbyStep Allocations'!C82,'Baselines+Historic Spend Factor'!C$9:C$159,0))</f>
        <v>57577491.488063902</v>
      </c>
      <c r="BJ82" s="154">
        <f t="shared" si="50"/>
        <v>60162396.817177542</v>
      </c>
      <c r="BK82" s="155">
        <f t="shared" si="90"/>
        <v>4.4894372128898796E-2</v>
      </c>
      <c r="BL82" s="156">
        <f t="shared" si="91"/>
        <v>617.86047464995931</v>
      </c>
      <c r="BM82" s="148">
        <f t="shared" si="51"/>
        <v>624.03907939645887</v>
      </c>
      <c r="BN82" s="148">
        <f t="shared" si="92"/>
        <v>624.03907939645887</v>
      </c>
      <c r="BO82" s="148">
        <f t="shared" si="52"/>
        <v>56610989.983914249</v>
      </c>
      <c r="BP82" s="144">
        <f t="shared" si="53"/>
        <v>60162396.817177542</v>
      </c>
      <c r="BQ82" s="148">
        <v>59213025.760968648</v>
      </c>
      <c r="BR82" s="157">
        <f t="shared" si="48"/>
        <v>1.6033145477843291E-2</v>
      </c>
      <c r="BT82" s="94"/>
      <c r="BU82" s="158"/>
      <c r="BX82" s="94"/>
    </row>
    <row r="83" spans="1:76" ht="15.4" x14ac:dyDescent="0.45">
      <c r="A83" s="139" t="s">
        <v>170</v>
      </c>
      <c r="B83" s="140" t="s">
        <v>182</v>
      </c>
      <c r="C83" s="102">
        <v>307</v>
      </c>
      <c r="D83" s="141" t="s">
        <v>189</v>
      </c>
      <c r="E83" s="348">
        <v>1.1488887055594839</v>
      </c>
      <c r="F83" s="142">
        <v>857</v>
      </c>
      <c r="G83" s="143">
        <f t="shared" si="54"/>
        <v>4595.5548222379357</v>
      </c>
      <c r="H83" s="144">
        <f t="shared" si="55"/>
        <v>3938390.4826579108</v>
      </c>
      <c r="I83" s="144">
        <f>INDEX('Baselines+Historic Spend Factor'!$Q$9:$Q$159,MATCH(C83,'Baselines+Historic Spend Factor'!$C$9:$C$159,0))</f>
        <v>24602555.986506972</v>
      </c>
      <c r="J83" s="142">
        <v>77197.752999999997</v>
      </c>
      <c r="K83" s="145">
        <f t="shared" si="56"/>
        <v>88691.626516270757</v>
      </c>
      <c r="L83" s="144">
        <f t="shared" si="57"/>
        <v>10392308.956102261</v>
      </c>
      <c r="M83" s="142">
        <v>7205</v>
      </c>
      <c r="N83" s="145">
        <f t="shared" si="58"/>
        <v>8277.7431235560816</v>
      </c>
      <c r="O83" s="144">
        <f t="shared" si="59"/>
        <v>2030816.5780231059</v>
      </c>
      <c r="P83" s="142">
        <v>13472</v>
      </c>
      <c r="Q83" s="145">
        <f t="shared" si="60"/>
        <v>15477.828641297367</v>
      </c>
      <c r="R83" s="147">
        <f t="shared" si="61"/>
        <v>526897.81540454726</v>
      </c>
      <c r="S83" s="142">
        <v>10590</v>
      </c>
      <c r="T83" s="145">
        <f t="shared" si="62"/>
        <v>12166.731391874933</v>
      </c>
      <c r="U83" s="147">
        <f t="shared" si="63"/>
        <v>537923.89010997151</v>
      </c>
      <c r="V83" s="142">
        <v>7465</v>
      </c>
      <c r="W83" s="145">
        <f t="shared" si="64"/>
        <v>8576.4541870015473</v>
      </c>
      <c r="X83" s="147">
        <f t="shared" si="65"/>
        <v>517180.77794191957</v>
      </c>
      <c r="Y83" s="142">
        <v>6062</v>
      </c>
      <c r="Z83" s="145">
        <f t="shared" si="66"/>
        <v>6964.5633331015915</v>
      </c>
      <c r="AA83" s="147">
        <f t="shared" si="67"/>
        <v>449220.06881397904</v>
      </c>
      <c r="AB83" s="142">
        <v>5058</v>
      </c>
      <c r="AC83" s="145">
        <f t="shared" si="68"/>
        <v>5811.0790727198691</v>
      </c>
      <c r="AD83" s="147">
        <f t="shared" si="69"/>
        <v>410443.37187235465</v>
      </c>
      <c r="AE83" s="142">
        <v>821</v>
      </c>
      <c r="AF83" s="145">
        <f t="shared" si="70"/>
        <v>943.2376272643362</v>
      </c>
      <c r="AG83" s="147">
        <f t="shared" si="71"/>
        <v>90150.814106453021</v>
      </c>
      <c r="AH83" s="144">
        <f t="shared" si="72"/>
        <v>2531816.7382492251</v>
      </c>
      <c r="AI83" s="142">
        <v>486</v>
      </c>
      <c r="AJ83" s="145">
        <f t="shared" si="73"/>
        <v>558.35991090190919</v>
      </c>
      <c r="AK83" s="147">
        <f t="shared" si="74"/>
        <v>1723320.482256948</v>
      </c>
      <c r="AL83" s="142">
        <v>1890</v>
      </c>
      <c r="AM83" s="145">
        <f t="shared" si="75"/>
        <v>2171.3996535074243</v>
      </c>
      <c r="AN83" s="147">
        <f t="shared" si="76"/>
        <v>1106792.4519218605</v>
      </c>
      <c r="AO83" s="142">
        <v>676</v>
      </c>
      <c r="AP83" s="145">
        <f t="shared" si="77"/>
        <v>776.64876495821113</v>
      </c>
      <c r="AQ83" s="147">
        <f t="shared" si="78"/>
        <v>1367957.5176686726</v>
      </c>
      <c r="AR83" s="142">
        <v>687</v>
      </c>
      <c r="AS83" s="145">
        <f t="shared" si="79"/>
        <v>789.28654071936546</v>
      </c>
      <c r="AT83" s="147">
        <f t="shared" si="80"/>
        <v>1141828.6788953426</v>
      </c>
      <c r="AU83" s="144">
        <f t="shared" si="81"/>
        <v>44897397.389624387</v>
      </c>
      <c r="AV83" s="148">
        <f>INDEX('Baselines+Historic Spend Factor'!P$9:P$159,MATCH('2019-20 StepbyStep Allocations'!C83,'Baselines+Historic Spend Factor'!C$9:C$159,0))</f>
        <v>49205111.973013945</v>
      </c>
      <c r="AW83" s="149">
        <v>76103.661999999997</v>
      </c>
      <c r="AX83" s="150">
        <f t="shared" si="82"/>
        <v>646.55380148479514</v>
      </c>
      <c r="AY83" s="148">
        <f t="shared" si="83"/>
        <v>653.01933949964314</v>
      </c>
      <c r="AZ83" s="148">
        <f t="shared" si="84"/>
        <v>581.58943291554601</v>
      </c>
      <c r="BA83" s="148">
        <f t="shared" si="85"/>
        <v>653.01933949964314</v>
      </c>
      <c r="BB83" s="151">
        <f t="shared" si="86"/>
        <v>5514228.2852922035</v>
      </c>
      <c r="BC83" s="148">
        <f t="shared" si="87"/>
        <v>0</v>
      </c>
      <c r="BD83" s="144">
        <f t="shared" si="88"/>
        <v>5514228.2852922035</v>
      </c>
      <c r="BE83" s="144">
        <f t="shared" si="49"/>
        <v>50411625.674916595</v>
      </c>
      <c r="BF83" s="144">
        <f>INDEX('Hospital Education Funding'!$G$9:$G$159,MATCH(C83,'Hospital Education Funding'!$C$9:$C$158,0))</f>
        <v>0</v>
      </c>
      <c r="BG83" s="152">
        <f>INDEX('Import|Export Adjustments Data'!$Q$9:$Q$159,MATCH('2019-20 StepbyStep Allocations'!$C83,'Import|Export Adjustments Data'!$C$9:$C$159,0))</f>
        <v>-177.5</v>
      </c>
      <c r="BH83" s="144">
        <f t="shared" si="89"/>
        <v>-1065000</v>
      </c>
      <c r="BI83" s="153">
        <f>INDEX('Baselines+Historic Spend Factor'!$F$9:$F$159,MATCH('2019-20 StepbyStep Allocations'!C83,'Baselines+Historic Spend Factor'!C$9:C$159,0))-INDEX('Baselines+Historic Spend Factor'!$G$9:$G$159,MATCH('2019-20 StepbyStep Allocations'!C83,'Baselines+Historic Spend Factor'!C$9:C$159,0))</f>
        <v>52054315.807704791</v>
      </c>
      <c r="BJ83" s="154">
        <f t="shared" si="50"/>
        <v>53285016.157574505</v>
      </c>
      <c r="BK83" s="155">
        <f t="shared" si="90"/>
        <v>2.3642618883246369E-2</v>
      </c>
      <c r="BL83" s="156">
        <f t="shared" si="91"/>
        <v>646.55380148479514</v>
      </c>
      <c r="BM83" s="148">
        <f t="shared" si="51"/>
        <v>653.01933949964314</v>
      </c>
      <c r="BN83" s="148">
        <f t="shared" si="92"/>
        <v>653.01933949964314</v>
      </c>
      <c r="BO83" s="148">
        <f t="shared" si="52"/>
        <v>50411625.674916595</v>
      </c>
      <c r="BP83" s="144">
        <f t="shared" si="53"/>
        <v>53285016.157574505</v>
      </c>
      <c r="BQ83" s="148">
        <v>52831394.388327755</v>
      </c>
      <c r="BR83" s="157">
        <f t="shared" si="48"/>
        <v>8.5862161031087236E-3</v>
      </c>
      <c r="BT83" s="94"/>
      <c r="BU83" s="158"/>
      <c r="BX83" s="94"/>
    </row>
    <row r="84" spans="1:76" ht="15.4" x14ac:dyDescent="0.45">
      <c r="A84" s="139" t="s">
        <v>210</v>
      </c>
      <c r="B84" s="140" t="s">
        <v>182</v>
      </c>
      <c r="C84" s="102">
        <v>308</v>
      </c>
      <c r="D84" s="141" t="s">
        <v>190</v>
      </c>
      <c r="E84" s="348">
        <v>1.0870826162281</v>
      </c>
      <c r="F84" s="142">
        <v>764.5</v>
      </c>
      <c r="G84" s="143">
        <f t="shared" si="54"/>
        <v>4348.3304649124002</v>
      </c>
      <c r="H84" s="144">
        <f t="shared" si="55"/>
        <v>3324298.6404255298</v>
      </c>
      <c r="I84" s="144">
        <f>INDEX('Baselines+Historic Spend Factor'!$Q$9:$Q$159,MATCH(C84,'Baselines+Historic Spend Factor'!$C$9:$C$159,0))</f>
        <v>21057171.906844079</v>
      </c>
      <c r="J84" s="142">
        <v>81053.76999999999</v>
      </c>
      <c r="K84" s="145">
        <f t="shared" si="56"/>
        <v>88112.144346750676</v>
      </c>
      <c r="L84" s="144">
        <f t="shared" si="57"/>
        <v>10324408.997822655</v>
      </c>
      <c r="M84" s="142">
        <v>9212.9999999999927</v>
      </c>
      <c r="N84" s="145">
        <f t="shared" si="58"/>
        <v>10015.292143309478</v>
      </c>
      <c r="O84" s="144">
        <f t="shared" si="59"/>
        <v>2457097.4255649303</v>
      </c>
      <c r="P84" s="142">
        <v>6250</v>
      </c>
      <c r="Q84" s="145">
        <f t="shared" si="60"/>
        <v>6794.2663514256246</v>
      </c>
      <c r="R84" s="147">
        <f t="shared" si="61"/>
        <v>231291.10554248368</v>
      </c>
      <c r="S84" s="142">
        <v>7548</v>
      </c>
      <c r="T84" s="145">
        <f t="shared" si="62"/>
        <v>8205.299587289699</v>
      </c>
      <c r="U84" s="147">
        <f t="shared" si="63"/>
        <v>362778.34459797625</v>
      </c>
      <c r="V84" s="142">
        <v>7556</v>
      </c>
      <c r="W84" s="145">
        <f t="shared" si="64"/>
        <v>8213.9962482195242</v>
      </c>
      <c r="X84" s="147">
        <f t="shared" si="65"/>
        <v>495323.69403950451</v>
      </c>
      <c r="Y84" s="142">
        <v>15099</v>
      </c>
      <c r="Z84" s="145">
        <f t="shared" si="66"/>
        <v>16413.860422428083</v>
      </c>
      <c r="AA84" s="147">
        <f t="shared" si="67"/>
        <v>1058707.5105514922</v>
      </c>
      <c r="AB84" s="142">
        <v>21524</v>
      </c>
      <c r="AC84" s="145">
        <f t="shared" si="68"/>
        <v>23398.366231693624</v>
      </c>
      <c r="AD84" s="147">
        <f t="shared" si="69"/>
        <v>1652654.2165852115</v>
      </c>
      <c r="AE84" s="142">
        <v>1143</v>
      </c>
      <c r="AF84" s="145">
        <f t="shared" si="70"/>
        <v>1242.5354303487184</v>
      </c>
      <c r="AG84" s="147">
        <f t="shared" si="71"/>
        <v>118756.48019569226</v>
      </c>
      <c r="AH84" s="144">
        <f t="shared" si="72"/>
        <v>3919511.3515123604</v>
      </c>
      <c r="AI84" s="142">
        <v>575</v>
      </c>
      <c r="AJ84" s="145">
        <f t="shared" si="73"/>
        <v>625.07250433115746</v>
      </c>
      <c r="AK84" s="147">
        <f t="shared" si="74"/>
        <v>1929222.045811895</v>
      </c>
      <c r="AL84" s="142">
        <v>2030</v>
      </c>
      <c r="AM84" s="145">
        <f t="shared" si="75"/>
        <v>2206.7777109430431</v>
      </c>
      <c r="AN84" s="147">
        <f t="shared" si="76"/>
        <v>1124825.1373697708</v>
      </c>
      <c r="AO84" s="142">
        <v>923</v>
      </c>
      <c r="AP84" s="145">
        <f t="shared" si="77"/>
        <v>1003.3772547785363</v>
      </c>
      <c r="AQ84" s="147">
        <f t="shared" si="78"/>
        <v>1767307.849650553</v>
      </c>
      <c r="AR84" s="142">
        <v>884</v>
      </c>
      <c r="AS84" s="145">
        <f t="shared" si="79"/>
        <v>960.98103274564039</v>
      </c>
      <c r="AT84" s="147">
        <f t="shared" si="80"/>
        <v>1390212.1047995647</v>
      </c>
      <c r="AU84" s="144">
        <f t="shared" si="81"/>
        <v>43969756.819375806</v>
      </c>
      <c r="AV84" s="148">
        <f>INDEX('Baselines+Historic Spend Factor'!P$9:P$159,MATCH('2019-20 StepbyStep Allocations'!C84,'Baselines+Historic Spend Factor'!C$9:C$159,0))</f>
        <v>42114343.813688159</v>
      </c>
      <c r="AW84" s="149">
        <v>79059.439999999988</v>
      </c>
      <c r="AX84" s="150">
        <f t="shared" si="82"/>
        <v>532.69215938903903</v>
      </c>
      <c r="AY84" s="148">
        <f t="shared" si="83"/>
        <v>538.01908098292938</v>
      </c>
      <c r="AZ84" s="148">
        <f t="shared" si="84"/>
        <v>542.47639337905946</v>
      </c>
      <c r="BA84" s="148">
        <f t="shared" si="85"/>
        <v>542.47639337905946</v>
      </c>
      <c r="BB84" s="151">
        <f t="shared" si="86"/>
        <v>0</v>
      </c>
      <c r="BC84" s="148">
        <f t="shared" si="87"/>
        <v>0</v>
      </c>
      <c r="BD84" s="144">
        <f t="shared" si="88"/>
        <v>0</v>
      </c>
      <c r="BE84" s="144">
        <f t="shared" si="49"/>
        <v>43969756.819375806</v>
      </c>
      <c r="BF84" s="144">
        <f>INDEX('Hospital Education Funding'!$G$9:$G$159,MATCH(C84,'Hospital Education Funding'!$C$9:$C$158,0))</f>
        <v>392738.5</v>
      </c>
      <c r="BG84" s="152">
        <f>INDEX('Import|Export Adjustments Data'!$Q$9:$Q$159,MATCH('2019-20 StepbyStep Allocations'!$C84,'Import|Export Adjustments Data'!$C$9:$C$159,0))</f>
        <v>-261</v>
      </c>
      <c r="BH84" s="144">
        <f t="shared" si="89"/>
        <v>-1566000</v>
      </c>
      <c r="BI84" s="153">
        <f>INDEX('Baselines+Historic Spend Factor'!$F$9:$F$159,MATCH('2019-20 StepbyStep Allocations'!C84,'Baselines+Historic Spend Factor'!C$9:C$159,0))-INDEX('Baselines+Historic Spend Factor'!$G$9:$G$159,MATCH('2019-20 StepbyStep Allocations'!C84,'Baselines+Historic Spend Factor'!C$9:C$159,0))</f>
        <v>44147205.104705788</v>
      </c>
      <c r="BJ84" s="154">
        <f t="shared" si="50"/>
        <v>46120793.959801339</v>
      </c>
      <c r="BK84" s="155">
        <f t="shared" si="90"/>
        <v>4.4704729334840154E-2</v>
      </c>
      <c r="BL84" s="156">
        <f t="shared" si="91"/>
        <v>532.69215938903903</v>
      </c>
      <c r="BM84" s="148">
        <f t="shared" si="51"/>
        <v>542.47639337905946</v>
      </c>
      <c r="BN84" s="148">
        <f t="shared" si="92"/>
        <v>542.47639337905946</v>
      </c>
      <c r="BO84" s="148">
        <f t="shared" si="52"/>
        <v>43969756.819375806</v>
      </c>
      <c r="BP84" s="144">
        <f t="shared" si="53"/>
        <v>46120793.959801339</v>
      </c>
      <c r="BQ84" s="148">
        <v>45703004.840507835</v>
      </c>
      <c r="BR84" s="157">
        <f t="shared" si="48"/>
        <v>9.141392797945791E-3</v>
      </c>
      <c r="BT84" s="94"/>
      <c r="BU84" s="158"/>
      <c r="BX84" s="94"/>
    </row>
    <row r="85" spans="1:76" ht="15.4" x14ac:dyDescent="0.45">
      <c r="A85" s="139" t="s">
        <v>197</v>
      </c>
      <c r="B85" s="140" t="s">
        <v>182</v>
      </c>
      <c r="C85" s="102">
        <v>203</v>
      </c>
      <c r="D85" s="141" t="s">
        <v>191</v>
      </c>
      <c r="E85" s="348">
        <v>1.205632878027378</v>
      </c>
      <c r="F85" s="142">
        <v>533</v>
      </c>
      <c r="G85" s="143">
        <f t="shared" si="54"/>
        <v>4822.5315121095118</v>
      </c>
      <c r="H85" s="144">
        <f t="shared" si="55"/>
        <v>2570409.2959543699</v>
      </c>
      <c r="I85" s="144">
        <f>INDEX('Baselines+Historic Spend Factor'!$Q$9:$Q$159,MATCH(C85,'Baselines+Historic Spend Factor'!$C$9:$C$159,0))</f>
        <v>20822254.815020937</v>
      </c>
      <c r="J85" s="142">
        <v>64155.025999999998</v>
      </c>
      <c r="K85" s="145">
        <f t="shared" si="56"/>
        <v>77347.408636301261</v>
      </c>
      <c r="L85" s="144">
        <f t="shared" si="57"/>
        <v>9063067.1583734229</v>
      </c>
      <c r="M85" s="142">
        <v>6977.5</v>
      </c>
      <c r="N85" s="145">
        <f t="shared" si="58"/>
        <v>8412.303406436029</v>
      </c>
      <c r="O85" s="144">
        <f t="shared" si="59"/>
        <v>2063828.8676215152</v>
      </c>
      <c r="P85" s="142">
        <v>9632</v>
      </c>
      <c r="Q85" s="145">
        <f t="shared" si="60"/>
        <v>11612.655881159704</v>
      </c>
      <c r="R85" s="147">
        <f t="shared" si="61"/>
        <v>395319.21153992967</v>
      </c>
      <c r="S85" s="142">
        <v>10407</v>
      </c>
      <c r="T85" s="145">
        <f t="shared" si="62"/>
        <v>12547.021361630923</v>
      </c>
      <c r="U85" s="147">
        <f t="shared" si="63"/>
        <v>554737.53161417681</v>
      </c>
      <c r="V85" s="142">
        <v>10130</v>
      </c>
      <c r="W85" s="145">
        <f t="shared" si="64"/>
        <v>12213.061054417338</v>
      </c>
      <c r="X85" s="147">
        <f t="shared" si="65"/>
        <v>736476.90286141552</v>
      </c>
      <c r="Y85" s="142">
        <v>9483</v>
      </c>
      <c r="Z85" s="145">
        <f t="shared" si="66"/>
        <v>11433.016582333625</v>
      </c>
      <c r="AA85" s="147">
        <f t="shared" si="67"/>
        <v>737438.98220536963</v>
      </c>
      <c r="AB85" s="142">
        <v>5383</v>
      </c>
      <c r="AC85" s="145">
        <f t="shared" si="68"/>
        <v>6489.9217824213756</v>
      </c>
      <c r="AD85" s="147">
        <f t="shared" si="69"/>
        <v>458390.83348045178</v>
      </c>
      <c r="AE85" s="142">
        <v>0</v>
      </c>
      <c r="AF85" s="145">
        <f t="shared" si="70"/>
        <v>0</v>
      </c>
      <c r="AG85" s="147">
        <f t="shared" si="71"/>
        <v>0</v>
      </c>
      <c r="AH85" s="144">
        <f t="shared" si="72"/>
        <v>2882363.4617013438</v>
      </c>
      <c r="AI85" s="142">
        <v>475</v>
      </c>
      <c r="AJ85" s="145">
        <f t="shared" si="73"/>
        <v>572.67561706300455</v>
      </c>
      <c r="AK85" s="147">
        <f t="shared" si="74"/>
        <v>1767504.4380956432</v>
      </c>
      <c r="AL85" s="142">
        <v>2240</v>
      </c>
      <c r="AM85" s="145">
        <f t="shared" si="75"/>
        <v>2700.6176467813266</v>
      </c>
      <c r="AN85" s="147">
        <f t="shared" si="76"/>
        <v>1376542.1865829404</v>
      </c>
      <c r="AO85" s="142">
        <v>519</v>
      </c>
      <c r="AP85" s="145">
        <f t="shared" si="77"/>
        <v>625.72346369620914</v>
      </c>
      <c r="AQ85" s="147">
        <f t="shared" si="78"/>
        <v>1102123.8361088061</v>
      </c>
      <c r="AR85" s="142">
        <v>603</v>
      </c>
      <c r="AS85" s="145">
        <f t="shared" si="79"/>
        <v>726.99662545050887</v>
      </c>
      <c r="AT85" s="147">
        <f t="shared" si="80"/>
        <v>1051716.3964850563</v>
      </c>
      <c r="AU85" s="144">
        <f t="shared" si="81"/>
        <v>40129401.159989655</v>
      </c>
      <c r="AV85" s="148">
        <f>INDEX('Baselines+Historic Spend Factor'!P$9:P$159,MATCH('2019-20 StepbyStep Allocations'!C85,'Baselines+Historic Spend Factor'!C$9:C$159,0))</f>
        <v>41644509.630041875</v>
      </c>
      <c r="AW85" s="149">
        <v>62237.573999999993</v>
      </c>
      <c r="AX85" s="150">
        <f t="shared" si="82"/>
        <v>669.12167286664931</v>
      </c>
      <c r="AY85" s="148">
        <f t="shared" si="83"/>
        <v>675.81288959531582</v>
      </c>
      <c r="AZ85" s="148">
        <f t="shared" si="84"/>
        <v>625.50673987708547</v>
      </c>
      <c r="BA85" s="148">
        <f t="shared" si="85"/>
        <v>675.81288959531582</v>
      </c>
      <c r="BB85" s="151">
        <f t="shared" si="86"/>
        <v>3227392.3431329611</v>
      </c>
      <c r="BC85" s="148">
        <f t="shared" si="87"/>
        <v>0</v>
      </c>
      <c r="BD85" s="144">
        <f t="shared" si="88"/>
        <v>3227392.3431329611</v>
      </c>
      <c r="BE85" s="144">
        <f t="shared" si="49"/>
        <v>43356793.503122613</v>
      </c>
      <c r="BF85" s="144">
        <f>INDEX('Hospital Education Funding'!$G$9:$G$159,MATCH(C85,'Hospital Education Funding'!$C$9:$C$158,0))</f>
        <v>468065.31</v>
      </c>
      <c r="BG85" s="152">
        <f>INDEX('Import|Export Adjustments Data'!$Q$9:$Q$159,MATCH('2019-20 StepbyStep Allocations'!$C85,'Import|Export Adjustments Data'!$C$9:$C$159,0))</f>
        <v>1</v>
      </c>
      <c r="BH85" s="144">
        <f t="shared" si="89"/>
        <v>6000</v>
      </c>
      <c r="BI85" s="153">
        <f>INDEX('Baselines+Historic Spend Factor'!$F$9:$F$159,MATCH('2019-20 StepbyStep Allocations'!C85,'Baselines+Historic Spend Factor'!C$9:C$159,0))-INDEX('Baselines+Historic Spend Factor'!$G$9:$G$159,MATCH('2019-20 StepbyStep Allocations'!C85,'Baselines+Historic Spend Factor'!C$9:C$159,0))</f>
        <v>44777488.029997997</v>
      </c>
      <c r="BJ85" s="154">
        <f t="shared" si="50"/>
        <v>46401268.109076984</v>
      </c>
      <c r="BK85" s="155">
        <f t="shared" si="90"/>
        <v>3.6263313341542425E-2</v>
      </c>
      <c r="BL85" s="156">
        <f t="shared" si="91"/>
        <v>669.12167286664931</v>
      </c>
      <c r="BM85" s="148">
        <f t="shared" si="51"/>
        <v>675.81288959531582</v>
      </c>
      <c r="BN85" s="148">
        <f t="shared" si="92"/>
        <v>675.81288959531582</v>
      </c>
      <c r="BO85" s="148">
        <f t="shared" si="52"/>
        <v>43356793.503122613</v>
      </c>
      <c r="BP85" s="144">
        <f t="shared" si="53"/>
        <v>46401268.109076984</v>
      </c>
      <c r="BQ85" s="148">
        <v>45465620.236779146</v>
      </c>
      <c r="BR85" s="157">
        <f t="shared" si="48"/>
        <v>2.057923915752391E-2</v>
      </c>
      <c r="BT85" s="94"/>
      <c r="BU85" s="158"/>
      <c r="BX85" s="94"/>
    </row>
    <row r="86" spans="1:76" ht="15.4" x14ac:dyDescent="0.45">
      <c r="A86" s="139" t="s">
        <v>150</v>
      </c>
      <c r="B86" s="140" t="s">
        <v>182</v>
      </c>
      <c r="C86" s="102">
        <v>310</v>
      </c>
      <c r="D86" s="141" t="s">
        <v>192</v>
      </c>
      <c r="E86" s="348">
        <v>1.1116135618035334</v>
      </c>
      <c r="F86" s="142">
        <v>533</v>
      </c>
      <c r="G86" s="143">
        <f t="shared" si="54"/>
        <v>4446.4542472141338</v>
      </c>
      <c r="H86" s="144">
        <f t="shared" si="55"/>
        <v>2369960.1137651335</v>
      </c>
      <c r="I86" s="144">
        <f>INDEX('Baselines+Historic Spend Factor'!$Q$9:$Q$159,MATCH(C86,'Baselines+Historic Spend Factor'!$C$9:$C$159,0))</f>
        <v>14670609.103239248</v>
      </c>
      <c r="J86" s="142">
        <v>55148.045999999988</v>
      </c>
      <c r="K86" s="145">
        <f t="shared" si="56"/>
        <v>61303.31584056509</v>
      </c>
      <c r="L86" s="144">
        <f t="shared" si="57"/>
        <v>7183124.5324133867</v>
      </c>
      <c r="M86" s="142">
        <v>3228.5</v>
      </c>
      <c r="N86" s="145">
        <f t="shared" si="58"/>
        <v>3588.8443842827078</v>
      </c>
      <c r="O86" s="144">
        <f t="shared" si="59"/>
        <v>880467.60605630314</v>
      </c>
      <c r="P86" s="142">
        <v>5608</v>
      </c>
      <c r="Q86" s="145">
        <f t="shared" si="60"/>
        <v>6233.9288545942154</v>
      </c>
      <c r="R86" s="147">
        <f t="shared" si="61"/>
        <v>212216.03953600442</v>
      </c>
      <c r="S86" s="142">
        <v>7034</v>
      </c>
      <c r="T86" s="145">
        <f t="shared" si="62"/>
        <v>7819.0897937260543</v>
      </c>
      <c r="U86" s="147">
        <f t="shared" si="63"/>
        <v>345702.97177507787</v>
      </c>
      <c r="V86" s="142">
        <v>1078</v>
      </c>
      <c r="W86" s="145">
        <f t="shared" si="64"/>
        <v>1198.3194196242091</v>
      </c>
      <c r="X86" s="147">
        <f t="shared" si="65"/>
        <v>72261.537944602576</v>
      </c>
      <c r="Y86" s="142">
        <v>1260</v>
      </c>
      <c r="Z86" s="145">
        <f t="shared" si="66"/>
        <v>1400.6330878724521</v>
      </c>
      <c r="AA86" s="147">
        <f t="shared" si="67"/>
        <v>90341.98728967474</v>
      </c>
      <c r="AB86" s="142">
        <v>1048</v>
      </c>
      <c r="AC86" s="145">
        <f t="shared" si="68"/>
        <v>1164.971012770103</v>
      </c>
      <c r="AD86" s="147">
        <f t="shared" si="69"/>
        <v>82283.277276265551</v>
      </c>
      <c r="AE86" s="142">
        <v>0</v>
      </c>
      <c r="AF86" s="145">
        <f t="shared" si="70"/>
        <v>0</v>
      </c>
      <c r="AG86" s="147">
        <f t="shared" si="71"/>
        <v>0</v>
      </c>
      <c r="AH86" s="144">
        <f t="shared" si="72"/>
        <v>802805.8138216252</v>
      </c>
      <c r="AI86" s="142">
        <v>330</v>
      </c>
      <c r="AJ86" s="145">
        <f t="shared" si="73"/>
        <v>366.83247539516606</v>
      </c>
      <c r="AK86" s="147">
        <f t="shared" si="74"/>
        <v>1132190.735872091</v>
      </c>
      <c r="AL86" s="142">
        <v>1380</v>
      </c>
      <c r="AM86" s="145">
        <f t="shared" si="75"/>
        <v>1534.0267152888762</v>
      </c>
      <c r="AN86" s="147">
        <f t="shared" si="76"/>
        <v>781914.64513946406</v>
      </c>
      <c r="AO86" s="142">
        <v>469</v>
      </c>
      <c r="AP86" s="145">
        <f t="shared" si="77"/>
        <v>521.3467604858572</v>
      </c>
      <c r="AQ86" s="147">
        <f t="shared" si="78"/>
        <v>918278.96019021038</v>
      </c>
      <c r="AR86" s="142">
        <v>378</v>
      </c>
      <c r="AS86" s="145">
        <f t="shared" si="79"/>
        <v>420.18992636173562</v>
      </c>
      <c r="AT86" s="147">
        <f t="shared" si="80"/>
        <v>607871.64578464744</v>
      </c>
      <c r="AU86" s="144">
        <f t="shared" si="81"/>
        <v>26977263.042516973</v>
      </c>
      <c r="AV86" s="148">
        <f>INDEX('Baselines+Historic Spend Factor'!P$9:P$159,MATCH('2019-20 StepbyStep Allocations'!C86,'Baselines+Historic Spend Factor'!C$9:C$159,0))</f>
        <v>29341218.206478495</v>
      </c>
      <c r="AW86" s="149">
        <v>53984.301000000007</v>
      </c>
      <c r="AX86" s="150">
        <f t="shared" si="82"/>
        <v>543.51390428262641</v>
      </c>
      <c r="AY86" s="148">
        <f t="shared" si="83"/>
        <v>548.94904332545264</v>
      </c>
      <c r="AZ86" s="148">
        <f t="shared" si="84"/>
        <v>489.17894647648944</v>
      </c>
      <c r="BA86" s="148">
        <f t="shared" si="85"/>
        <v>548.94904332545264</v>
      </c>
      <c r="BB86" s="151">
        <f t="shared" si="86"/>
        <v>3296204.0504510766</v>
      </c>
      <c r="BC86" s="148">
        <f t="shared" si="87"/>
        <v>0</v>
      </c>
      <c r="BD86" s="144">
        <f t="shared" si="88"/>
        <v>3296204.0504510766</v>
      </c>
      <c r="BE86" s="144">
        <f t="shared" si="49"/>
        <v>30273467.092968047</v>
      </c>
      <c r="BF86" s="144">
        <f>INDEX('Hospital Education Funding'!$G$9:$G$159,MATCH(C86,'Hospital Education Funding'!$C$9:$C$158,0))</f>
        <v>168974.38</v>
      </c>
      <c r="BG86" s="152">
        <f>INDEX('Import|Export Adjustments Data'!$Q$9:$Q$159,MATCH('2019-20 StepbyStep Allocations'!$C86,'Import|Export Adjustments Data'!$C$9:$C$159,0))</f>
        <v>-246.5</v>
      </c>
      <c r="BH86" s="144">
        <f t="shared" si="89"/>
        <v>-1479000</v>
      </c>
      <c r="BI86" s="153">
        <f>INDEX('Baselines+Historic Spend Factor'!$F$9:$F$159,MATCH('2019-20 StepbyStep Allocations'!C86,'Baselines+Historic Spend Factor'!C$9:C$159,0))-INDEX('Baselines+Historic Spend Factor'!$G$9:$G$159,MATCH('2019-20 StepbyStep Allocations'!C86,'Baselines+Historic Spend Factor'!C$9:C$159,0))</f>
        <v>31695606.686265916</v>
      </c>
      <c r="BJ86" s="154">
        <f t="shared" si="50"/>
        <v>31333401.586733181</v>
      </c>
      <c r="BK86" s="155">
        <f t="shared" si="90"/>
        <v>-1.1427612133061982E-2</v>
      </c>
      <c r="BL86" s="156">
        <f t="shared" si="91"/>
        <v>543.51390428262641</v>
      </c>
      <c r="BM86" s="148">
        <f t="shared" si="51"/>
        <v>548.94904332545264</v>
      </c>
      <c r="BN86" s="148">
        <f t="shared" si="92"/>
        <v>548.94904332545264</v>
      </c>
      <c r="BO86" s="148">
        <f t="shared" si="52"/>
        <v>30273467.092968047</v>
      </c>
      <c r="BP86" s="144">
        <f t="shared" si="53"/>
        <v>31333401.586733181</v>
      </c>
      <c r="BQ86" s="148">
        <v>30925423.223843295</v>
      </c>
      <c r="BR86" s="157">
        <f t="shared" si="48"/>
        <v>1.3192329169980033E-2</v>
      </c>
      <c r="BT86" s="94"/>
      <c r="BU86" s="158"/>
      <c r="BX86" s="94"/>
    </row>
    <row r="87" spans="1:76" ht="15.4" x14ac:dyDescent="0.45">
      <c r="A87" s="139" t="s">
        <v>211</v>
      </c>
      <c r="B87" s="140" t="s">
        <v>182</v>
      </c>
      <c r="C87" s="102">
        <v>311</v>
      </c>
      <c r="D87" s="141" t="s">
        <v>193</v>
      </c>
      <c r="E87" s="348">
        <v>1.0870826162281</v>
      </c>
      <c r="F87" s="142">
        <v>343</v>
      </c>
      <c r="G87" s="143">
        <f t="shared" si="54"/>
        <v>4348.3304649124002</v>
      </c>
      <c r="H87" s="144">
        <f t="shared" si="55"/>
        <v>1491477.3494649532</v>
      </c>
      <c r="I87" s="144">
        <f>INDEX('Baselines+Historic Spend Factor'!$Q$9:$Q$159,MATCH(C87,'Baselines+Historic Spend Factor'!$C$9:$C$159,0))</f>
        <v>10603814.177797958</v>
      </c>
      <c r="J87" s="142">
        <v>55565.776000000005</v>
      </c>
      <c r="K87" s="145">
        <f t="shared" si="56"/>
        <v>60404.589146824575</v>
      </c>
      <c r="L87" s="144">
        <f t="shared" si="57"/>
        <v>7077817.5735119823</v>
      </c>
      <c r="M87" s="142">
        <v>4322.5</v>
      </c>
      <c r="N87" s="145">
        <f t="shared" si="58"/>
        <v>4698.9146086459623</v>
      </c>
      <c r="O87" s="144">
        <f t="shared" si="59"/>
        <v>1152806.2110066663</v>
      </c>
      <c r="P87" s="142">
        <v>7772</v>
      </c>
      <c r="Q87" s="145">
        <f t="shared" si="60"/>
        <v>8448.8060933247925</v>
      </c>
      <c r="R87" s="147">
        <f t="shared" si="61"/>
        <v>287615.11556418927</v>
      </c>
      <c r="S87" s="142">
        <v>5951</v>
      </c>
      <c r="T87" s="145">
        <f t="shared" si="62"/>
        <v>6469.228649173423</v>
      </c>
      <c r="U87" s="147">
        <f t="shared" si="63"/>
        <v>286021.98313494388</v>
      </c>
      <c r="V87" s="142">
        <v>4520</v>
      </c>
      <c r="W87" s="145">
        <f t="shared" si="64"/>
        <v>4913.6134253510118</v>
      </c>
      <c r="X87" s="147">
        <f t="shared" si="65"/>
        <v>296302.68621738488</v>
      </c>
      <c r="Y87" s="142">
        <v>4049</v>
      </c>
      <c r="Z87" s="145">
        <f t="shared" si="66"/>
        <v>4401.5975131075766</v>
      </c>
      <c r="AA87" s="147">
        <f t="shared" si="67"/>
        <v>283906.66336995771</v>
      </c>
      <c r="AB87" s="142">
        <v>2917</v>
      </c>
      <c r="AC87" s="145">
        <f t="shared" si="68"/>
        <v>3171.0199915373678</v>
      </c>
      <c r="AD87" s="147">
        <f t="shared" si="69"/>
        <v>223972.88374740112</v>
      </c>
      <c r="AE87" s="142">
        <v>0</v>
      </c>
      <c r="AF87" s="145">
        <f t="shared" si="70"/>
        <v>0</v>
      </c>
      <c r="AG87" s="147">
        <f t="shared" si="71"/>
        <v>0</v>
      </c>
      <c r="AH87" s="144">
        <f t="shared" si="72"/>
        <v>1377819.3320338768</v>
      </c>
      <c r="AI87" s="142">
        <v>274</v>
      </c>
      <c r="AJ87" s="145">
        <f t="shared" si="73"/>
        <v>297.8606368464994</v>
      </c>
      <c r="AK87" s="147">
        <f t="shared" si="74"/>
        <v>919316.24443905952</v>
      </c>
      <c r="AL87" s="142">
        <v>1620</v>
      </c>
      <c r="AM87" s="145">
        <f t="shared" si="75"/>
        <v>1761.073838289522</v>
      </c>
      <c r="AN87" s="147">
        <f t="shared" si="76"/>
        <v>897643.70568425045</v>
      </c>
      <c r="AO87" s="142">
        <v>363</v>
      </c>
      <c r="AP87" s="145">
        <f t="shared" si="77"/>
        <v>394.6109896908003</v>
      </c>
      <c r="AQ87" s="147">
        <f t="shared" si="78"/>
        <v>695051.73285281763</v>
      </c>
      <c r="AR87" s="142">
        <v>538</v>
      </c>
      <c r="AS87" s="145">
        <f t="shared" si="79"/>
        <v>584.85044753071782</v>
      </c>
      <c r="AT87" s="147">
        <f t="shared" si="80"/>
        <v>846079.31264950882</v>
      </c>
      <c r="AU87" s="144">
        <f t="shared" si="81"/>
        <v>23570348.289976116</v>
      </c>
      <c r="AV87" s="148">
        <f>INDEX('Baselines+Historic Spend Factor'!P$9:P$159,MATCH('2019-20 StepbyStep Allocations'!C87,'Baselines+Historic Spend Factor'!C$9:C$159,0))</f>
        <v>21207628.355595917</v>
      </c>
      <c r="AW87" s="149">
        <v>52992.646000000001</v>
      </c>
      <c r="AX87" s="150">
        <f t="shared" si="82"/>
        <v>400.19946080057821</v>
      </c>
      <c r="AY87" s="148">
        <f t="shared" si="83"/>
        <v>404.20145540858397</v>
      </c>
      <c r="AZ87" s="148">
        <f t="shared" si="84"/>
        <v>424.18823215887625</v>
      </c>
      <c r="BA87" s="148">
        <f t="shared" si="85"/>
        <v>424.18823215887625</v>
      </c>
      <c r="BB87" s="151">
        <f t="shared" si="86"/>
        <v>0</v>
      </c>
      <c r="BC87" s="148">
        <f t="shared" si="87"/>
        <v>0</v>
      </c>
      <c r="BD87" s="144">
        <f t="shared" si="88"/>
        <v>0</v>
      </c>
      <c r="BE87" s="144">
        <f t="shared" si="49"/>
        <v>23570348.289976116</v>
      </c>
      <c r="BF87" s="144">
        <f>INDEX('Hospital Education Funding'!$G$9:$G$159,MATCH(C87,'Hospital Education Funding'!$C$9:$C$158,0))</f>
        <v>78931.5</v>
      </c>
      <c r="BG87" s="152">
        <f>INDEX('Import|Export Adjustments Data'!$Q$9:$Q$159,MATCH('2019-20 StepbyStep Allocations'!$C87,'Import|Export Adjustments Data'!$C$9:$C$159,0))</f>
        <v>-86</v>
      </c>
      <c r="BH87" s="144">
        <f t="shared" si="89"/>
        <v>-516000</v>
      </c>
      <c r="BI87" s="153">
        <f>INDEX('Baselines+Historic Spend Factor'!$F$9:$F$159,MATCH('2019-20 StepbyStep Allocations'!C87,'Baselines+Historic Spend Factor'!C$9:C$159,0))-INDEX('Baselines+Historic Spend Factor'!$G$9:$G$159,MATCH('2019-20 StepbyStep Allocations'!C87,'Baselines+Historic Spend Factor'!C$9:C$159,0))</f>
        <v>22376805.791113496</v>
      </c>
      <c r="BJ87" s="154">
        <f t="shared" si="50"/>
        <v>24624757.139441069</v>
      </c>
      <c r="BK87" s="155">
        <f t="shared" si="90"/>
        <v>0.10045899174851414</v>
      </c>
      <c r="BL87" s="156">
        <f t="shared" si="91"/>
        <v>400.19946080057821</v>
      </c>
      <c r="BM87" s="148">
        <f t="shared" si="51"/>
        <v>424.18823215887625</v>
      </c>
      <c r="BN87" s="148">
        <f t="shared" si="92"/>
        <v>424.18823215887625</v>
      </c>
      <c r="BO87" s="148">
        <f t="shared" si="52"/>
        <v>23570348.289976116</v>
      </c>
      <c r="BP87" s="144">
        <f t="shared" si="53"/>
        <v>24624757.139441069</v>
      </c>
      <c r="BQ87" s="148">
        <v>23273715.087766849</v>
      </c>
      <c r="BR87" s="157">
        <f t="shared" si="48"/>
        <v>5.8050124210051735E-2</v>
      </c>
      <c r="BT87" s="94"/>
      <c r="BU87" s="158"/>
      <c r="BX87" s="94"/>
    </row>
    <row r="88" spans="1:76" ht="15.4" x14ac:dyDescent="0.45">
      <c r="A88" s="139" t="s">
        <v>151</v>
      </c>
      <c r="B88" s="140" t="s">
        <v>182</v>
      </c>
      <c r="C88" s="102">
        <v>312</v>
      </c>
      <c r="D88" s="141" t="s">
        <v>194</v>
      </c>
      <c r="E88" s="348">
        <v>1.1116135618035334</v>
      </c>
      <c r="F88" s="142">
        <v>720.5</v>
      </c>
      <c r="G88" s="143">
        <f t="shared" si="54"/>
        <v>4446.4542472141338</v>
      </c>
      <c r="H88" s="144">
        <f t="shared" si="55"/>
        <v>3203670.2851177836</v>
      </c>
      <c r="I88" s="144">
        <f>INDEX('Baselines+Historic Spend Factor'!$Q$9:$Q$159,MATCH(C88,'Baselines+Historic Spend Factor'!$C$9:$C$159,0))</f>
        <v>15937975.040976947</v>
      </c>
      <c r="J88" s="142">
        <v>70434.215999999986</v>
      </c>
      <c r="K88" s="145">
        <f t="shared" si="56"/>
        <v>78295.629720599405</v>
      </c>
      <c r="L88" s="144">
        <f t="shared" si="57"/>
        <v>9174173.5486131925</v>
      </c>
      <c r="M88" s="142">
        <v>5951.5000000000018</v>
      </c>
      <c r="N88" s="145">
        <f t="shared" si="58"/>
        <v>6615.768113073731</v>
      </c>
      <c r="O88" s="144">
        <f t="shared" si="59"/>
        <v>1623076.6478067492</v>
      </c>
      <c r="P88" s="142">
        <v>12896</v>
      </c>
      <c r="Q88" s="145">
        <f t="shared" si="60"/>
        <v>14335.368493018366</v>
      </c>
      <c r="R88" s="147">
        <f t="shared" si="61"/>
        <v>488006.07094442099</v>
      </c>
      <c r="S88" s="142">
        <v>11575</v>
      </c>
      <c r="T88" s="145">
        <f t="shared" si="62"/>
        <v>12866.926977875899</v>
      </c>
      <c r="U88" s="147">
        <f t="shared" si="63"/>
        <v>568881.4185806833</v>
      </c>
      <c r="V88" s="142">
        <v>8550</v>
      </c>
      <c r="W88" s="145">
        <f t="shared" si="64"/>
        <v>9504.2959534202109</v>
      </c>
      <c r="X88" s="147">
        <f t="shared" si="65"/>
        <v>573131.86403186643</v>
      </c>
      <c r="Y88" s="142">
        <v>4088</v>
      </c>
      <c r="Z88" s="145">
        <f t="shared" si="66"/>
        <v>4544.2762406528445</v>
      </c>
      <c r="AA88" s="147">
        <f t="shared" si="67"/>
        <v>293109.55876205588</v>
      </c>
      <c r="AB88" s="142">
        <v>837</v>
      </c>
      <c r="AC88" s="145">
        <f t="shared" si="68"/>
        <v>930.42055122955753</v>
      </c>
      <c r="AD88" s="147">
        <f t="shared" si="69"/>
        <v>65716.70141243728</v>
      </c>
      <c r="AE88" s="142">
        <v>0</v>
      </c>
      <c r="AF88" s="145">
        <f t="shared" si="70"/>
        <v>0</v>
      </c>
      <c r="AG88" s="147">
        <f t="shared" si="71"/>
        <v>0</v>
      </c>
      <c r="AH88" s="144">
        <f t="shared" si="72"/>
        <v>1988845.6137314639</v>
      </c>
      <c r="AI88" s="142">
        <v>402</v>
      </c>
      <c r="AJ88" s="145">
        <f t="shared" si="73"/>
        <v>446.86865184502045</v>
      </c>
      <c r="AK88" s="147">
        <f t="shared" si="74"/>
        <v>1379214.1691532743</v>
      </c>
      <c r="AL88" s="142">
        <v>2510</v>
      </c>
      <c r="AM88" s="145">
        <f t="shared" si="75"/>
        <v>2790.150040126869</v>
      </c>
      <c r="AN88" s="147">
        <f t="shared" si="76"/>
        <v>1422178.0864493151</v>
      </c>
      <c r="AO88" s="142">
        <v>564</v>
      </c>
      <c r="AP88" s="145">
        <f t="shared" si="77"/>
        <v>626.95004885719288</v>
      </c>
      <c r="AQ88" s="147">
        <f t="shared" si="78"/>
        <v>1104284.2932777796</v>
      </c>
      <c r="AR88" s="142">
        <v>701</v>
      </c>
      <c r="AS88" s="145">
        <f t="shared" si="79"/>
        <v>779.24110682427693</v>
      </c>
      <c r="AT88" s="147">
        <f t="shared" si="80"/>
        <v>1127296.3589815816</v>
      </c>
      <c r="AU88" s="144">
        <f t="shared" si="81"/>
        <v>33757043.758990295</v>
      </c>
      <c r="AV88" s="148">
        <f>INDEX('Baselines+Historic Spend Factor'!P$9:P$159,MATCH('2019-20 StepbyStep Allocations'!C88,'Baselines+Historic Spend Factor'!C$9:C$159,0))</f>
        <v>31875950.081953894</v>
      </c>
      <c r="AW88" s="149">
        <v>67831.069999999992</v>
      </c>
      <c r="AX88" s="150">
        <f t="shared" si="82"/>
        <v>469.93140579905196</v>
      </c>
      <c r="AY88" s="148">
        <f t="shared" si="83"/>
        <v>474.63071985704249</v>
      </c>
      <c r="AZ88" s="148">
        <f t="shared" si="84"/>
        <v>479.27052611745268</v>
      </c>
      <c r="BA88" s="148">
        <f t="shared" si="85"/>
        <v>479.27052611745268</v>
      </c>
      <c r="BB88" s="151">
        <f t="shared" si="86"/>
        <v>0</v>
      </c>
      <c r="BC88" s="148">
        <f t="shared" si="87"/>
        <v>0</v>
      </c>
      <c r="BD88" s="144">
        <f t="shared" si="88"/>
        <v>0</v>
      </c>
      <c r="BE88" s="144">
        <f t="shared" si="49"/>
        <v>33757043.758990295</v>
      </c>
      <c r="BF88" s="144">
        <f>INDEX('Hospital Education Funding'!$G$9:$G$159,MATCH(C88,'Hospital Education Funding'!$C$9:$C$158,0))</f>
        <v>75750</v>
      </c>
      <c r="BG88" s="152">
        <f>INDEX('Import|Export Adjustments Data'!$Q$9:$Q$159,MATCH('2019-20 StepbyStep Allocations'!$C88,'Import|Export Adjustments Data'!$C$9:$C$159,0))</f>
        <v>163</v>
      </c>
      <c r="BH88" s="144">
        <f t="shared" si="89"/>
        <v>978000</v>
      </c>
      <c r="BI88" s="153">
        <f>INDEX('Baselines+Historic Spend Factor'!$F$9:$F$159,MATCH('2019-20 StepbyStep Allocations'!C88,'Baselines+Historic Spend Factor'!C$9:C$159,0))-INDEX('Baselines+Historic Spend Factor'!$G$9:$G$159,MATCH('2019-20 StepbyStep Allocations'!C88,'Baselines+Historic Spend Factor'!C$9:C$159,0))</f>
        <v>34548324.787048362</v>
      </c>
      <c r="BJ88" s="154">
        <f t="shared" si="50"/>
        <v>38014464.044108078</v>
      </c>
      <c r="BK88" s="155">
        <f t="shared" si="90"/>
        <v>0.10032727428680177</v>
      </c>
      <c r="BL88" s="156">
        <f t="shared" si="91"/>
        <v>469.93140579905196</v>
      </c>
      <c r="BM88" s="148">
        <f t="shared" si="51"/>
        <v>479.27052611745268</v>
      </c>
      <c r="BN88" s="148">
        <f t="shared" si="92"/>
        <v>479.27052611745268</v>
      </c>
      <c r="BO88" s="148">
        <f t="shared" si="52"/>
        <v>33757043.758990295</v>
      </c>
      <c r="BP88" s="144">
        <f t="shared" si="53"/>
        <v>38014464.044108078</v>
      </c>
      <c r="BQ88" s="148">
        <v>37693067.551957659</v>
      </c>
      <c r="BR88" s="157">
        <f t="shared" si="48"/>
        <v>8.5266738162765865E-3</v>
      </c>
      <c r="BT88" s="94"/>
      <c r="BU88" s="158"/>
      <c r="BX88" s="94"/>
    </row>
    <row r="89" spans="1:76" ht="15.4" x14ac:dyDescent="0.45">
      <c r="A89" s="139" t="s">
        <v>140</v>
      </c>
      <c r="B89" s="140" t="s">
        <v>182</v>
      </c>
      <c r="C89" s="102">
        <v>313</v>
      </c>
      <c r="D89" s="141" t="s">
        <v>195</v>
      </c>
      <c r="E89" s="348">
        <v>1.1116135618035334</v>
      </c>
      <c r="F89" s="142">
        <v>648</v>
      </c>
      <c r="G89" s="143">
        <f t="shared" si="54"/>
        <v>4446.4542472141338</v>
      </c>
      <c r="H89" s="144">
        <f t="shared" si="55"/>
        <v>2881302.3521947586</v>
      </c>
      <c r="I89" s="144">
        <f>INDEX('Baselines+Historic Spend Factor'!$Q$9:$Q$159,MATCH(C89,'Baselines+Historic Spend Factor'!$C$9:$C$159,0))</f>
        <v>21161149.328968402</v>
      </c>
      <c r="J89" s="142">
        <v>60132.74500000001</v>
      </c>
      <c r="K89" s="145">
        <f t="shared" si="56"/>
        <v>66844.374850473629</v>
      </c>
      <c r="L89" s="144">
        <f t="shared" si="57"/>
        <v>7832389.851325986</v>
      </c>
      <c r="M89" s="142">
        <v>6608</v>
      </c>
      <c r="N89" s="145">
        <f t="shared" si="58"/>
        <v>7345.5424163977486</v>
      </c>
      <c r="O89" s="144">
        <f t="shared" si="59"/>
        <v>1802115.5151990247</v>
      </c>
      <c r="P89" s="142">
        <v>12409</v>
      </c>
      <c r="Q89" s="145">
        <f t="shared" si="60"/>
        <v>13794.012688420047</v>
      </c>
      <c r="R89" s="147">
        <f t="shared" si="61"/>
        <v>469577.18163378729</v>
      </c>
      <c r="S89" s="142">
        <v>7276</v>
      </c>
      <c r="T89" s="145">
        <f t="shared" si="62"/>
        <v>8088.1002756825092</v>
      </c>
      <c r="U89" s="147">
        <f t="shared" si="63"/>
        <v>357596.64808579278</v>
      </c>
      <c r="V89" s="142">
        <v>6932</v>
      </c>
      <c r="W89" s="145">
        <f t="shared" si="64"/>
        <v>7705.7052104220938</v>
      </c>
      <c r="X89" s="147">
        <f t="shared" si="65"/>
        <v>464672.52414840914</v>
      </c>
      <c r="Y89" s="142">
        <v>2337</v>
      </c>
      <c r="Z89" s="145">
        <f t="shared" si="66"/>
        <v>2597.8408939348578</v>
      </c>
      <c r="AA89" s="147">
        <f t="shared" si="67"/>
        <v>167562.87642537296</v>
      </c>
      <c r="AB89" s="142">
        <v>3344</v>
      </c>
      <c r="AC89" s="145">
        <f t="shared" si="68"/>
        <v>3717.2357506710159</v>
      </c>
      <c r="AD89" s="147">
        <f t="shared" si="69"/>
        <v>262552.74733953434</v>
      </c>
      <c r="AE89" s="142">
        <v>0</v>
      </c>
      <c r="AF89" s="145">
        <f t="shared" si="70"/>
        <v>0</v>
      </c>
      <c r="AG89" s="147">
        <f t="shared" si="71"/>
        <v>0</v>
      </c>
      <c r="AH89" s="144">
        <f t="shared" si="72"/>
        <v>1721961.9776328965</v>
      </c>
      <c r="AI89" s="142">
        <v>375</v>
      </c>
      <c r="AJ89" s="145">
        <f t="shared" si="73"/>
        <v>416.85508567632502</v>
      </c>
      <c r="AK89" s="147">
        <f t="shared" si="74"/>
        <v>1286580.3816728303</v>
      </c>
      <c r="AL89" s="142">
        <v>1780</v>
      </c>
      <c r="AM89" s="145">
        <f t="shared" si="75"/>
        <v>1978.6721400102895</v>
      </c>
      <c r="AN89" s="147">
        <f t="shared" si="76"/>
        <v>1008556.5712668448</v>
      </c>
      <c r="AO89" s="142">
        <v>536</v>
      </c>
      <c r="AP89" s="145">
        <f t="shared" si="77"/>
        <v>595.8248691266939</v>
      </c>
      <c r="AQ89" s="147">
        <f t="shared" si="78"/>
        <v>1049461.6687888119</v>
      </c>
      <c r="AR89" s="142">
        <v>514</v>
      </c>
      <c r="AS89" s="145">
        <f t="shared" si="79"/>
        <v>571.36937076701622</v>
      </c>
      <c r="AT89" s="147">
        <f t="shared" si="80"/>
        <v>826576.78818335675</v>
      </c>
      <c r="AU89" s="144">
        <f t="shared" si="81"/>
        <v>36688792.083038151</v>
      </c>
      <c r="AV89" s="148">
        <f>INDEX('Baselines+Historic Spend Factor'!P$9:P$159,MATCH('2019-20 StepbyStep Allocations'!C89,'Baselines+Historic Spend Factor'!C$9:C$159,0))</f>
        <v>42322298.657936804</v>
      </c>
      <c r="AW89" s="149">
        <v>58533.803000000014</v>
      </c>
      <c r="AX89" s="150">
        <f t="shared" si="82"/>
        <v>723.04030301835667</v>
      </c>
      <c r="AY89" s="148">
        <f t="shared" si="83"/>
        <v>730.27070604854021</v>
      </c>
      <c r="AZ89" s="148">
        <f t="shared" si="84"/>
        <v>610.13000625596158</v>
      </c>
      <c r="BA89" s="148">
        <f t="shared" si="85"/>
        <v>730.27070604854021</v>
      </c>
      <c r="BB89" s="151">
        <f t="shared" si="86"/>
        <v>7224390.0647486849</v>
      </c>
      <c r="BC89" s="148">
        <f t="shared" si="87"/>
        <v>0</v>
      </c>
      <c r="BD89" s="144">
        <f t="shared" si="88"/>
        <v>7224390.0647486849</v>
      </c>
      <c r="BE89" s="144">
        <f t="shared" si="49"/>
        <v>43913182.147786833</v>
      </c>
      <c r="BF89" s="144">
        <f>INDEX('Hospital Education Funding'!$G$9:$G$159,MATCH(C89,'Hospital Education Funding'!$C$9:$C$158,0))</f>
        <v>1171600</v>
      </c>
      <c r="BG89" s="152">
        <f>INDEX('Import|Export Adjustments Data'!$Q$9:$Q$159,MATCH('2019-20 StepbyStep Allocations'!$C89,'Import|Export Adjustments Data'!$C$9:$C$159,0))</f>
        <v>-171.5</v>
      </c>
      <c r="BH89" s="144">
        <f t="shared" si="89"/>
        <v>-1029000</v>
      </c>
      <c r="BI89" s="153">
        <f>INDEX('Baselines+Historic Spend Factor'!$F$9:$F$159,MATCH('2019-20 StepbyStep Allocations'!C89,'Baselines+Historic Spend Factor'!C$9:C$159,0))-INDEX('Baselines+Historic Spend Factor'!$G$9:$G$159,MATCH('2019-20 StepbyStep Allocations'!C89,'Baselines+Historic Spend Factor'!C$9:C$159,0))</f>
        <v>44871957.023254141</v>
      </c>
      <c r="BJ89" s="154">
        <f t="shared" si="50"/>
        <v>46937084.49998159</v>
      </c>
      <c r="BK89" s="155">
        <f t="shared" si="90"/>
        <v>4.602267459957754E-2</v>
      </c>
      <c r="BL89" s="156">
        <f t="shared" si="91"/>
        <v>723.04030301835667</v>
      </c>
      <c r="BM89" s="148">
        <f t="shared" si="51"/>
        <v>730.27070604854021</v>
      </c>
      <c r="BN89" s="148">
        <f t="shared" si="92"/>
        <v>730.27070604854021</v>
      </c>
      <c r="BO89" s="148">
        <f t="shared" si="52"/>
        <v>43913182.147786833</v>
      </c>
      <c r="BP89" s="144">
        <f t="shared" si="53"/>
        <v>46937084.49998159</v>
      </c>
      <c r="BQ89" s="148">
        <v>46263664.502517134</v>
      </c>
      <c r="BR89" s="157">
        <f t="shared" si="48"/>
        <v>1.4556131787351489E-2</v>
      </c>
      <c r="BT89" s="94"/>
      <c r="BU89" s="158"/>
      <c r="BX89" s="94"/>
    </row>
    <row r="90" spans="1:76" ht="15.4" x14ac:dyDescent="0.45">
      <c r="A90" s="139" t="s">
        <v>126</v>
      </c>
      <c r="B90" s="140" t="s">
        <v>182</v>
      </c>
      <c r="C90" s="102">
        <v>314</v>
      </c>
      <c r="D90" s="141" t="s">
        <v>196</v>
      </c>
      <c r="E90" s="348">
        <v>1.1116135618035334</v>
      </c>
      <c r="F90" s="142">
        <v>458.5</v>
      </c>
      <c r="G90" s="143">
        <f t="shared" si="54"/>
        <v>4446.4542472141338</v>
      </c>
      <c r="H90" s="144">
        <f t="shared" si="55"/>
        <v>2038699.2723476803</v>
      </c>
      <c r="I90" s="144">
        <f>INDEX('Baselines+Historic Spend Factor'!$Q$9:$Q$159,MATCH(C90,'Baselines+Historic Spend Factor'!$C$9:$C$159,0))</f>
        <v>8976122.3101294581</v>
      </c>
      <c r="J90" s="142">
        <v>37646.138000000006</v>
      </c>
      <c r="K90" s="145">
        <f t="shared" si="56"/>
        <v>41847.957550327359</v>
      </c>
      <c r="L90" s="144">
        <f t="shared" si="57"/>
        <v>4903471.9637830863</v>
      </c>
      <c r="M90" s="142">
        <v>1760</v>
      </c>
      <c r="N90" s="145">
        <f t="shared" si="58"/>
        <v>1956.4398687742189</v>
      </c>
      <c r="O90" s="144">
        <f t="shared" si="59"/>
        <v>479982.34060990973</v>
      </c>
      <c r="P90" s="142">
        <v>3012</v>
      </c>
      <c r="Q90" s="145">
        <f t="shared" si="60"/>
        <v>3348.1800481522428</v>
      </c>
      <c r="R90" s="147">
        <f t="shared" si="61"/>
        <v>113979.08542839611</v>
      </c>
      <c r="S90" s="142">
        <v>1280</v>
      </c>
      <c r="T90" s="145">
        <f t="shared" si="62"/>
        <v>1422.8653591085229</v>
      </c>
      <c r="U90" s="147">
        <f t="shared" si="63"/>
        <v>62908.701147583124</v>
      </c>
      <c r="V90" s="142">
        <v>702</v>
      </c>
      <c r="W90" s="145">
        <f t="shared" si="64"/>
        <v>780.35272038608048</v>
      </c>
      <c r="X90" s="147">
        <f t="shared" si="65"/>
        <v>47057.142520511137</v>
      </c>
      <c r="Y90" s="142">
        <v>441</v>
      </c>
      <c r="Z90" s="145">
        <f t="shared" si="66"/>
        <v>490.22158075535822</v>
      </c>
      <c r="AA90" s="147">
        <f t="shared" si="67"/>
        <v>31619.695551386165</v>
      </c>
      <c r="AB90" s="142">
        <v>0</v>
      </c>
      <c r="AC90" s="145">
        <f t="shared" si="68"/>
        <v>0</v>
      </c>
      <c r="AD90" s="147">
        <f t="shared" si="69"/>
        <v>0</v>
      </c>
      <c r="AE90" s="142">
        <v>0</v>
      </c>
      <c r="AF90" s="145">
        <f t="shared" si="70"/>
        <v>0</v>
      </c>
      <c r="AG90" s="147">
        <f t="shared" si="71"/>
        <v>0</v>
      </c>
      <c r="AH90" s="144">
        <f t="shared" si="72"/>
        <v>255564.62464787654</v>
      </c>
      <c r="AI90" s="142">
        <v>148</v>
      </c>
      <c r="AJ90" s="145">
        <f t="shared" si="73"/>
        <v>164.51880714692294</v>
      </c>
      <c r="AK90" s="147">
        <f t="shared" si="74"/>
        <v>507770.39063354378</v>
      </c>
      <c r="AL90" s="142">
        <v>1030</v>
      </c>
      <c r="AM90" s="145">
        <f t="shared" si="75"/>
        <v>1144.9619686576395</v>
      </c>
      <c r="AN90" s="147">
        <f t="shared" si="76"/>
        <v>583602.95977800572</v>
      </c>
      <c r="AO90" s="142">
        <v>226</v>
      </c>
      <c r="AP90" s="145">
        <f t="shared" si="77"/>
        <v>251.22466496759856</v>
      </c>
      <c r="AQ90" s="147">
        <f t="shared" si="78"/>
        <v>442496.89766095427</v>
      </c>
      <c r="AR90" s="142">
        <v>261</v>
      </c>
      <c r="AS90" s="145">
        <f t="shared" si="79"/>
        <v>290.1311396307222</v>
      </c>
      <c r="AT90" s="147">
        <f t="shared" si="80"/>
        <v>419720.89827987558</v>
      </c>
      <c r="AU90" s="144">
        <f t="shared" si="81"/>
        <v>16568732.38552271</v>
      </c>
      <c r="AV90" s="148">
        <f>INDEX('Baselines+Historic Spend Factor'!P$9:P$159,MATCH('2019-20 StepbyStep Allocations'!C90,'Baselines+Historic Spend Factor'!C$9:C$159,0))</f>
        <v>17952244.620258916</v>
      </c>
      <c r="AW90" s="149">
        <v>36249.955000000002</v>
      </c>
      <c r="AX90" s="150">
        <f t="shared" si="82"/>
        <v>495.23494912638967</v>
      </c>
      <c r="AY90" s="148">
        <f t="shared" si="83"/>
        <v>500.18729861765354</v>
      </c>
      <c r="AZ90" s="148">
        <f t="shared" si="84"/>
        <v>440.11771899477998</v>
      </c>
      <c r="BA90" s="148">
        <f t="shared" si="85"/>
        <v>500.18729861765354</v>
      </c>
      <c r="BB90" s="151">
        <f t="shared" si="86"/>
        <v>2261387.6840846865</v>
      </c>
      <c r="BC90" s="148">
        <f t="shared" si="87"/>
        <v>0</v>
      </c>
      <c r="BD90" s="144">
        <f t="shared" si="88"/>
        <v>2261387.6840846865</v>
      </c>
      <c r="BE90" s="144">
        <f t="shared" si="49"/>
        <v>18830120.069607396</v>
      </c>
      <c r="BF90" s="144">
        <f>INDEX('Hospital Education Funding'!$G$9:$G$159,MATCH(C90,'Hospital Education Funding'!$C$9:$C$158,0))</f>
        <v>0</v>
      </c>
      <c r="BG90" s="152">
        <f>INDEX('Import|Export Adjustments Data'!$Q$9:$Q$159,MATCH('2019-20 StepbyStep Allocations'!$C90,'Import|Export Adjustments Data'!$C$9:$C$159,0))</f>
        <v>228</v>
      </c>
      <c r="BH90" s="144">
        <f t="shared" si="89"/>
        <v>1368000</v>
      </c>
      <c r="BI90" s="153">
        <f>INDEX('Baselines+Historic Spend Factor'!$F$9:$F$159,MATCH('2019-20 StepbyStep Allocations'!C90,'Baselines+Historic Spend Factor'!C$9:C$159,0))-INDEX('Baselines+Historic Spend Factor'!$G$9:$G$159,MATCH('2019-20 StepbyStep Allocations'!C90,'Baselines+Historic Spend Factor'!C$9:C$159,0))</f>
        <v>19814666.400808208</v>
      </c>
      <c r="BJ90" s="154">
        <f t="shared" si="50"/>
        <v>22236819.341955077</v>
      </c>
      <c r="BK90" s="155">
        <f t="shared" si="90"/>
        <v>0.12224040981321149</v>
      </c>
      <c r="BL90" s="156">
        <f t="shared" si="91"/>
        <v>495.23494912638967</v>
      </c>
      <c r="BM90" s="148">
        <f t="shared" si="51"/>
        <v>500.18729861765354</v>
      </c>
      <c r="BN90" s="148">
        <f t="shared" si="92"/>
        <v>500.18729861765354</v>
      </c>
      <c r="BO90" s="148">
        <f t="shared" si="52"/>
        <v>18830120.069607396</v>
      </c>
      <c r="BP90" s="144">
        <f t="shared" si="53"/>
        <v>22236819.341955077</v>
      </c>
      <c r="BQ90" s="148">
        <v>21851886.696326695</v>
      </c>
      <c r="BR90" s="157">
        <f t="shared" si="48"/>
        <v>1.7615533659758986E-2</v>
      </c>
      <c r="BT90" s="94"/>
      <c r="BU90" s="158"/>
      <c r="BX90" s="94"/>
    </row>
    <row r="91" spans="1:76" ht="15.4" x14ac:dyDescent="0.45">
      <c r="A91" s="139" t="s">
        <v>262</v>
      </c>
      <c r="B91" s="140" t="s">
        <v>182</v>
      </c>
      <c r="C91" s="102">
        <v>315</v>
      </c>
      <c r="D91" s="141" t="s">
        <v>197</v>
      </c>
      <c r="E91" s="348">
        <v>1.1488887055594839</v>
      </c>
      <c r="F91" s="142">
        <v>448</v>
      </c>
      <c r="G91" s="143">
        <f t="shared" si="54"/>
        <v>4595.5548222379357</v>
      </c>
      <c r="H91" s="144">
        <f t="shared" si="55"/>
        <v>2058808.5603625951</v>
      </c>
      <c r="I91" s="144">
        <f>INDEX('Baselines+Historic Spend Factor'!$Q$9:$Q$159,MATCH(C91,'Baselines+Historic Spend Factor'!$C$9:$C$159,0))</f>
        <v>15277871.307622733</v>
      </c>
      <c r="J91" s="142">
        <v>43928.108</v>
      </c>
      <c r="K91" s="145">
        <f t="shared" si="56"/>
        <v>50468.507137797205</v>
      </c>
      <c r="L91" s="144">
        <f t="shared" si="57"/>
        <v>5913571.9946800442</v>
      </c>
      <c r="M91" s="142">
        <v>3906</v>
      </c>
      <c r="N91" s="145">
        <f t="shared" si="58"/>
        <v>4487.5592839153442</v>
      </c>
      <c r="O91" s="144">
        <f t="shared" si="59"/>
        <v>1100953.4425757462</v>
      </c>
      <c r="P91" s="142">
        <v>4535</v>
      </c>
      <c r="Q91" s="145">
        <f t="shared" si="60"/>
        <v>5210.2102797122589</v>
      </c>
      <c r="R91" s="147">
        <f t="shared" si="61"/>
        <v>177366.50778352297</v>
      </c>
      <c r="S91" s="142">
        <v>4971</v>
      </c>
      <c r="T91" s="145">
        <f t="shared" si="62"/>
        <v>5711.1257553361938</v>
      </c>
      <c r="U91" s="147">
        <f t="shared" si="63"/>
        <v>252504.2169723011</v>
      </c>
      <c r="V91" s="142">
        <v>3288</v>
      </c>
      <c r="W91" s="145">
        <f t="shared" si="64"/>
        <v>3777.546063879583</v>
      </c>
      <c r="X91" s="147">
        <f t="shared" si="65"/>
        <v>227795.09683496738</v>
      </c>
      <c r="Y91" s="142">
        <v>2286</v>
      </c>
      <c r="Z91" s="145">
        <f t="shared" si="66"/>
        <v>2626.3595809089802</v>
      </c>
      <c r="AA91" s="147">
        <f t="shared" si="67"/>
        <v>169402.35521424544</v>
      </c>
      <c r="AB91" s="142">
        <v>786</v>
      </c>
      <c r="AC91" s="145">
        <f t="shared" si="68"/>
        <v>903.02652256975432</v>
      </c>
      <c r="AD91" s="147">
        <f t="shared" si="69"/>
        <v>63781.828843746698</v>
      </c>
      <c r="AE91" s="142">
        <v>457</v>
      </c>
      <c r="AF91" s="145">
        <f t="shared" si="70"/>
        <v>525.04213844068408</v>
      </c>
      <c r="AG91" s="147">
        <f t="shared" si="71"/>
        <v>50181.39104342147</v>
      </c>
      <c r="AH91" s="144">
        <f t="shared" si="72"/>
        <v>941031.3966922051</v>
      </c>
      <c r="AI91" s="142">
        <v>222</v>
      </c>
      <c r="AJ91" s="145">
        <f t="shared" si="73"/>
        <v>255.05329263420541</v>
      </c>
      <c r="AK91" s="147">
        <f t="shared" si="74"/>
        <v>787195.77584576642</v>
      </c>
      <c r="AL91" s="142">
        <v>1160</v>
      </c>
      <c r="AM91" s="145">
        <f t="shared" si="75"/>
        <v>1332.7108984490012</v>
      </c>
      <c r="AN91" s="147">
        <f t="shared" si="76"/>
        <v>679301.18742294074</v>
      </c>
      <c r="AO91" s="142">
        <v>267</v>
      </c>
      <c r="AP91" s="145">
        <f t="shared" si="77"/>
        <v>306.7532843843822</v>
      </c>
      <c r="AQ91" s="147">
        <f t="shared" si="78"/>
        <v>540302.74736321834</v>
      </c>
      <c r="AR91" s="142">
        <v>400</v>
      </c>
      <c r="AS91" s="145">
        <f t="shared" si="79"/>
        <v>459.55548222379355</v>
      </c>
      <c r="AT91" s="147">
        <f t="shared" si="80"/>
        <v>664820.19149656035</v>
      </c>
      <c r="AU91" s="144">
        <f t="shared" si="81"/>
        <v>25905048.043699212</v>
      </c>
      <c r="AV91" s="148">
        <f>INDEX('Baselines+Historic Spend Factor'!P$9:P$159,MATCH('2019-20 StepbyStep Allocations'!C91,'Baselines+Historic Spend Factor'!C$9:C$159,0))</f>
        <v>30555742.615245465</v>
      </c>
      <c r="AW91" s="149">
        <v>42846.111999999994</v>
      </c>
      <c r="AX91" s="150">
        <f t="shared" si="82"/>
        <v>713.15088321772271</v>
      </c>
      <c r="AY91" s="148">
        <f t="shared" si="83"/>
        <v>720.28239204989995</v>
      </c>
      <c r="AZ91" s="148">
        <f t="shared" si="84"/>
        <v>589.71463200052256</v>
      </c>
      <c r="BA91" s="148">
        <f t="shared" si="85"/>
        <v>720.28239204989995</v>
      </c>
      <c r="BB91" s="151">
        <f t="shared" si="86"/>
        <v>5735594.6647671359</v>
      </c>
      <c r="BC91" s="148">
        <f t="shared" si="87"/>
        <v>0</v>
      </c>
      <c r="BD91" s="144">
        <f t="shared" si="88"/>
        <v>5735594.6647671359</v>
      </c>
      <c r="BE91" s="144">
        <f t="shared" si="49"/>
        <v>31640642.708466347</v>
      </c>
      <c r="BF91" s="144">
        <f>INDEX('Hospital Education Funding'!$G$9:$G$159,MATCH(C91,'Hospital Education Funding'!$C$9:$C$158,0))</f>
        <v>50500</v>
      </c>
      <c r="BG91" s="152">
        <f>INDEX('Import|Export Adjustments Data'!$Q$9:$Q$159,MATCH('2019-20 StepbyStep Allocations'!$C91,'Import|Export Adjustments Data'!$C$9:$C$159,0))</f>
        <v>-196</v>
      </c>
      <c r="BH91" s="144">
        <f t="shared" si="89"/>
        <v>-1176000</v>
      </c>
      <c r="BI91" s="153">
        <f>INDEX('Baselines+Historic Spend Factor'!$F$9:$F$159,MATCH('2019-20 StepbyStep Allocations'!C91,'Baselines+Historic Spend Factor'!C$9:C$159,0))-INDEX('Baselines+Historic Spend Factor'!$G$9:$G$159,MATCH('2019-20 StepbyStep Allocations'!C91,'Baselines+Historic Spend Factor'!C$9:C$159,0))</f>
        <v>31813955.620785821</v>
      </c>
      <c r="BJ91" s="154">
        <f t="shared" si="50"/>
        <v>32573951.268828943</v>
      </c>
      <c r="BK91" s="155">
        <f t="shared" si="90"/>
        <v>2.3888750493716415E-2</v>
      </c>
      <c r="BL91" s="156">
        <f t="shared" si="91"/>
        <v>713.15088321772271</v>
      </c>
      <c r="BM91" s="148">
        <f t="shared" si="51"/>
        <v>720.28239204989995</v>
      </c>
      <c r="BN91" s="148">
        <f t="shared" si="92"/>
        <v>720.28239204989995</v>
      </c>
      <c r="BO91" s="148">
        <f t="shared" si="52"/>
        <v>31640642.708466347</v>
      </c>
      <c r="BP91" s="144">
        <f t="shared" si="53"/>
        <v>32573951.268828943</v>
      </c>
      <c r="BQ91" s="148">
        <v>32178741.020216003</v>
      </c>
      <c r="BR91" s="157">
        <f t="shared" si="48"/>
        <v>1.2281718802008124E-2</v>
      </c>
      <c r="BT91" s="94"/>
      <c r="BU91" s="158"/>
      <c r="BX91" s="94"/>
    </row>
    <row r="92" spans="1:76" ht="15.4" x14ac:dyDescent="0.45">
      <c r="A92" s="139" t="s">
        <v>263</v>
      </c>
      <c r="B92" s="140" t="s">
        <v>182</v>
      </c>
      <c r="C92" s="102">
        <v>317</v>
      </c>
      <c r="D92" s="141" t="s">
        <v>198</v>
      </c>
      <c r="E92" s="348">
        <v>1.0870826162281</v>
      </c>
      <c r="F92" s="142">
        <v>574</v>
      </c>
      <c r="G92" s="143">
        <f t="shared" si="54"/>
        <v>4348.3304649124002</v>
      </c>
      <c r="H92" s="144">
        <f t="shared" si="55"/>
        <v>2495941.6868597176</v>
      </c>
      <c r="I92" s="144">
        <f>INDEX('Baselines+Historic Spend Factor'!$Q$9:$Q$159,MATCH(C92,'Baselines+Historic Spend Factor'!$C$9:$C$159,0))</f>
        <v>19881199.289481558</v>
      </c>
      <c r="J92" s="142">
        <v>73214.77</v>
      </c>
      <c r="K92" s="145">
        <f t="shared" si="56"/>
        <v>79590.503718138614</v>
      </c>
      <c r="L92" s="144">
        <f t="shared" si="57"/>
        <v>9325898.4765485488</v>
      </c>
      <c r="M92" s="142">
        <v>6243.4999999999973</v>
      </c>
      <c r="N92" s="145">
        <f t="shared" si="58"/>
        <v>6787.200314420139</v>
      </c>
      <c r="O92" s="144">
        <f t="shared" si="59"/>
        <v>1665134.8937929713</v>
      </c>
      <c r="P92" s="142">
        <v>11100</v>
      </c>
      <c r="Q92" s="145">
        <f t="shared" si="60"/>
        <v>12066.61704013191</v>
      </c>
      <c r="R92" s="147">
        <f t="shared" si="61"/>
        <v>410773.00344345102</v>
      </c>
      <c r="S92" s="142">
        <v>11830</v>
      </c>
      <c r="T92" s="145">
        <f t="shared" si="62"/>
        <v>12860.187349978423</v>
      </c>
      <c r="U92" s="147">
        <f t="shared" si="63"/>
        <v>568583.44152014551</v>
      </c>
      <c r="V92" s="142">
        <v>2736</v>
      </c>
      <c r="W92" s="145">
        <f t="shared" si="64"/>
        <v>2974.2580380000813</v>
      </c>
      <c r="X92" s="147">
        <f t="shared" si="65"/>
        <v>179354.90032981525</v>
      </c>
      <c r="Y92" s="142">
        <v>4032</v>
      </c>
      <c r="Z92" s="145">
        <f t="shared" si="66"/>
        <v>4383.117108631699</v>
      </c>
      <c r="AA92" s="147">
        <f t="shared" si="67"/>
        <v>282714.66206660151</v>
      </c>
      <c r="AB92" s="142">
        <v>411</v>
      </c>
      <c r="AC92" s="145">
        <f t="shared" si="68"/>
        <v>446.79095526974908</v>
      </c>
      <c r="AD92" s="147">
        <f t="shared" si="69"/>
        <v>31557.372375790834</v>
      </c>
      <c r="AE92" s="142">
        <v>0</v>
      </c>
      <c r="AF92" s="145">
        <f t="shared" si="70"/>
        <v>0</v>
      </c>
      <c r="AG92" s="147">
        <f t="shared" si="71"/>
        <v>0</v>
      </c>
      <c r="AH92" s="144">
        <f t="shared" si="72"/>
        <v>1472983.3797358042</v>
      </c>
      <c r="AI92" s="142">
        <v>377</v>
      </c>
      <c r="AJ92" s="145">
        <f t="shared" si="73"/>
        <v>409.83014631799369</v>
      </c>
      <c r="AK92" s="147">
        <f t="shared" si="74"/>
        <v>1264898.628297538</v>
      </c>
      <c r="AL92" s="142">
        <v>1430</v>
      </c>
      <c r="AM92" s="145">
        <f t="shared" si="75"/>
        <v>1554.5281412061829</v>
      </c>
      <c r="AN92" s="147">
        <f t="shared" si="76"/>
        <v>792364.50563486305</v>
      </c>
      <c r="AO92" s="142">
        <v>532</v>
      </c>
      <c r="AP92" s="145">
        <f t="shared" si="77"/>
        <v>578.32795183334918</v>
      </c>
      <c r="AQ92" s="147">
        <f t="shared" si="78"/>
        <v>1018643.3109578484</v>
      </c>
      <c r="AR92" s="142">
        <v>625</v>
      </c>
      <c r="AS92" s="145">
        <f t="shared" si="79"/>
        <v>679.42663514256253</v>
      </c>
      <c r="AT92" s="147">
        <f t="shared" si="80"/>
        <v>982898.82975082344</v>
      </c>
      <c r="AU92" s="144">
        <f t="shared" si="81"/>
        <v>36404021.314199962</v>
      </c>
      <c r="AV92" s="148">
        <f>INDEX('Baselines+Historic Spend Factor'!P$9:P$159,MATCH('2019-20 StepbyStep Allocations'!C92,'Baselines+Historic Spend Factor'!C$9:C$159,0))</f>
        <v>39762398.578963116</v>
      </c>
      <c r="AW92" s="149">
        <v>71376.66</v>
      </c>
      <c r="AX92" s="150">
        <f t="shared" si="82"/>
        <v>557.07844243430714</v>
      </c>
      <c r="AY92" s="148">
        <f t="shared" si="83"/>
        <v>562.6492268586502</v>
      </c>
      <c r="AZ92" s="148">
        <f t="shared" si="84"/>
        <v>497.22236803038459</v>
      </c>
      <c r="BA92" s="148">
        <f t="shared" si="85"/>
        <v>562.6492268586502</v>
      </c>
      <c r="BB92" s="151">
        <f t="shared" si="86"/>
        <v>4790212.4209339367</v>
      </c>
      <c r="BC92" s="148">
        <f t="shared" si="87"/>
        <v>0</v>
      </c>
      <c r="BD92" s="144">
        <f t="shared" si="88"/>
        <v>4790212.4209339367</v>
      </c>
      <c r="BE92" s="144">
        <f t="shared" si="49"/>
        <v>41194233.735133901</v>
      </c>
      <c r="BF92" s="144">
        <f>INDEX('Hospital Education Funding'!$G$9:$G$159,MATCH(C92,'Hospital Education Funding'!$C$9:$C$158,0))</f>
        <v>0</v>
      </c>
      <c r="BG92" s="152">
        <f>INDEX('Import|Export Adjustments Data'!$Q$9:$Q$159,MATCH('2019-20 StepbyStep Allocations'!$C92,'Import|Export Adjustments Data'!$C$9:$C$159,0))</f>
        <v>-246.5</v>
      </c>
      <c r="BH92" s="144">
        <f t="shared" si="89"/>
        <v>-1479000</v>
      </c>
      <c r="BI92" s="153">
        <f>INDEX('Baselines+Historic Spend Factor'!$F$9:$F$159,MATCH('2019-20 StepbyStep Allocations'!C92,'Baselines+Historic Spend Factor'!C$9:C$159,0))-INDEX('Baselines+Historic Spend Factor'!$G$9:$G$159,MATCH('2019-20 StepbyStep Allocations'!C92,'Baselines+Historic Spend Factor'!C$9:C$159,0))</f>
        <v>41195901.952568449</v>
      </c>
      <c r="BJ92" s="154">
        <f t="shared" si="50"/>
        <v>42211175.421993621</v>
      </c>
      <c r="BK92" s="155">
        <f t="shared" si="90"/>
        <v>2.4645011307049991E-2</v>
      </c>
      <c r="BL92" s="156">
        <f t="shared" si="91"/>
        <v>557.07844243430714</v>
      </c>
      <c r="BM92" s="148">
        <f t="shared" si="51"/>
        <v>562.6492268586502</v>
      </c>
      <c r="BN92" s="148">
        <f t="shared" si="92"/>
        <v>562.6492268586502</v>
      </c>
      <c r="BO92" s="148">
        <f t="shared" si="52"/>
        <v>41194233.735133901</v>
      </c>
      <c r="BP92" s="144">
        <f t="shared" si="53"/>
        <v>42211175.421993621</v>
      </c>
      <c r="BQ92" s="148">
        <v>41636236.853780493</v>
      </c>
      <c r="BR92" s="157">
        <f t="shared" si="48"/>
        <v>1.3808610279363531E-2</v>
      </c>
      <c r="BT92" s="94"/>
      <c r="BU92" s="158"/>
      <c r="BX92" s="94"/>
    </row>
    <row r="93" spans="1:76" ht="15.4" x14ac:dyDescent="0.45">
      <c r="A93" s="139" t="s">
        <v>230</v>
      </c>
      <c r="B93" s="140" t="s">
        <v>182</v>
      </c>
      <c r="C93" s="102">
        <v>318</v>
      </c>
      <c r="D93" s="141" t="s">
        <v>199</v>
      </c>
      <c r="E93" s="348">
        <v>1.1116135618035334</v>
      </c>
      <c r="F93" s="142">
        <v>370.5</v>
      </c>
      <c r="G93" s="143">
        <f t="shared" si="54"/>
        <v>4446.4542472141338</v>
      </c>
      <c r="H93" s="144">
        <f t="shared" si="55"/>
        <v>1647411.2985928366</v>
      </c>
      <c r="I93" s="144">
        <f>INDEX('Baselines+Historic Spend Factor'!$Q$9:$Q$159,MATCH(C93,'Baselines+Historic Spend Factor'!$C$9:$C$159,0))</f>
        <v>11202855.505861318</v>
      </c>
      <c r="J93" s="142">
        <v>43133.62999999999</v>
      </c>
      <c r="K93" s="145">
        <f t="shared" si="56"/>
        <v>47947.928077815734</v>
      </c>
      <c r="L93" s="144">
        <f t="shared" si="57"/>
        <v>5618226.9055379052</v>
      </c>
      <c r="M93" s="142">
        <v>1644</v>
      </c>
      <c r="N93" s="145">
        <f t="shared" si="58"/>
        <v>1827.492695605009</v>
      </c>
      <c r="O93" s="144">
        <f t="shared" si="59"/>
        <v>448347.14088789298</v>
      </c>
      <c r="P93" s="142">
        <v>1533</v>
      </c>
      <c r="Q93" s="145">
        <f t="shared" si="60"/>
        <v>1704.1035902448168</v>
      </c>
      <c r="R93" s="147">
        <f t="shared" si="61"/>
        <v>58011.267583576104</v>
      </c>
      <c r="S93" s="142">
        <v>1676</v>
      </c>
      <c r="T93" s="145">
        <f t="shared" si="62"/>
        <v>1863.0643295827219</v>
      </c>
      <c r="U93" s="147">
        <f t="shared" si="63"/>
        <v>82371.080565116645</v>
      </c>
      <c r="V93" s="142">
        <v>371</v>
      </c>
      <c r="W93" s="145">
        <f t="shared" si="64"/>
        <v>412.40863142911093</v>
      </c>
      <c r="X93" s="147">
        <f t="shared" si="65"/>
        <v>24869.230591324264</v>
      </c>
      <c r="Y93" s="142">
        <v>311</v>
      </c>
      <c r="Z93" s="145">
        <f t="shared" si="66"/>
        <v>345.71181772089892</v>
      </c>
      <c r="AA93" s="147">
        <f t="shared" si="67"/>
        <v>22298.696862768931</v>
      </c>
      <c r="AB93" s="142">
        <v>0</v>
      </c>
      <c r="AC93" s="145">
        <f t="shared" si="68"/>
        <v>0</v>
      </c>
      <c r="AD93" s="147">
        <f t="shared" si="69"/>
        <v>0</v>
      </c>
      <c r="AE93" s="142">
        <v>0</v>
      </c>
      <c r="AF93" s="145">
        <f t="shared" si="70"/>
        <v>0</v>
      </c>
      <c r="AG93" s="147">
        <f t="shared" si="71"/>
        <v>0</v>
      </c>
      <c r="AH93" s="144">
        <f t="shared" si="72"/>
        <v>187550.27560278593</v>
      </c>
      <c r="AI93" s="142">
        <v>138</v>
      </c>
      <c r="AJ93" s="145">
        <f t="shared" si="73"/>
        <v>153.40267152888762</v>
      </c>
      <c r="AK93" s="147">
        <f t="shared" si="74"/>
        <v>473461.58045560168</v>
      </c>
      <c r="AL93" s="142">
        <v>900</v>
      </c>
      <c r="AM93" s="145">
        <f t="shared" si="75"/>
        <v>1000.4522056231801</v>
      </c>
      <c r="AN93" s="147">
        <f t="shared" si="76"/>
        <v>509944.33378660696</v>
      </c>
      <c r="AO93" s="142">
        <v>167</v>
      </c>
      <c r="AP93" s="145">
        <f t="shared" si="77"/>
        <v>185.63946482119007</v>
      </c>
      <c r="AQ93" s="147">
        <f t="shared" si="78"/>
        <v>326977.79605920066</v>
      </c>
      <c r="AR93" s="142">
        <v>233</v>
      </c>
      <c r="AS93" s="145">
        <f t="shared" si="79"/>
        <v>259.00595990022327</v>
      </c>
      <c r="AT93" s="147">
        <f t="shared" si="80"/>
        <v>374693.36896249431</v>
      </c>
      <c r="AU93" s="144">
        <f t="shared" si="81"/>
        <v>19142056.907153808</v>
      </c>
      <c r="AV93" s="148">
        <f>INDEX('Baselines+Historic Spend Factor'!P$9:P$159,MATCH('2019-20 StepbyStep Allocations'!C93,'Baselines+Historic Spend Factor'!C$9:C$159,0))</f>
        <v>22405711.011722635</v>
      </c>
      <c r="AW93" s="149">
        <v>42188.815999999999</v>
      </c>
      <c r="AX93" s="150">
        <f t="shared" si="82"/>
        <v>531.08176848865912</v>
      </c>
      <c r="AY93" s="148">
        <f t="shared" si="83"/>
        <v>536.39258617354574</v>
      </c>
      <c r="AZ93" s="148">
        <f t="shared" si="84"/>
        <v>443.78497490597965</v>
      </c>
      <c r="BA93" s="148">
        <f t="shared" si="85"/>
        <v>536.39258617354574</v>
      </c>
      <c r="BB93" s="151">
        <f t="shared" si="86"/>
        <v>3994502.4395990255</v>
      </c>
      <c r="BC93" s="148">
        <f t="shared" si="87"/>
        <v>0</v>
      </c>
      <c r="BD93" s="144">
        <f t="shared" si="88"/>
        <v>3994502.4395990255</v>
      </c>
      <c r="BE93" s="144">
        <f t="shared" si="49"/>
        <v>23136559.346752834</v>
      </c>
      <c r="BF93" s="144">
        <f>INDEX('Hospital Education Funding'!$G$9:$G$159,MATCH(C93,'Hospital Education Funding'!$C$9:$C$158,0))</f>
        <v>0</v>
      </c>
      <c r="BG93" s="152">
        <f>INDEX('Import|Export Adjustments Data'!$Q$9:$Q$159,MATCH('2019-20 StepbyStep Allocations'!$C93,'Import|Export Adjustments Data'!$C$9:$C$159,0))</f>
        <v>53</v>
      </c>
      <c r="BH93" s="144">
        <f t="shared" si="89"/>
        <v>318000</v>
      </c>
      <c r="BI93" s="153">
        <f>INDEX('Baselines+Historic Spend Factor'!$F$9:$F$159,MATCH('2019-20 StepbyStep Allocations'!C93,'Baselines+Historic Spend Factor'!C$9:C$159,0))-INDEX('Baselines+Historic Spend Factor'!$G$9:$G$159,MATCH('2019-20 StepbyStep Allocations'!C93,'Baselines+Historic Spend Factor'!C$9:C$159,0))</f>
        <v>24453541.632225294</v>
      </c>
      <c r="BJ93" s="154">
        <f t="shared" si="50"/>
        <v>25101970.645345669</v>
      </c>
      <c r="BK93" s="155">
        <f t="shared" si="90"/>
        <v>2.6516773025051954E-2</v>
      </c>
      <c r="BL93" s="156">
        <f t="shared" si="91"/>
        <v>531.08176848865912</v>
      </c>
      <c r="BM93" s="148">
        <f t="shared" si="51"/>
        <v>536.39258617354574</v>
      </c>
      <c r="BN93" s="148">
        <f t="shared" si="92"/>
        <v>536.39258617354574</v>
      </c>
      <c r="BO93" s="148">
        <f t="shared" si="52"/>
        <v>23136559.346752834</v>
      </c>
      <c r="BP93" s="144">
        <f t="shared" si="53"/>
        <v>25101970.645345669</v>
      </c>
      <c r="BQ93" s="148">
        <v>24852838.23701556</v>
      </c>
      <c r="BR93" s="157">
        <f t="shared" si="48"/>
        <v>1.0024304103788628E-2</v>
      </c>
      <c r="BT93" s="94"/>
      <c r="BU93" s="158"/>
      <c r="BX93" s="94"/>
    </row>
    <row r="94" spans="1:76" ht="15.4" x14ac:dyDescent="0.45">
      <c r="A94" s="139" t="s">
        <v>152</v>
      </c>
      <c r="B94" s="140" t="s">
        <v>182</v>
      </c>
      <c r="C94" s="102">
        <v>319</v>
      </c>
      <c r="D94" s="141" t="s">
        <v>200</v>
      </c>
      <c r="E94" s="348">
        <v>1.1116135618035334</v>
      </c>
      <c r="F94" s="142">
        <v>560.5</v>
      </c>
      <c r="G94" s="143">
        <f t="shared" si="54"/>
        <v>4446.4542472141338</v>
      </c>
      <c r="H94" s="144">
        <f t="shared" si="55"/>
        <v>2492237.6055635219</v>
      </c>
      <c r="I94" s="144">
        <f>INDEX('Baselines+Historic Spend Factor'!$Q$9:$Q$159,MATCH(C94,'Baselines+Historic Spend Factor'!$C$9:$C$159,0))</f>
        <v>16830504.635167155</v>
      </c>
      <c r="J94" s="142">
        <v>46017.49</v>
      </c>
      <c r="K94" s="145">
        <f t="shared" si="56"/>
        <v>51153.665964158477</v>
      </c>
      <c r="L94" s="144">
        <f t="shared" si="57"/>
        <v>5993854.4574922519</v>
      </c>
      <c r="M94" s="142">
        <v>3947</v>
      </c>
      <c r="N94" s="145">
        <f t="shared" si="58"/>
        <v>4387.5387284385461</v>
      </c>
      <c r="O94" s="144">
        <f t="shared" si="59"/>
        <v>1076414.9422655192</v>
      </c>
      <c r="P94" s="142">
        <v>2363</v>
      </c>
      <c r="Q94" s="145">
        <f t="shared" si="60"/>
        <v>2626.7428465417497</v>
      </c>
      <c r="R94" s="147">
        <f t="shared" si="61"/>
        <v>89419.846901494035</v>
      </c>
      <c r="S94" s="142">
        <v>5510</v>
      </c>
      <c r="T94" s="145">
        <f t="shared" si="62"/>
        <v>6124.9907255374692</v>
      </c>
      <c r="U94" s="147">
        <f t="shared" si="63"/>
        <v>270802.29947123671</v>
      </c>
      <c r="V94" s="142">
        <v>1038</v>
      </c>
      <c r="W94" s="145">
        <f t="shared" si="64"/>
        <v>1153.8548771520677</v>
      </c>
      <c r="X94" s="147">
        <f t="shared" si="65"/>
        <v>69580.219282465187</v>
      </c>
      <c r="Y94" s="142">
        <v>1137</v>
      </c>
      <c r="Z94" s="145">
        <f t="shared" si="66"/>
        <v>1263.9046197706175</v>
      </c>
      <c r="AA94" s="147">
        <f t="shared" si="67"/>
        <v>81522.888530444601</v>
      </c>
      <c r="AB94" s="142">
        <v>1683</v>
      </c>
      <c r="AC94" s="145">
        <f t="shared" si="68"/>
        <v>1870.8456245153468</v>
      </c>
      <c r="AD94" s="147">
        <f t="shared" si="69"/>
        <v>132140.03402285776</v>
      </c>
      <c r="AE94" s="142">
        <v>0</v>
      </c>
      <c r="AF94" s="145">
        <f t="shared" si="70"/>
        <v>0</v>
      </c>
      <c r="AG94" s="147">
        <f t="shared" si="71"/>
        <v>0</v>
      </c>
      <c r="AH94" s="144">
        <f t="shared" si="72"/>
        <v>643465.28820849839</v>
      </c>
      <c r="AI94" s="142">
        <v>182</v>
      </c>
      <c r="AJ94" s="145">
        <f t="shared" si="73"/>
        <v>202.31366824824309</v>
      </c>
      <c r="AK94" s="147">
        <f t="shared" si="74"/>
        <v>624420.34523854707</v>
      </c>
      <c r="AL94" s="142">
        <v>1510</v>
      </c>
      <c r="AM94" s="145">
        <f t="shared" si="75"/>
        <v>1678.5364783233356</v>
      </c>
      <c r="AN94" s="147">
        <f t="shared" si="76"/>
        <v>855573.27113086276</v>
      </c>
      <c r="AO94" s="142">
        <v>229</v>
      </c>
      <c r="AP94" s="145">
        <f t="shared" si="77"/>
        <v>254.55950565300915</v>
      </c>
      <c r="AQ94" s="147">
        <f t="shared" si="78"/>
        <v>448370.75028477225</v>
      </c>
      <c r="AR94" s="142">
        <v>370</v>
      </c>
      <c r="AS94" s="145">
        <f t="shared" si="79"/>
        <v>411.29701786730737</v>
      </c>
      <c r="AT94" s="147">
        <f t="shared" si="80"/>
        <v>595006.63740825281</v>
      </c>
      <c r="AU94" s="144">
        <f t="shared" si="81"/>
        <v>27067610.32719586</v>
      </c>
      <c r="AV94" s="148">
        <f>INDEX('Baselines+Historic Spend Factor'!P$9:P$159,MATCH('2019-20 StepbyStep Allocations'!C94,'Baselines+Historic Spend Factor'!C$9:C$159,0))</f>
        <v>33661009.270334311</v>
      </c>
      <c r="AW94" s="149">
        <v>44480.386000000006</v>
      </c>
      <c r="AX94" s="150">
        <f t="shared" si="82"/>
        <v>756.76072753357641</v>
      </c>
      <c r="AY94" s="148">
        <f t="shared" si="83"/>
        <v>764.32833480891213</v>
      </c>
      <c r="AZ94" s="148">
        <f t="shared" si="84"/>
        <v>588.20266657733532</v>
      </c>
      <c r="BA94" s="148">
        <f t="shared" si="85"/>
        <v>764.32833480891213</v>
      </c>
      <c r="BB94" s="151">
        <f t="shared" si="86"/>
        <v>8104861.1765899034</v>
      </c>
      <c r="BC94" s="148">
        <f t="shared" si="87"/>
        <v>0</v>
      </c>
      <c r="BD94" s="144">
        <f t="shared" si="88"/>
        <v>8104861.1765899034</v>
      </c>
      <c r="BE94" s="144">
        <f t="shared" si="49"/>
        <v>35172471.503785767</v>
      </c>
      <c r="BF94" s="144">
        <f>INDEX('Hospital Education Funding'!$G$9:$G$159,MATCH(C94,'Hospital Education Funding'!$C$9:$C$158,0))</f>
        <v>268660</v>
      </c>
      <c r="BG94" s="152">
        <f>INDEX('Import|Export Adjustments Data'!$Q$9:$Q$159,MATCH('2019-20 StepbyStep Allocations'!$C94,'Import|Export Adjustments Data'!$C$9:$C$159,0))</f>
        <v>3</v>
      </c>
      <c r="BH94" s="144">
        <f t="shared" si="89"/>
        <v>18000</v>
      </c>
      <c r="BI94" s="153">
        <f>INDEX('Baselines+Historic Spend Factor'!$F$9:$F$159,MATCH('2019-20 StepbyStep Allocations'!C94,'Baselines+Historic Spend Factor'!C$9:C$159,0))-INDEX('Baselines+Historic Spend Factor'!$G$9:$G$159,MATCH('2019-20 StepbyStep Allocations'!C94,'Baselines+Historic Spend Factor'!C$9:C$159,0))</f>
        <v>35509494.359670848</v>
      </c>
      <c r="BJ94" s="154">
        <f t="shared" si="50"/>
        <v>37951369.109349288</v>
      </c>
      <c r="BK94" s="155">
        <f t="shared" si="90"/>
        <v>6.8766812755626017E-2</v>
      </c>
      <c r="BL94" s="156">
        <f t="shared" si="91"/>
        <v>756.76072753357641</v>
      </c>
      <c r="BM94" s="148">
        <f t="shared" si="51"/>
        <v>764.32833480891213</v>
      </c>
      <c r="BN94" s="148">
        <f t="shared" si="92"/>
        <v>764.32833480891213</v>
      </c>
      <c r="BO94" s="148">
        <f t="shared" si="52"/>
        <v>35172471.503785767</v>
      </c>
      <c r="BP94" s="144">
        <f t="shared" si="53"/>
        <v>37951369.109349288</v>
      </c>
      <c r="BQ94" s="148">
        <v>37220635.768476598</v>
      </c>
      <c r="BR94" s="157">
        <f t="shared" si="48"/>
        <v>1.9632478752326321E-2</v>
      </c>
      <c r="BT94" s="94"/>
      <c r="BU94" s="158"/>
      <c r="BX94" s="94"/>
    </row>
    <row r="95" spans="1:76" ht="15.4" x14ac:dyDescent="0.45">
      <c r="A95" s="139" t="s">
        <v>264</v>
      </c>
      <c r="B95" s="140" t="s">
        <v>182</v>
      </c>
      <c r="C95" s="102">
        <v>320</v>
      </c>
      <c r="D95" s="141" t="s">
        <v>201</v>
      </c>
      <c r="E95" s="348">
        <v>1.0870826162281</v>
      </c>
      <c r="F95" s="142">
        <v>750</v>
      </c>
      <c r="G95" s="143">
        <f t="shared" si="54"/>
        <v>4348.3304649124002</v>
      </c>
      <c r="H95" s="144">
        <f t="shared" si="55"/>
        <v>3261247.8486843002</v>
      </c>
      <c r="I95" s="144">
        <f>INDEX('Baselines+Historic Spend Factor'!$Q$9:$Q$159,MATCH(C95,'Baselines+Historic Spend Factor'!$C$9:$C$159,0))</f>
        <v>15661426.342139134</v>
      </c>
      <c r="J95" s="142">
        <v>62057.191999999995</v>
      </c>
      <c r="K95" s="145">
        <f t="shared" si="56"/>
        <v>67461.29463512951</v>
      </c>
      <c r="L95" s="144">
        <f t="shared" si="57"/>
        <v>7904676.5062798206</v>
      </c>
      <c r="M95" s="142">
        <v>6126</v>
      </c>
      <c r="N95" s="145">
        <f t="shared" si="58"/>
        <v>6659.4681070133402</v>
      </c>
      <c r="O95" s="144">
        <f t="shared" si="59"/>
        <v>1633797.7671779846</v>
      </c>
      <c r="P95" s="142">
        <v>14490</v>
      </c>
      <c r="Q95" s="145">
        <f t="shared" si="60"/>
        <v>15751.827109145168</v>
      </c>
      <c r="R95" s="147">
        <f t="shared" si="61"/>
        <v>536225.29908969405</v>
      </c>
      <c r="S95" s="142">
        <v>10475</v>
      </c>
      <c r="T95" s="145">
        <f t="shared" si="62"/>
        <v>11387.190404989347</v>
      </c>
      <c r="U95" s="147">
        <f t="shared" si="63"/>
        <v>503458.28824374679</v>
      </c>
      <c r="V95" s="142">
        <v>11394</v>
      </c>
      <c r="W95" s="145">
        <f t="shared" si="64"/>
        <v>12386.21932930297</v>
      </c>
      <c r="X95" s="147">
        <f t="shared" si="65"/>
        <v>746918.76255771751</v>
      </c>
      <c r="Y95" s="142">
        <v>4526</v>
      </c>
      <c r="Z95" s="145">
        <f t="shared" si="66"/>
        <v>4920.1359210483806</v>
      </c>
      <c r="AA95" s="147">
        <f t="shared" si="67"/>
        <v>317352.81758765836</v>
      </c>
      <c r="AB95" s="142">
        <v>4248</v>
      </c>
      <c r="AC95" s="145">
        <f t="shared" si="68"/>
        <v>4617.9269537369692</v>
      </c>
      <c r="AD95" s="147">
        <f t="shared" si="69"/>
        <v>326169.62981109362</v>
      </c>
      <c r="AE95" s="142">
        <v>1146</v>
      </c>
      <c r="AF95" s="145">
        <f t="shared" si="70"/>
        <v>1245.7966781974026</v>
      </c>
      <c r="AG95" s="147">
        <f t="shared" si="71"/>
        <v>119068.17699410615</v>
      </c>
      <c r="AH95" s="144">
        <f t="shared" si="72"/>
        <v>2549192.9742840165</v>
      </c>
      <c r="AI95" s="142">
        <v>518</v>
      </c>
      <c r="AJ95" s="145">
        <f t="shared" si="73"/>
        <v>563.10879520615583</v>
      </c>
      <c r="AK95" s="147">
        <f t="shared" si="74"/>
        <v>1737977.4256183682</v>
      </c>
      <c r="AL95" s="142">
        <v>1650</v>
      </c>
      <c r="AM95" s="145">
        <f t="shared" si="75"/>
        <v>1793.6863167763649</v>
      </c>
      <c r="AN95" s="147">
        <f t="shared" si="76"/>
        <v>914266.73727099586</v>
      </c>
      <c r="AO95" s="142">
        <v>651</v>
      </c>
      <c r="AP95" s="145">
        <f t="shared" si="77"/>
        <v>707.69078316449304</v>
      </c>
      <c r="AQ95" s="147">
        <f t="shared" si="78"/>
        <v>1246497.7357773671</v>
      </c>
      <c r="AR95" s="142">
        <v>466</v>
      </c>
      <c r="AS95" s="145">
        <f t="shared" si="79"/>
        <v>506.58049916229459</v>
      </c>
      <c r="AT95" s="147">
        <f t="shared" si="80"/>
        <v>732849.36746221397</v>
      </c>
      <c r="AU95" s="144">
        <f t="shared" si="81"/>
        <v>32380684.856009901</v>
      </c>
      <c r="AV95" s="148">
        <f>INDEX('Baselines+Historic Spend Factor'!P$9:P$159,MATCH('2019-20 StepbyStep Allocations'!C95,'Baselines+Historic Spend Factor'!C$9:C$159,0))</f>
        <v>31322852.684278268</v>
      </c>
      <c r="AW95" s="149">
        <v>60528.260999999984</v>
      </c>
      <c r="AX95" s="150">
        <f t="shared" si="82"/>
        <v>517.49136959805071</v>
      </c>
      <c r="AY95" s="148">
        <f t="shared" si="83"/>
        <v>522.66628329403125</v>
      </c>
      <c r="AZ95" s="148">
        <f t="shared" si="84"/>
        <v>521.78778659546674</v>
      </c>
      <c r="BA95" s="148">
        <f t="shared" si="85"/>
        <v>522.66628329403125</v>
      </c>
      <c r="BB95" s="151">
        <f t="shared" si="86"/>
        <v>54517.038294183556</v>
      </c>
      <c r="BC95" s="148">
        <f t="shared" si="87"/>
        <v>0</v>
      </c>
      <c r="BD95" s="144">
        <f t="shared" si="88"/>
        <v>54517.038294183556</v>
      </c>
      <c r="BE95" s="144">
        <f t="shared" si="49"/>
        <v>32435201.894304086</v>
      </c>
      <c r="BF95" s="144">
        <f>INDEX('Hospital Education Funding'!$G$9:$G$159,MATCH(C95,'Hospital Education Funding'!$C$9:$C$158,0))</f>
        <v>366630</v>
      </c>
      <c r="BG95" s="152">
        <f>INDEX('Import|Export Adjustments Data'!$Q$9:$Q$159,MATCH('2019-20 StepbyStep Allocations'!$C95,'Import|Export Adjustments Data'!$C$9:$C$159,0))</f>
        <v>67.5</v>
      </c>
      <c r="BH95" s="144">
        <f t="shared" si="89"/>
        <v>405000</v>
      </c>
      <c r="BI95" s="153">
        <f>INDEX('Baselines+Historic Spend Factor'!$F$9:$F$159,MATCH('2019-20 StepbyStep Allocations'!C95,'Baselines+Historic Spend Factor'!C$9:C$159,0))-INDEX('Baselines+Historic Spend Factor'!$G$9:$G$159,MATCH('2019-20 StepbyStep Allocations'!C95,'Baselines+Historic Spend Factor'!C$9:C$159,0))</f>
        <v>35321881.376335375</v>
      </c>
      <c r="BJ95" s="154">
        <f t="shared" si="50"/>
        <v>36468079.742988385</v>
      </c>
      <c r="BK95" s="155">
        <f t="shared" si="90"/>
        <v>3.2450093879227149E-2</v>
      </c>
      <c r="BL95" s="156">
        <f t="shared" si="91"/>
        <v>517.49136959805071</v>
      </c>
      <c r="BM95" s="148">
        <f t="shared" si="51"/>
        <v>522.66628329403125</v>
      </c>
      <c r="BN95" s="148">
        <f t="shared" si="92"/>
        <v>522.66628329403125</v>
      </c>
      <c r="BO95" s="148">
        <f t="shared" si="52"/>
        <v>32435201.894304086</v>
      </c>
      <c r="BP95" s="144">
        <f t="shared" si="53"/>
        <v>36468079.742988385</v>
      </c>
      <c r="BQ95" s="148">
        <v>36298713.560491443</v>
      </c>
      <c r="BR95" s="157">
        <f t="shared" si="48"/>
        <v>4.6659004103464241E-3</v>
      </c>
      <c r="BT95" s="94"/>
      <c r="BU95" s="158"/>
      <c r="BX95" s="94"/>
    </row>
    <row r="96" spans="1:76" ht="15.4" x14ac:dyDescent="0.45">
      <c r="A96" s="139" t="s">
        <v>115</v>
      </c>
      <c r="B96" s="140" t="s">
        <v>202</v>
      </c>
      <c r="C96" s="102">
        <v>867</v>
      </c>
      <c r="D96" s="141" t="s">
        <v>203</v>
      </c>
      <c r="E96" s="348">
        <v>1.0744343550114952</v>
      </c>
      <c r="F96" s="142">
        <v>209</v>
      </c>
      <c r="G96" s="143">
        <f t="shared" si="54"/>
        <v>4297.7374200459808</v>
      </c>
      <c r="H96" s="144">
        <f t="shared" si="55"/>
        <v>898227.12078960997</v>
      </c>
      <c r="I96" s="144">
        <f>INDEX('Baselines+Historic Spend Factor'!$Q$9:$Q$159,MATCH(C96,'Baselines+Historic Spend Factor'!$C$9:$C$159,0))</f>
        <v>7597056.3804125162</v>
      </c>
      <c r="J96" s="142">
        <v>27437.103000000003</v>
      </c>
      <c r="K96" s="145">
        <f t="shared" si="56"/>
        <v>29479.366065188962</v>
      </c>
      <c r="L96" s="144">
        <f t="shared" si="57"/>
        <v>3454200.7178465468</v>
      </c>
      <c r="M96" s="142">
        <v>1238</v>
      </c>
      <c r="N96" s="145">
        <f t="shared" si="58"/>
        <v>1330.1497315042311</v>
      </c>
      <c r="O96" s="144">
        <f t="shared" si="59"/>
        <v>326331.71695128817</v>
      </c>
      <c r="P96" s="142">
        <v>1759</v>
      </c>
      <c r="Q96" s="145">
        <f t="shared" si="60"/>
        <v>1889.9300304652202</v>
      </c>
      <c r="R96" s="147">
        <f t="shared" si="61"/>
        <v>64337.190144528242</v>
      </c>
      <c r="S96" s="142">
        <v>613</v>
      </c>
      <c r="T96" s="145">
        <f t="shared" si="62"/>
        <v>658.62825962204658</v>
      </c>
      <c r="U96" s="147">
        <f t="shared" si="63"/>
        <v>29119.725268928953</v>
      </c>
      <c r="V96" s="142">
        <v>318</v>
      </c>
      <c r="W96" s="145">
        <f t="shared" si="64"/>
        <v>341.6701248936555</v>
      </c>
      <c r="X96" s="147">
        <f t="shared" si="65"/>
        <v>20603.528817285303</v>
      </c>
      <c r="Y96" s="142">
        <v>0</v>
      </c>
      <c r="Z96" s="145">
        <f t="shared" si="66"/>
        <v>0</v>
      </c>
      <c r="AA96" s="147">
        <f t="shared" si="67"/>
        <v>0</v>
      </c>
      <c r="AB96" s="142">
        <v>0</v>
      </c>
      <c r="AC96" s="145">
        <f t="shared" si="68"/>
        <v>0</v>
      </c>
      <c r="AD96" s="147">
        <f t="shared" si="69"/>
        <v>0</v>
      </c>
      <c r="AE96" s="142">
        <v>0</v>
      </c>
      <c r="AF96" s="145">
        <f t="shared" si="70"/>
        <v>0</v>
      </c>
      <c r="AG96" s="147">
        <f t="shared" si="71"/>
        <v>0</v>
      </c>
      <c r="AH96" s="144">
        <f t="shared" si="72"/>
        <v>114060.44423074249</v>
      </c>
      <c r="AI96" s="142">
        <v>97</v>
      </c>
      <c r="AJ96" s="145">
        <f t="shared" si="73"/>
        <v>104.22013243611504</v>
      </c>
      <c r="AK96" s="147">
        <f t="shared" si="74"/>
        <v>321664.72804355959</v>
      </c>
      <c r="AL96" s="142">
        <v>760</v>
      </c>
      <c r="AM96" s="145">
        <f t="shared" si="75"/>
        <v>816.57010980873633</v>
      </c>
      <c r="AN96" s="147">
        <f t="shared" si="76"/>
        <v>416217.08493020345</v>
      </c>
      <c r="AO96" s="142">
        <v>205</v>
      </c>
      <c r="AP96" s="145">
        <f t="shared" si="77"/>
        <v>220.25904277735651</v>
      </c>
      <c r="AQ96" s="147">
        <f t="shared" si="78"/>
        <v>387955.31132789841</v>
      </c>
      <c r="AR96" s="142">
        <v>246</v>
      </c>
      <c r="AS96" s="145">
        <f t="shared" si="79"/>
        <v>264.31085133282784</v>
      </c>
      <c r="AT96" s="147">
        <f t="shared" si="80"/>
        <v>382367.73924968229</v>
      </c>
      <c r="AU96" s="144">
        <f t="shared" si="81"/>
        <v>12999854.122992439</v>
      </c>
      <c r="AV96" s="148">
        <f>INDEX('Baselines+Historic Spend Factor'!P$9:P$159,MATCH('2019-20 StepbyStep Allocations'!C96,'Baselines+Historic Spend Factor'!C$9:C$159,0))</f>
        <v>15194112.760825032</v>
      </c>
      <c r="AW96" s="149">
        <v>27003.224000000002</v>
      </c>
      <c r="AX96" s="150">
        <f t="shared" si="82"/>
        <v>562.67772917874663</v>
      </c>
      <c r="AY96" s="148">
        <f t="shared" si="83"/>
        <v>568.30450647053408</v>
      </c>
      <c r="AZ96" s="148">
        <f t="shared" si="84"/>
        <v>473.80563913735489</v>
      </c>
      <c r="BA96" s="148">
        <f t="shared" si="85"/>
        <v>568.30450647053408</v>
      </c>
      <c r="BB96" s="151">
        <f t="shared" si="86"/>
        <v>2592775.156403773</v>
      </c>
      <c r="BC96" s="148">
        <f t="shared" si="87"/>
        <v>0</v>
      </c>
      <c r="BD96" s="144">
        <f t="shared" si="88"/>
        <v>2592775.156403773</v>
      </c>
      <c r="BE96" s="144">
        <f t="shared" si="49"/>
        <v>15592629.279396212</v>
      </c>
      <c r="BF96" s="144">
        <f>INDEX('Hospital Education Funding'!$G$9:$G$159,MATCH(C96,'Hospital Education Funding'!$C$9:$C$158,0))</f>
        <v>20200</v>
      </c>
      <c r="BG96" s="152">
        <f>INDEX('Import|Export Adjustments Data'!$Q$9:$Q$159,MATCH('2019-20 StepbyStep Allocations'!$C96,'Import|Export Adjustments Data'!$C$9:$C$159,0))</f>
        <v>-72</v>
      </c>
      <c r="BH96" s="144">
        <f t="shared" si="89"/>
        <v>-432000</v>
      </c>
      <c r="BI96" s="153">
        <f>INDEX('Baselines+Historic Spend Factor'!$F$9:$F$159,MATCH('2019-20 StepbyStep Allocations'!C96,'Baselines+Historic Spend Factor'!C$9:C$159,0))-INDEX('Baselines+Historic Spend Factor'!$G$9:$G$159,MATCH('2019-20 StepbyStep Allocations'!C96,'Baselines+Historic Spend Factor'!C$9:C$159,0))</f>
        <v>15497576.082893906</v>
      </c>
      <c r="BJ96" s="154">
        <f t="shared" si="50"/>
        <v>16079056.400185822</v>
      </c>
      <c r="BK96" s="155">
        <f t="shared" si="90"/>
        <v>3.7520726736986143E-2</v>
      </c>
      <c r="BL96" s="156">
        <f t="shared" si="91"/>
        <v>562.67772917874663</v>
      </c>
      <c r="BM96" s="148">
        <f t="shared" si="51"/>
        <v>568.30450647053408</v>
      </c>
      <c r="BN96" s="148">
        <f t="shared" si="92"/>
        <v>568.30450647053408</v>
      </c>
      <c r="BO96" s="148">
        <f t="shared" si="52"/>
        <v>15592629.279396212</v>
      </c>
      <c r="BP96" s="144">
        <f t="shared" si="53"/>
        <v>16079056.400185822</v>
      </c>
      <c r="BQ96" s="148">
        <v>15888415.705584997</v>
      </c>
      <c r="BR96" s="157">
        <f t="shared" si="48"/>
        <v>1.1998722725627742E-2</v>
      </c>
      <c r="BT96" s="94"/>
      <c r="BU96" s="158"/>
      <c r="BX96" s="94"/>
    </row>
    <row r="97" spans="1:76" ht="15.4" x14ac:dyDescent="0.45">
      <c r="A97" s="139" t="s">
        <v>153</v>
      </c>
      <c r="B97" s="140" t="s">
        <v>202</v>
      </c>
      <c r="C97" s="102">
        <v>846</v>
      </c>
      <c r="D97" s="141" t="s">
        <v>204</v>
      </c>
      <c r="E97" s="348">
        <v>1.0025438138502634</v>
      </c>
      <c r="F97" s="142">
        <v>478</v>
      </c>
      <c r="G97" s="143">
        <f t="shared" si="54"/>
        <v>4010.1752554010536</v>
      </c>
      <c r="H97" s="144">
        <f t="shared" si="55"/>
        <v>1916863.7720817036</v>
      </c>
      <c r="I97" s="144">
        <f>INDEX('Baselines+Historic Spend Factor'!$Q$9:$Q$159,MATCH(C97,'Baselines+Historic Spend Factor'!$C$9:$C$159,0))</f>
        <v>11464348.14856557</v>
      </c>
      <c r="J97" s="142">
        <v>49060.498999999996</v>
      </c>
      <c r="K97" s="145">
        <f t="shared" si="56"/>
        <v>49185.299776857028</v>
      </c>
      <c r="L97" s="144">
        <f t="shared" si="57"/>
        <v>5763214.0874745827</v>
      </c>
      <c r="M97" s="142">
        <v>4001</v>
      </c>
      <c r="N97" s="145">
        <f t="shared" si="58"/>
        <v>4011.1777992149036</v>
      </c>
      <c r="O97" s="144">
        <f t="shared" si="59"/>
        <v>984080.59424588573</v>
      </c>
      <c r="P97" s="142">
        <v>3747</v>
      </c>
      <c r="Q97" s="145">
        <f t="shared" si="60"/>
        <v>3756.5316704969368</v>
      </c>
      <c r="R97" s="147">
        <f t="shared" si="61"/>
        <v>127880.23285137772</v>
      </c>
      <c r="S97" s="142">
        <v>3016</v>
      </c>
      <c r="T97" s="145">
        <f t="shared" si="62"/>
        <v>3023.6721425723945</v>
      </c>
      <c r="U97" s="147">
        <f t="shared" si="63"/>
        <v>133684.67084231775</v>
      </c>
      <c r="V97" s="142">
        <v>2208</v>
      </c>
      <c r="W97" s="145">
        <f t="shared" si="64"/>
        <v>2213.6167409813816</v>
      </c>
      <c r="X97" s="147">
        <f t="shared" si="65"/>
        <v>133486.4039618056</v>
      </c>
      <c r="Y97" s="142">
        <v>2355</v>
      </c>
      <c r="Z97" s="145">
        <f t="shared" si="66"/>
        <v>2360.9906816173702</v>
      </c>
      <c r="AA97" s="147">
        <f t="shared" si="67"/>
        <v>152285.84273538218</v>
      </c>
      <c r="AB97" s="142">
        <v>4656</v>
      </c>
      <c r="AC97" s="145">
        <f t="shared" si="68"/>
        <v>4667.8439972868264</v>
      </c>
      <c r="AD97" s="147">
        <f t="shared" si="69"/>
        <v>329695.32949821098</v>
      </c>
      <c r="AE97" s="142">
        <v>417</v>
      </c>
      <c r="AF97" s="145">
        <f t="shared" si="70"/>
        <v>418.0607703755598</v>
      </c>
      <c r="AG97" s="147">
        <f t="shared" si="71"/>
        <v>39956.547221971327</v>
      </c>
      <c r="AH97" s="144">
        <f t="shared" si="72"/>
        <v>916989.02711106557</v>
      </c>
      <c r="AI97" s="142">
        <v>256</v>
      </c>
      <c r="AJ97" s="145">
        <f t="shared" si="73"/>
        <v>256.65121634566742</v>
      </c>
      <c r="AK97" s="147">
        <f t="shared" si="74"/>
        <v>792127.60316230578</v>
      </c>
      <c r="AL97" s="142">
        <v>1680</v>
      </c>
      <c r="AM97" s="145">
        <f t="shared" si="75"/>
        <v>1684.2736072684424</v>
      </c>
      <c r="AN97" s="147">
        <f t="shared" si="76"/>
        <v>858497.56514642551</v>
      </c>
      <c r="AO97" s="142">
        <v>466</v>
      </c>
      <c r="AP97" s="145">
        <f t="shared" si="77"/>
        <v>467.18541725422273</v>
      </c>
      <c r="AQ97" s="147">
        <f t="shared" si="78"/>
        <v>822881.37509943359</v>
      </c>
      <c r="AR97" s="142">
        <v>651</v>
      </c>
      <c r="AS97" s="145">
        <f t="shared" si="79"/>
        <v>652.6560228165215</v>
      </c>
      <c r="AT97" s="147">
        <f t="shared" si="80"/>
        <v>944170.87567016319</v>
      </c>
      <c r="AU97" s="144">
        <f t="shared" si="81"/>
        <v>22546309.27647543</v>
      </c>
      <c r="AV97" s="148">
        <f>INDEX('Baselines+Historic Spend Factor'!P$9:P$159,MATCH('2019-20 StepbyStep Allocations'!C97,'Baselines+Historic Spend Factor'!C$9:C$159,0))</f>
        <v>22928696.29713114</v>
      </c>
      <c r="AW97" s="149">
        <v>48771.000999999989</v>
      </c>
      <c r="AX97" s="150">
        <f t="shared" si="82"/>
        <v>470.12970468109</v>
      </c>
      <c r="AY97" s="148">
        <f t="shared" si="83"/>
        <v>474.83100172790091</v>
      </c>
      <c r="AZ97" s="148">
        <f t="shared" si="84"/>
        <v>459.56135253486582</v>
      </c>
      <c r="BA97" s="148">
        <f t="shared" si="85"/>
        <v>474.83100172790091</v>
      </c>
      <c r="BB97" s="151">
        <f t="shared" si="86"/>
        <v>749136.60896524892</v>
      </c>
      <c r="BC97" s="148">
        <f t="shared" si="87"/>
        <v>0</v>
      </c>
      <c r="BD97" s="144">
        <f t="shared" si="88"/>
        <v>749136.60896524892</v>
      </c>
      <c r="BE97" s="144">
        <f t="shared" si="49"/>
        <v>23295445.885440677</v>
      </c>
      <c r="BF97" s="144">
        <f>INDEX('Hospital Education Funding'!$G$9:$G$159,MATCH(C97,'Hospital Education Funding'!$C$9:$C$158,0))</f>
        <v>0</v>
      </c>
      <c r="BG97" s="152">
        <f>INDEX('Import|Export Adjustments Data'!$Q$9:$Q$159,MATCH('2019-20 StepbyStep Allocations'!$C97,'Import|Export Adjustments Data'!$C$9:$C$159,0))</f>
        <v>-48.5</v>
      </c>
      <c r="BH97" s="144">
        <f t="shared" si="89"/>
        <v>-291000</v>
      </c>
      <c r="BI97" s="153">
        <f>INDEX('Baselines+Historic Spend Factor'!$F$9:$F$159,MATCH('2019-20 StepbyStep Allocations'!C97,'Baselines+Historic Spend Factor'!C$9:C$159,0))-INDEX('Baselines+Historic Spend Factor'!$G$9:$G$159,MATCH('2019-20 StepbyStep Allocations'!C97,'Baselines+Historic Spend Factor'!C$9:C$159,0))</f>
        <v>24587376.914615624</v>
      </c>
      <c r="BJ97" s="154">
        <f t="shared" si="50"/>
        <v>24921309.65752238</v>
      </c>
      <c r="BK97" s="155">
        <f t="shared" si="90"/>
        <v>1.3581470852559896E-2</v>
      </c>
      <c r="BL97" s="156">
        <f t="shared" si="91"/>
        <v>470.12970468109</v>
      </c>
      <c r="BM97" s="148">
        <f t="shared" si="51"/>
        <v>474.83100172790091</v>
      </c>
      <c r="BN97" s="148">
        <f t="shared" si="92"/>
        <v>474.83100172790091</v>
      </c>
      <c r="BO97" s="148">
        <f t="shared" si="52"/>
        <v>23295445.885440677</v>
      </c>
      <c r="BP97" s="144">
        <f t="shared" si="53"/>
        <v>24921309.65752238</v>
      </c>
      <c r="BQ97" s="148">
        <v>24758255.808099188</v>
      </c>
      <c r="BR97" s="157">
        <f t="shared" si="48"/>
        <v>6.5858374954608223E-3</v>
      </c>
      <c r="BT97" s="94"/>
      <c r="BU97" s="158"/>
      <c r="BX97" s="94"/>
    </row>
    <row r="98" spans="1:76" ht="15.4" x14ac:dyDescent="0.45">
      <c r="A98" s="139" t="s">
        <v>116</v>
      </c>
      <c r="B98" s="140" t="s">
        <v>202</v>
      </c>
      <c r="C98" s="102">
        <v>825</v>
      </c>
      <c r="D98" s="141" t="s">
        <v>205</v>
      </c>
      <c r="E98" s="348">
        <v>1.0480374594349251</v>
      </c>
      <c r="F98" s="142">
        <v>1492</v>
      </c>
      <c r="G98" s="143">
        <f t="shared" si="54"/>
        <v>4192.1498377397002</v>
      </c>
      <c r="H98" s="144">
        <f t="shared" si="55"/>
        <v>6254687.5579076326</v>
      </c>
      <c r="I98" s="144">
        <f>INDEX('Baselines+Historic Spend Factor'!$Q$9:$Q$159,MATCH(C98,'Baselines+Historic Spend Factor'!$C$9:$C$159,0))</f>
        <v>36813932.972700424</v>
      </c>
      <c r="J98" s="142">
        <v>120153.87800000001</v>
      </c>
      <c r="K98" s="145">
        <f t="shared" si="56"/>
        <v>125925.76504037395</v>
      </c>
      <c r="L98" s="144">
        <f t="shared" si="57"/>
        <v>14755163.562064447</v>
      </c>
      <c r="M98" s="142">
        <v>4943</v>
      </c>
      <c r="N98" s="145">
        <f t="shared" si="58"/>
        <v>5180.449161986835</v>
      </c>
      <c r="O98" s="144">
        <f t="shared" si="59"/>
        <v>1270943.2852331847</v>
      </c>
      <c r="P98" s="142">
        <v>6026</v>
      </c>
      <c r="Q98" s="145">
        <f t="shared" si="60"/>
        <v>6315.4737305548588</v>
      </c>
      <c r="R98" s="147">
        <f t="shared" si="61"/>
        <v>214991.99848973376</v>
      </c>
      <c r="S98" s="142">
        <v>6623</v>
      </c>
      <c r="T98" s="145">
        <f t="shared" si="62"/>
        <v>6941.1520938375088</v>
      </c>
      <c r="U98" s="147">
        <f t="shared" si="63"/>
        <v>306886.98680859548</v>
      </c>
      <c r="V98" s="142">
        <v>277</v>
      </c>
      <c r="W98" s="145">
        <f t="shared" si="64"/>
        <v>290.30637626347425</v>
      </c>
      <c r="X98" s="147">
        <f t="shared" si="65"/>
        <v>17506.171460111844</v>
      </c>
      <c r="Y98" s="142">
        <v>1069</v>
      </c>
      <c r="Z98" s="145">
        <f t="shared" si="66"/>
        <v>1120.3520441359349</v>
      </c>
      <c r="AA98" s="147">
        <f t="shared" si="67"/>
        <v>72263.629217152135</v>
      </c>
      <c r="AB98" s="142">
        <v>0</v>
      </c>
      <c r="AC98" s="145">
        <f t="shared" si="68"/>
        <v>0</v>
      </c>
      <c r="AD98" s="147">
        <f t="shared" si="69"/>
        <v>0</v>
      </c>
      <c r="AE98" s="142">
        <v>0</v>
      </c>
      <c r="AF98" s="145">
        <f t="shared" si="70"/>
        <v>0</v>
      </c>
      <c r="AG98" s="147">
        <f t="shared" si="71"/>
        <v>0</v>
      </c>
      <c r="AH98" s="144">
        <f t="shared" si="72"/>
        <v>611648.78597559326</v>
      </c>
      <c r="AI98" s="142">
        <v>453</v>
      </c>
      <c r="AJ98" s="145">
        <f t="shared" si="73"/>
        <v>474.76096912402107</v>
      </c>
      <c r="AK98" s="147">
        <f t="shared" si="74"/>
        <v>1465300.9399367797</v>
      </c>
      <c r="AL98" s="142">
        <v>2990</v>
      </c>
      <c r="AM98" s="145">
        <f t="shared" si="75"/>
        <v>3133.632003710426</v>
      </c>
      <c r="AN98" s="147">
        <f t="shared" si="76"/>
        <v>1597255.5965021094</v>
      </c>
      <c r="AO98" s="142">
        <v>927</v>
      </c>
      <c r="AP98" s="145">
        <f t="shared" si="77"/>
        <v>971.53072489617557</v>
      </c>
      <c r="AQ98" s="147">
        <f t="shared" si="78"/>
        <v>1711214.6683698494</v>
      </c>
      <c r="AR98" s="142">
        <v>1192</v>
      </c>
      <c r="AS98" s="145">
        <f t="shared" si="79"/>
        <v>1249.2606516464307</v>
      </c>
      <c r="AT98" s="147">
        <f t="shared" si="80"/>
        <v>1807254.4834798553</v>
      </c>
      <c r="AU98" s="144">
        <f t="shared" si="81"/>
        <v>60032714.294262245</v>
      </c>
      <c r="AV98" s="148">
        <f>INDEX('Baselines+Historic Spend Factor'!P$9:P$159,MATCH('2019-20 StepbyStep Allocations'!C98,'Baselines+Historic Spend Factor'!C$9:C$159,0))</f>
        <v>73627865.945400849</v>
      </c>
      <c r="AW98" s="149">
        <v>117508.079</v>
      </c>
      <c r="AX98" s="150">
        <f t="shared" si="82"/>
        <v>626.57705386708642</v>
      </c>
      <c r="AY98" s="148">
        <f t="shared" si="83"/>
        <v>632.84282440575726</v>
      </c>
      <c r="AZ98" s="148">
        <f t="shared" si="84"/>
        <v>499.63193276426949</v>
      </c>
      <c r="BA98" s="148">
        <f t="shared" si="85"/>
        <v>632.84282440575726</v>
      </c>
      <c r="BB98" s="151">
        <f t="shared" si="86"/>
        <v>16005805.222562542</v>
      </c>
      <c r="BC98" s="148">
        <f t="shared" si="87"/>
        <v>0</v>
      </c>
      <c r="BD98" s="144">
        <f t="shared" si="88"/>
        <v>16005805.222562542</v>
      </c>
      <c r="BE98" s="144">
        <f t="shared" si="49"/>
        <v>76038519.516824782</v>
      </c>
      <c r="BF98" s="144">
        <f>INDEX('Hospital Education Funding'!$G$9:$G$159,MATCH(C98,'Hospital Education Funding'!$C$9:$C$158,0))</f>
        <v>239864.9</v>
      </c>
      <c r="BG98" s="152">
        <f>INDEX('Import|Export Adjustments Data'!$Q$9:$Q$159,MATCH('2019-20 StepbyStep Allocations'!$C98,'Import|Export Adjustments Data'!$C$9:$C$159,0))</f>
        <v>-235</v>
      </c>
      <c r="BH98" s="144">
        <f t="shared" si="89"/>
        <v>-1410000</v>
      </c>
      <c r="BI98" s="153">
        <f>INDEX('Baselines+Historic Spend Factor'!$F$9:$F$159,MATCH('2019-20 StepbyStep Allocations'!C98,'Baselines+Historic Spend Factor'!C$9:C$159,0))-INDEX('Baselines+Historic Spend Factor'!$G$9:$G$159,MATCH('2019-20 StepbyStep Allocations'!C98,'Baselines+Historic Spend Factor'!C$9:C$159,0))</f>
        <v>78831431.907202736</v>
      </c>
      <c r="BJ98" s="154">
        <f t="shared" si="50"/>
        <v>81123071.974732414</v>
      </c>
      <c r="BK98" s="155">
        <f t="shared" si="90"/>
        <v>2.9070131191163862E-2</v>
      </c>
      <c r="BL98" s="156">
        <f t="shared" si="91"/>
        <v>626.57705386708642</v>
      </c>
      <c r="BM98" s="148">
        <f t="shared" si="51"/>
        <v>632.84282440575726</v>
      </c>
      <c r="BN98" s="148">
        <f t="shared" si="92"/>
        <v>632.84282440575726</v>
      </c>
      <c r="BO98" s="148">
        <f t="shared" si="52"/>
        <v>76038519.516824782</v>
      </c>
      <c r="BP98" s="144">
        <f t="shared" si="53"/>
        <v>81123071.974732414</v>
      </c>
      <c r="BQ98" s="148">
        <v>79774465.02780059</v>
      </c>
      <c r="BR98" s="157">
        <f t="shared" si="48"/>
        <v>1.6905245888666931E-2</v>
      </c>
      <c r="BT98" s="94"/>
      <c r="BU98" s="158"/>
      <c r="BX98" s="94"/>
    </row>
    <row r="99" spans="1:76" ht="15.4" x14ac:dyDescent="0.45">
      <c r="A99" s="139" t="s">
        <v>117</v>
      </c>
      <c r="B99" s="140" t="s">
        <v>202</v>
      </c>
      <c r="C99" s="102">
        <v>845</v>
      </c>
      <c r="D99" s="141" t="s">
        <v>206</v>
      </c>
      <c r="E99" s="348">
        <v>1.0025438138502634</v>
      </c>
      <c r="F99" s="142">
        <v>1068.5</v>
      </c>
      <c r="G99" s="143">
        <f t="shared" si="54"/>
        <v>4010.1752554010536</v>
      </c>
      <c r="H99" s="144">
        <f t="shared" si="55"/>
        <v>4284872.2603960261</v>
      </c>
      <c r="I99" s="144">
        <f>INDEX('Baselines+Historic Spend Factor'!$Q$9:$Q$159,MATCH(C99,'Baselines+Historic Spend Factor'!$C$9:$C$159,0))</f>
        <v>23239407.51847893</v>
      </c>
      <c r="J99" s="142">
        <v>103456.76300000001</v>
      </c>
      <c r="K99" s="145">
        <f t="shared" si="56"/>
        <v>103719.93774662282</v>
      </c>
      <c r="L99" s="144">
        <f t="shared" si="57"/>
        <v>12153228.893291917</v>
      </c>
      <c r="M99" s="142">
        <v>8562.9999999999982</v>
      </c>
      <c r="N99" s="145">
        <f t="shared" si="58"/>
        <v>8584.7826779998031</v>
      </c>
      <c r="O99" s="144">
        <f t="shared" si="59"/>
        <v>2106143.9961328465</v>
      </c>
      <c r="P99" s="142">
        <v>12294</v>
      </c>
      <c r="Q99" s="145">
        <f t="shared" si="60"/>
        <v>12325.273647475138</v>
      </c>
      <c r="R99" s="147">
        <f t="shared" si="61"/>
        <v>419578.21795432019</v>
      </c>
      <c r="S99" s="142">
        <v>5926</v>
      </c>
      <c r="T99" s="145">
        <f t="shared" si="62"/>
        <v>5941.0746408766609</v>
      </c>
      <c r="U99" s="147">
        <f t="shared" si="63"/>
        <v>262670.87513646384</v>
      </c>
      <c r="V99" s="142">
        <v>5398</v>
      </c>
      <c r="W99" s="145">
        <f t="shared" si="64"/>
        <v>5411.7315071637213</v>
      </c>
      <c r="X99" s="147">
        <f t="shared" si="65"/>
        <v>326340.40243923303</v>
      </c>
      <c r="Y99" s="142">
        <v>5311</v>
      </c>
      <c r="Z99" s="145">
        <f t="shared" si="66"/>
        <v>5324.5101953587491</v>
      </c>
      <c r="AA99" s="147">
        <f t="shared" si="67"/>
        <v>343435.29119643947</v>
      </c>
      <c r="AB99" s="142">
        <v>3744</v>
      </c>
      <c r="AC99" s="145">
        <f t="shared" si="68"/>
        <v>3753.5240390553859</v>
      </c>
      <c r="AD99" s="147">
        <f t="shared" si="69"/>
        <v>265115.83196763357</v>
      </c>
      <c r="AE99" s="142">
        <v>1512</v>
      </c>
      <c r="AF99" s="145">
        <f t="shared" si="70"/>
        <v>1515.8462465415982</v>
      </c>
      <c r="AG99" s="147">
        <f t="shared" si="71"/>
        <v>144878.41582642839</v>
      </c>
      <c r="AH99" s="144">
        <f t="shared" si="72"/>
        <v>1762019.0345205185</v>
      </c>
      <c r="AI99" s="142">
        <v>610</v>
      </c>
      <c r="AJ99" s="145">
        <f t="shared" si="73"/>
        <v>611.5517264486607</v>
      </c>
      <c r="AK99" s="147">
        <f t="shared" si="74"/>
        <v>1887491.5544101819</v>
      </c>
      <c r="AL99" s="142">
        <v>3770</v>
      </c>
      <c r="AM99" s="145">
        <f t="shared" si="75"/>
        <v>3779.5901782154929</v>
      </c>
      <c r="AN99" s="147">
        <f t="shared" si="76"/>
        <v>1926509.4170250143</v>
      </c>
      <c r="AO99" s="142">
        <v>1033</v>
      </c>
      <c r="AP99" s="145">
        <f t="shared" si="77"/>
        <v>1035.627759707322</v>
      </c>
      <c r="AQ99" s="147">
        <f t="shared" si="78"/>
        <v>1824112.5761324351</v>
      </c>
      <c r="AR99" s="142">
        <v>1596</v>
      </c>
      <c r="AS99" s="145">
        <f t="shared" si="79"/>
        <v>1600.0599269050203</v>
      </c>
      <c r="AT99" s="147">
        <f t="shared" si="80"/>
        <v>2314741.5016429806</v>
      </c>
      <c r="AU99" s="144">
        <f t="shared" si="81"/>
        <v>47213654.491634823</v>
      </c>
      <c r="AV99" s="148">
        <f>INDEX('Baselines+Historic Spend Factor'!P$9:P$159,MATCH('2019-20 StepbyStep Allocations'!C99,'Baselines+Historic Spend Factor'!C$9:C$159,0))</f>
        <v>46478815.03695786</v>
      </c>
      <c r="AW99" s="149">
        <v>102283.32699999999</v>
      </c>
      <c r="AX99" s="150">
        <f t="shared" si="82"/>
        <v>454.4124286938561</v>
      </c>
      <c r="AY99" s="148">
        <f t="shared" si="83"/>
        <v>458.95655298079464</v>
      </c>
      <c r="AZ99" s="148">
        <f t="shared" si="84"/>
        <v>456.36121914654166</v>
      </c>
      <c r="BA99" s="148">
        <f t="shared" si="85"/>
        <v>458.95655298079464</v>
      </c>
      <c r="BB99" s="151">
        <f t="shared" si="86"/>
        <v>268504.83739619219</v>
      </c>
      <c r="BC99" s="148">
        <f t="shared" si="87"/>
        <v>0</v>
      </c>
      <c r="BD99" s="144">
        <f t="shared" si="88"/>
        <v>268504.83739619219</v>
      </c>
      <c r="BE99" s="144">
        <f t="shared" si="49"/>
        <v>47482159.32903102</v>
      </c>
      <c r="BF99" s="144">
        <f>INDEX('Hospital Education Funding'!$G$9:$G$159,MATCH(C99,'Hospital Education Funding'!$C$9:$C$158,0))</f>
        <v>0</v>
      </c>
      <c r="BG99" s="152">
        <f>INDEX('Import|Export Adjustments Data'!$Q$9:$Q$159,MATCH('2019-20 StepbyStep Allocations'!$C99,'Import|Export Adjustments Data'!$C$9:$C$159,0))</f>
        <v>-108</v>
      </c>
      <c r="BH99" s="144">
        <f t="shared" si="89"/>
        <v>-648000</v>
      </c>
      <c r="BI99" s="153">
        <f>INDEX('Baselines+Historic Spend Factor'!$F$9:$F$159,MATCH('2019-20 StepbyStep Allocations'!C99,'Baselines+Historic Spend Factor'!C$9:C$159,0))-INDEX('Baselines+Historic Spend Factor'!$G$9:$G$159,MATCH('2019-20 StepbyStep Allocations'!C99,'Baselines+Historic Spend Factor'!C$9:C$159,0))</f>
        <v>49959290.462393247</v>
      </c>
      <c r="BJ99" s="154">
        <f t="shared" si="50"/>
        <v>51119031.589427046</v>
      </c>
      <c r="BK99" s="155">
        <f t="shared" si="90"/>
        <v>2.3213722939215753E-2</v>
      </c>
      <c r="BL99" s="156">
        <f t="shared" si="91"/>
        <v>454.4124286938561</v>
      </c>
      <c r="BM99" s="148">
        <f t="shared" si="51"/>
        <v>458.95655298079464</v>
      </c>
      <c r="BN99" s="148">
        <f t="shared" si="92"/>
        <v>458.95655298079464</v>
      </c>
      <c r="BO99" s="148">
        <f t="shared" si="52"/>
        <v>47482159.32903102</v>
      </c>
      <c r="BP99" s="144">
        <f t="shared" si="53"/>
        <v>51119031.589427046</v>
      </c>
      <c r="BQ99" s="148">
        <v>50571085.290582597</v>
      </c>
      <c r="BR99" s="157">
        <f t="shared" si="48"/>
        <v>1.0835169854392923E-2</v>
      </c>
      <c r="BT99" s="94"/>
      <c r="BU99" s="158"/>
      <c r="BX99" s="94"/>
    </row>
    <row r="100" spans="1:76" ht="15.4" x14ac:dyDescent="0.45">
      <c r="A100" s="139" t="s">
        <v>171</v>
      </c>
      <c r="B100" s="140" t="s">
        <v>202</v>
      </c>
      <c r="C100" s="102">
        <v>850</v>
      </c>
      <c r="D100" s="141" t="s">
        <v>207</v>
      </c>
      <c r="E100" s="348">
        <v>1.0213260495386489</v>
      </c>
      <c r="F100" s="142">
        <v>2965.5</v>
      </c>
      <c r="G100" s="143">
        <f t="shared" si="54"/>
        <v>4085.3041981545957</v>
      </c>
      <c r="H100" s="144">
        <f t="shared" si="55"/>
        <v>12114969.599627454</v>
      </c>
      <c r="I100" s="144">
        <f>INDEX('Baselines+Historic Spend Factor'!$Q$9:$Q$159,MATCH(C100,'Baselines+Historic Spend Factor'!$C$9:$C$159,0))</f>
        <v>46009539.160244867</v>
      </c>
      <c r="J100" s="142">
        <v>272022.43400000001</v>
      </c>
      <c r="K100" s="145">
        <f t="shared" si="56"/>
        <v>277823.59790310788</v>
      </c>
      <c r="L100" s="144">
        <f t="shared" si="57"/>
        <v>32553565.405358195</v>
      </c>
      <c r="M100" s="142">
        <v>14740.500000000009</v>
      </c>
      <c r="N100" s="145">
        <f t="shared" si="58"/>
        <v>15054.856633224465</v>
      </c>
      <c r="O100" s="144">
        <f t="shared" si="59"/>
        <v>3693476.8298752252</v>
      </c>
      <c r="P100" s="142">
        <v>14618</v>
      </c>
      <c r="Q100" s="145">
        <f t="shared" si="60"/>
        <v>14929.744192155969</v>
      </c>
      <c r="R100" s="147">
        <f t="shared" si="61"/>
        <v>508239.86889263906</v>
      </c>
      <c r="S100" s="142">
        <v>10042</v>
      </c>
      <c r="T100" s="145">
        <f t="shared" si="62"/>
        <v>10256.156189467112</v>
      </c>
      <c r="U100" s="147">
        <f t="shared" si="63"/>
        <v>453452.22618278081</v>
      </c>
      <c r="V100" s="142">
        <v>10442</v>
      </c>
      <c r="W100" s="145">
        <f t="shared" si="64"/>
        <v>10664.686609282571</v>
      </c>
      <c r="X100" s="147">
        <f t="shared" si="65"/>
        <v>643106.20646174706</v>
      </c>
      <c r="Y100" s="142">
        <v>7024</v>
      </c>
      <c r="Z100" s="145">
        <f t="shared" si="66"/>
        <v>7173.7941719594701</v>
      </c>
      <c r="AA100" s="147">
        <f t="shared" si="67"/>
        <v>462715.63017717574</v>
      </c>
      <c r="AB100" s="142">
        <v>2064</v>
      </c>
      <c r="AC100" s="145">
        <f t="shared" si="68"/>
        <v>2108.0169662477715</v>
      </c>
      <c r="AD100" s="147">
        <f t="shared" si="69"/>
        <v>148891.72574722875</v>
      </c>
      <c r="AE100" s="142">
        <v>0</v>
      </c>
      <c r="AF100" s="145">
        <f t="shared" si="70"/>
        <v>0</v>
      </c>
      <c r="AG100" s="147">
        <f t="shared" si="71"/>
        <v>0</v>
      </c>
      <c r="AH100" s="144">
        <f t="shared" si="72"/>
        <v>2216405.657461571</v>
      </c>
      <c r="AI100" s="142">
        <v>1151</v>
      </c>
      <c r="AJ100" s="145">
        <f t="shared" si="73"/>
        <v>1175.5462830189849</v>
      </c>
      <c r="AK100" s="147">
        <f t="shared" si="74"/>
        <v>3628202.7914492115</v>
      </c>
      <c r="AL100" s="142">
        <v>8100</v>
      </c>
      <c r="AM100" s="145">
        <f t="shared" si="75"/>
        <v>8272.7410012630571</v>
      </c>
      <c r="AN100" s="147">
        <f t="shared" si="76"/>
        <v>4216730.5692034084</v>
      </c>
      <c r="AO100" s="142">
        <v>2304</v>
      </c>
      <c r="AP100" s="145">
        <f t="shared" si="77"/>
        <v>2353.1352181370471</v>
      </c>
      <c r="AQ100" s="147">
        <f t="shared" si="78"/>
        <v>4144716.5784325791</v>
      </c>
      <c r="AR100" s="142">
        <v>3276</v>
      </c>
      <c r="AS100" s="145">
        <f t="shared" si="79"/>
        <v>3345.864138288614</v>
      </c>
      <c r="AT100" s="147">
        <f t="shared" si="80"/>
        <v>4840325.3212748673</v>
      </c>
      <c r="AU100" s="144">
        <f t="shared" si="81"/>
        <v>101302962.31329992</v>
      </c>
      <c r="AV100" s="148">
        <f>INDEX('Baselines+Historic Spend Factor'!P$9:P$159,MATCH('2019-20 StepbyStep Allocations'!C100,'Baselines+Historic Spend Factor'!C$9:C$159,0))</f>
        <v>92019078.320489734</v>
      </c>
      <c r="AW100" s="149">
        <v>270522.27999999997</v>
      </c>
      <c r="AX100" s="150">
        <f t="shared" si="82"/>
        <v>340.1534184928862</v>
      </c>
      <c r="AY100" s="148">
        <f t="shared" si="83"/>
        <v>343.55495267781509</v>
      </c>
      <c r="AZ100" s="148">
        <f t="shared" si="84"/>
        <v>372.40664611250378</v>
      </c>
      <c r="BA100" s="148">
        <f t="shared" si="85"/>
        <v>372.40664611250378</v>
      </c>
      <c r="BB100" s="151">
        <f t="shared" si="86"/>
        <v>0</v>
      </c>
      <c r="BC100" s="148">
        <f t="shared" si="87"/>
        <v>0</v>
      </c>
      <c r="BD100" s="144">
        <f t="shared" si="88"/>
        <v>0</v>
      </c>
      <c r="BE100" s="144">
        <f t="shared" si="49"/>
        <v>101302962.31329992</v>
      </c>
      <c r="BF100" s="144">
        <f>INDEX('Hospital Education Funding'!$G$9:$G$159,MATCH(C100,'Hospital Education Funding'!$C$9:$C$158,0))</f>
        <v>2800730</v>
      </c>
      <c r="BG100" s="152">
        <f>INDEX('Import|Export Adjustments Data'!$Q$9:$Q$159,MATCH('2019-20 StepbyStep Allocations'!$C100,'Import|Export Adjustments Data'!$C$9:$C$159,0))</f>
        <v>-217.5</v>
      </c>
      <c r="BH100" s="144">
        <f t="shared" si="89"/>
        <v>-1305000</v>
      </c>
      <c r="BI100" s="153">
        <f>INDEX('Baselines+Historic Spend Factor'!$F$9:$F$159,MATCH('2019-20 StepbyStep Allocations'!C100,'Baselines+Historic Spend Factor'!C$9:C$159,0))-INDEX('Baselines+Historic Spend Factor'!$G$9:$G$159,MATCH('2019-20 StepbyStep Allocations'!C100,'Baselines+Historic Spend Factor'!C$9:C$159,0))</f>
        <v>105134470.19954602</v>
      </c>
      <c r="BJ100" s="154">
        <f t="shared" si="50"/>
        <v>114913661.91292737</v>
      </c>
      <c r="BK100" s="155">
        <f t="shared" si="90"/>
        <v>9.3016036460928264E-2</v>
      </c>
      <c r="BL100" s="156">
        <f t="shared" si="91"/>
        <v>340.1534184928862</v>
      </c>
      <c r="BM100" s="148">
        <f t="shared" si="51"/>
        <v>372.40664611250378</v>
      </c>
      <c r="BN100" s="148">
        <f t="shared" si="92"/>
        <v>360.86876167910293</v>
      </c>
      <c r="BO100" s="148">
        <f t="shared" si="52"/>
        <v>98164398.906515509</v>
      </c>
      <c r="BP100" s="144">
        <f t="shared" si="53"/>
        <v>111775098.50614296</v>
      </c>
      <c r="BQ100" s="148">
        <v>108610860.51733638</v>
      </c>
      <c r="BR100" s="157">
        <f t="shared" si="48"/>
        <v>2.9133716220777872E-2</v>
      </c>
      <c r="BT100" s="94"/>
      <c r="BU100" s="158"/>
      <c r="BX100" s="94"/>
    </row>
    <row r="101" spans="1:76" ht="15.4" x14ac:dyDescent="0.45">
      <c r="A101" s="139" t="s">
        <v>212</v>
      </c>
      <c r="B101" s="140" t="s">
        <v>202</v>
      </c>
      <c r="C101" s="102">
        <v>921</v>
      </c>
      <c r="D101" s="141" t="s">
        <v>208</v>
      </c>
      <c r="E101" s="348">
        <v>1.0213260495386489</v>
      </c>
      <c r="F101" s="142">
        <v>258.5</v>
      </c>
      <c r="G101" s="143">
        <f t="shared" si="54"/>
        <v>4085.3041981545957</v>
      </c>
      <c r="H101" s="144">
        <f t="shared" si="55"/>
        <v>1056051.1352229631</v>
      </c>
      <c r="I101" s="144">
        <f>INDEX('Baselines+Historic Spend Factor'!$Q$9:$Q$159,MATCH(C101,'Baselines+Historic Spend Factor'!$C$9:$C$159,0))</f>
        <v>6947456.3846826525</v>
      </c>
      <c r="J101" s="142">
        <v>23989.955000000002</v>
      </c>
      <c r="K101" s="145">
        <f t="shared" si="56"/>
        <v>24501.565968759962</v>
      </c>
      <c r="L101" s="144">
        <f t="shared" si="57"/>
        <v>2870934.421401802</v>
      </c>
      <c r="M101" s="142">
        <v>2162.0000000000005</v>
      </c>
      <c r="N101" s="145">
        <f t="shared" si="58"/>
        <v>2208.1069191025595</v>
      </c>
      <c r="O101" s="144">
        <f t="shared" si="59"/>
        <v>541724.96904380678</v>
      </c>
      <c r="P101" s="142">
        <v>5872</v>
      </c>
      <c r="Q101" s="145">
        <f t="shared" si="60"/>
        <v>5997.2265628909463</v>
      </c>
      <c r="R101" s="147">
        <f t="shared" si="61"/>
        <v>204158.19606906394</v>
      </c>
      <c r="S101" s="142">
        <v>1712</v>
      </c>
      <c r="T101" s="145">
        <f t="shared" si="62"/>
        <v>1748.5101968101669</v>
      </c>
      <c r="U101" s="147">
        <f t="shared" si="63"/>
        <v>77306.334517518495</v>
      </c>
      <c r="V101" s="142">
        <v>2188</v>
      </c>
      <c r="W101" s="145">
        <f t="shared" si="64"/>
        <v>2234.6613963905638</v>
      </c>
      <c r="X101" s="147">
        <f t="shared" si="65"/>
        <v>134755.44720726897</v>
      </c>
      <c r="Y101" s="142">
        <v>554</v>
      </c>
      <c r="Z101" s="145">
        <f t="shared" si="66"/>
        <v>565.81463144441148</v>
      </c>
      <c r="AA101" s="147">
        <f t="shared" si="67"/>
        <v>36495.509555546036</v>
      </c>
      <c r="AB101" s="142">
        <v>1722</v>
      </c>
      <c r="AC101" s="145">
        <f t="shared" si="68"/>
        <v>1758.7234573055534</v>
      </c>
      <c r="AD101" s="147">
        <f t="shared" si="69"/>
        <v>124220.71305074025</v>
      </c>
      <c r="AE101" s="142">
        <v>0</v>
      </c>
      <c r="AF101" s="145">
        <f t="shared" si="70"/>
        <v>0</v>
      </c>
      <c r="AG101" s="147">
        <f t="shared" si="71"/>
        <v>0</v>
      </c>
      <c r="AH101" s="144">
        <f t="shared" si="72"/>
        <v>576936.20040013769</v>
      </c>
      <c r="AI101" s="142">
        <v>137</v>
      </c>
      <c r="AJ101" s="145">
        <f t="shared" si="73"/>
        <v>139.9216687867949</v>
      </c>
      <c r="AK101" s="147">
        <f t="shared" si="74"/>
        <v>431853.8509370478</v>
      </c>
      <c r="AL101" s="142">
        <v>1080</v>
      </c>
      <c r="AM101" s="145">
        <f t="shared" si="75"/>
        <v>1103.0321335017409</v>
      </c>
      <c r="AN101" s="147">
        <f t="shared" si="76"/>
        <v>562230.74256045441</v>
      </c>
      <c r="AO101" s="142">
        <v>277</v>
      </c>
      <c r="AP101" s="145">
        <f t="shared" si="77"/>
        <v>282.90731572220574</v>
      </c>
      <c r="AQ101" s="147">
        <f t="shared" si="78"/>
        <v>498301.42891745851</v>
      </c>
      <c r="AR101" s="142">
        <v>562</v>
      </c>
      <c r="AS101" s="145">
        <f t="shared" si="79"/>
        <v>573.98523984072074</v>
      </c>
      <c r="AT101" s="147">
        <f t="shared" si="80"/>
        <v>830361.05938842357</v>
      </c>
      <c r="AU101" s="144">
        <f t="shared" si="81"/>
        <v>13259799.057331782</v>
      </c>
      <c r="AV101" s="148">
        <f>INDEX('Baselines+Historic Spend Factor'!P$9:P$159,MATCH('2019-20 StepbyStep Allocations'!C101,'Baselines+Historic Spend Factor'!C$9:C$159,0))</f>
        <v>13894912.769365305</v>
      </c>
      <c r="AW101" s="149">
        <v>24175.170000000002</v>
      </c>
      <c r="AX101" s="150">
        <f t="shared" si="82"/>
        <v>574.75967157067782</v>
      </c>
      <c r="AY101" s="148">
        <f t="shared" si="83"/>
        <v>580.5072682863846</v>
      </c>
      <c r="AZ101" s="148">
        <f t="shared" si="84"/>
        <v>552.72296497979175</v>
      </c>
      <c r="BA101" s="148">
        <f t="shared" si="85"/>
        <v>580.5072682863846</v>
      </c>
      <c r="BB101" s="151">
        <f t="shared" si="86"/>
        <v>666544.18603151361</v>
      </c>
      <c r="BC101" s="148">
        <f t="shared" si="87"/>
        <v>0</v>
      </c>
      <c r="BD101" s="144">
        <f t="shared" si="88"/>
        <v>666544.18603151361</v>
      </c>
      <c r="BE101" s="144">
        <f t="shared" si="49"/>
        <v>13926343.243363295</v>
      </c>
      <c r="BF101" s="144">
        <f>INDEX('Hospital Education Funding'!$G$9:$G$159,MATCH(C101,'Hospital Education Funding'!$C$9:$C$158,0))</f>
        <v>12120</v>
      </c>
      <c r="BG101" s="152">
        <f>INDEX('Import|Export Adjustments Data'!$Q$9:$Q$159,MATCH('2019-20 StepbyStep Allocations'!$C101,'Import|Export Adjustments Data'!$C$9:$C$159,0))</f>
        <v>-30.5</v>
      </c>
      <c r="BH101" s="144">
        <f t="shared" si="89"/>
        <v>-183000</v>
      </c>
      <c r="BI101" s="153">
        <f>INDEX('Baselines+Historic Spend Factor'!$F$9:$F$159,MATCH('2019-20 StepbyStep Allocations'!C101,'Baselines+Historic Spend Factor'!C$9:C$159,0))-INDEX('Baselines+Historic Spend Factor'!$G$9:$G$159,MATCH('2019-20 StepbyStep Allocations'!C101,'Baselines+Historic Spend Factor'!C$9:C$159,0))</f>
        <v>14690916.603832558</v>
      </c>
      <c r="BJ101" s="154">
        <f t="shared" si="50"/>
        <v>14811514.378586259</v>
      </c>
      <c r="BK101" s="155">
        <f t="shared" si="90"/>
        <v>8.2090027467884852E-3</v>
      </c>
      <c r="BL101" s="156">
        <f t="shared" si="91"/>
        <v>574.75967157067782</v>
      </c>
      <c r="BM101" s="148">
        <f t="shared" si="51"/>
        <v>580.5072682863846</v>
      </c>
      <c r="BN101" s="148">
        <f t="shared" si="92"/>
        <v>580.5072682863846</v>
      </c>
      <c r="BO101" s="148">
        <f t="shared" si="52"/>
        <v>13926343.243363295</v>
      </c>
      <c r="BP101" s="144">
        <f t="shared" si="53"/>
        <v>14811514.378586259</v>
      </c>
      <c r="BQ101" s="148">
        <v>14799823.033526432</v>
      </c>
      <c r="BR101" s="157">
        <f t="shared" si="48"/>
        <v>7.8996519305274404E-4</v>
      </c>
      <c r="BT101" s="94"/>
      <c r="BU101" s="158"/>
      <c r="BX101" s="94"/>
    </row>
    <row r="102" spans="1:76" ht="15.4" x14ac:dyDescent="0.45">
      <c r="A102" s="139" t="s">
        <v>127</v>
      </c>
      <c r="B102" s="140" t="s">
        <v>202</v>
      </c>
      <c r="C102" s="102">
        <v>886</v>
      </c>
      <c r="D102" s="141" t="s">
        <v>209</v>
      </c>
      <c r="E102" s="348">
        <v>1.0077014294588473</v>
      </c>
      <c r="F102" s="142">
        <v>4475</v>
      </c>
      <c r="G102" s="143">
        <f t="shared" si="54"/>
        <v>4030.8057178353893</v>
      </c>
      <c r="H102" s="144">
        <f t="shared" si="55"/>
        <v>18037855.587313365</v>
      </c>
      <c r="I102" s="144">
        <f>INDEX('Baselines+Historic Spend Factor'!$Q$9:$Q$159,MATCH(C102,'Baselines+Historic Spend Factor'!$C$9:$C$159,0))</f>
        <v>87889671.410740748</v>
      </c>
      <c r="J102" s="142">
        <v>324065.07299999997</v>
      </c>
      <c r="K102" s="145">
        <f t="shared" si="56"/>
        <v>326560.83729978569</v>
      </c>
      <c r="L102" s="144">
        <f t="shared" si="57"/>
        <v>38264278.68655929</v>
      </c>
      <c r="M102" s="142">
        <v>25499.5</v>
      </c>
      <c r="N102" s="145">
        <f t="shared" si="58"/>
        <v>25695.882600485878</v>
      </c>
      <c r="O102" s="144">
        <f t="shared" si="59"/>
        <v>6304088.3962082099</v>
      </c>
      <c r="P102" s="142">
        <v>35814</v>
      </c>
      <c r="Q102" s="145">
        <f t="shared" si="60"/>
        <v>36089.818994639158</v>
      </c>
      <c r="R102" s="147">
        <f t="shared" si="61"/>
        <v>1228573.2855243057</v>
      </c>
      <c r="S102" s="142">
        <v>21858</v>
      </c>
      <c r="T102" s="145">
        <f t="shared" si="62"/>
        <v>22026.337845111484</v>
      </c>
      <c r="U102" s="147">
        <f t="shared" si="63"/>
        <v>973843.58681834652</v>
      </c>
      <c r="V102" s="142">
        <v>15523</v>
      </c>
      <c r="W102" s="145">
        <f t="shared" si="64"/>
        <v>15642.549289489687</v>
      </c>
      <c r="X102" s="147">
        <f t="shared" si="65"/>
        <v>943283.27699742396</v>
      </c>
      <c r="Y102" s="142">
        <v>16172</v>
      </c>
      <c r="Z102" s="145">
        <f t="shared" si="66"/>
        <v>16296.547517208479</v>
      </c>
      <c r="AA102" s="147">
        <f t="shared" si="67"/>
        <v>1051140.731582731</v>
      </c>
      <c r="AB102" s="142">
        <v>17496</v>
      </c>
      <c r="AC102" s="145">
        <f t="shared" si="68"/>
        <v>17630.744209811994</v>
      </c>
      <c r="AD102" s="147">
        <f t="shared" si="69"/>
        <v>1245280.2674920801</v>
      </c>
      <c r="AE102" s="142">
        <v>5201</v>
      </c>
      <c r="AF102" s="145">
        <f t="shared" si="70"/>
        <v>5241.0551346154652</v>
      </c>
      <c r="AG102" s="147">
        <f t="shared" si="71"/>
        <v>500918.72239314188</v>
      </c>
      <c r="AH102" s="144">
        <f t="shared" si="72"/>
        <v>5943039.8708080295</v>
      </c>
      <c r="AI102" s="142">
        <v>1726</v>
      </c>
      <c r="AJ102" s="145">
        <f t="shared" si="73"/>
        <v>1739.2926672459705</v>
      </c>
      <c r="AK102" s="147">
        <f t="shared" si="74"/>
        <v>5368148.0700552398</v>
      </c>
      <c r="AL102" s="142">
        <v>13610</v>
      </c>
      <c r="AM102" s="145">
        <f t="shared" si="75"/>
        <v>13714.816454934913</v>
      </c>
      <c r="AN102" s="147">
        <f t="shared" si="76"/>
        <v>6990631.7371362653</v>
      </c>
      <c r="AO102" s="142">
        <v>3490</v>
      </c>
      <c r="AP102" s="145">
        <f t="shared" si="77"/>
        <v>3516.8779888113772</v>
      </c>
      <c r="AQ102" s="147">
        <f t="shared" si="78"/>
        <v>6194485.7193932002</v>
      </c>
      <c r="AR102" s="142">
        <v>4663</v>
      </c>
      <c r="AS102" s="145">
        <f t="shared" si="79"/>
        <v>4698.911765566605</v>
      </c>
      <c r="AT102" s="147">
        <f t="shared" si="80"/>
        <v>6797724.1935896315</v>
      </c>
      <c r="AU102" s="144">
        <f t="shared" si="81"/>
        <v>163752068.08449063</v>
      </c>
      <c r="AV102" s="148">
        <f>INDEX('Baselines+Historic Spend Factor'!P$9:P$159,MATCH('2019-20 StepbyStep Allocations'!C102,'Baselines+Historic Spend Factor'!C$9:C$159,0))</f>
        <v>175779342.8214815</v>
      </c>
      <c r="AW102" s="149">
        <v>319085.17300000001</v>
      </c>
      <c r="AX102" s="150">
        <f t="shared" si="82"/>
        <v>550.88533625309344</v>
      </c>
      <c r="AY102" s="148">
        <f t="shared" si="83"/>
        <v>556.39418961562433</v>
      </c>
      <c r="AZ102" s="148">
        <f t="shared" si="84"/>
        <v>505.30613055141134</v>
      </c>
      <c r="BA102" s="148">
        <f t="shared" si="85"/>
        <v>556.39418961562433</v>
      </c>
      <c r="BB102" s="151">
        <f t="shared" si="86"/>
        <v>16555855.590072492</v>
      </c>
      <c r="BC102" s="148">
        <f t="shared" si="87"/>
        <v>0</v>
      </c>
      <c r="BD102" s="144">
        <f t="shared" si="88"/>
        <v>16555855.590072492</v>
      </c>
      <c r="BE102" s="144">
        <f t="shared" si="49"/>
        <v>180307923.67456314</v>
      </c>
      <c r="BF102" s="144">
        <f>INDEX('Hospital Education Funding'!$G$9:$G$159,MATCH(C102,'Hospital Education Funding'!$C$9:$C$158,0))</f>
        <v>3002481.54</v>
      </c>
      <c r="BG102" s="152">
        <f>INDEX('Import|Export Adjustments Data'!$Q$9:$Q$159,MATCH('2019-20 StepbyStep Allocations'!$C102,'Import|Export Adjustments Data'!$C$9:$C$159,0))</f>
        <v>-269.5</v>
      </c>
      <c r="BH102" s="144">
        <f t="shared" si="89"/>
        <v>-1617000</v>
      </c>
      <c r="BI102" s="153">
        <f>INDEX('Baselines+Historic Spend Factor'!$F$9:$F$159,MATCH('2019-20 StepbyStep Allocations'!C102,'Baselines+Historic Spend Factor'!C$9:C$159,0))-INDEX('Baselines+Historic Spend Factor'!$G$9:$G$159,MATCH('2019-20 StepbyStep Allocations'!C102,'Baselines+Historic Spend Factor'!C$9:C$159,0))</f>
        <v>194495773.49070957</v>
      </c>
      <c r="BJ102" s="154">
        <f t="shared" si="50"/>
        <v>199731260.80187649</v>
      </c>
      <c r="BK102" s="155">
        <f t="shared" si="90"/>
        <v>2.6918257488083741E-2</v>
      </c>
      <c r="BL102" s="156">
        <f t="shared" si="91"/>
        <v>550.88533625309344</v>
      </c>
      <c r="BM102" s="148">
        <f t="shared" si="51"/>
        <v>556.39418961562433</v>
      </c>
      <c r="BN102" s="148">
        <f t="shared" si="92"/>
        <v>556.39418961562433</v>
      </c>
      <c r="BO102" s="148">
        <f t="shared" si="52"/>
        <v>180307923.67456314</v>
      </c>
      <c r="BP102" s="144">
        <f t="shared" si="53"/>
        <v>199731260.80187652</v>
      </c>
      <c r="BQ102" s="148">
        <v>197225918.42423946</v>
      </c>
      <c r="BR102" s="157">
        <f t="shared" si="48"/>
        <v>1.2702906380935186E-2</v>
      </c>
      <c r="BT102" s="94"/>
      <c r="BU102" s="158"/>
      <c r="BX102" s="94"/>
    </row>
    <row r="103" spans="1:76" ht="15.4" x14ac:dyDescent="0.45">
      <c r="A103" s="139" t="s">
        <v>231</v>
      </c>
      <c r="B103" s="140" t="s">
        <v>202</v>
      </c>
      <c r="C103" s="102">
        <v>887</v>
      </c>
      <c r="D103" s="141" t="s">
        <v>210</v>
      </c>
      <c r="E103" s="348">
        <v>1.0010615758871764</v>
      </c>
      <c r="F103" s="142">
        <v>842.5</v>
      </c>
      <c r="G103" s="143">
        <f t="shared" si="54"/>
        <v>4004.2463035487053</v>
      </c>
      <c r="H103" s="144">
        <f t="shared" si="55"/>
        <v>3373577.5107397842</v>
      </c>
      <c r="I103" s="144">
        <f>INDEX('Baselines+Historic Spend Factor'!$Q$9:$Q$159,MATCH(C103,'Baselines+Historic Spend Factor'!$C$9:$C$159,0))</f>
        <v>16183808.264204444</v>
      </c>
      <c r="J103" s="142">
        <v>61557.986999999994</v>
      </c>
      <c r="K103" s="145">
        <f t="shared" si="56"/>
        <v>61623.335474662308</v>
      </c>
      <c r="L103" s="144">
        <f t="shared" si="57"/>
        <v>7220622.3553780727</v>
      </c>
      <c r="M103" s="142">
        <v>5428.5000000000027</v>
      </c>
      <c r="N103" s="145">
        <f t="shared" si="58"/>
        <v>5434.2627647035397</v>
      </c>
      <c r="O103" s="144">
        <f t="shared" si="59"/>
        <v>1333212.5371815853</v>
      </c>
      <c r="P103" s="142">
        <v>7740</v>
      </c>
      <c r="Q103" s="145">
        <f t="shared" si="60"/>
        <v>7748.2165973667452</v>
      </c>
      <c r="R103" s="147">
        <f t="shared" si="61"/>
        <v>263765.5767515715</v>
      </c>
      <c r="S103" s="142">
        <v>9191</v>
      </c>
      <c r="T103" s="145">
        <f t="shared" si="62"/>
        <v>9200.7569439790386</v>
      </c>
      <c r="U103" s="147">
        <f t="shared" si="63"/>
        <v>406790.18939850479</v>
      </c>
      <c r="V103" s="142">
        <v>6938</v>
      </c>
      <c r="W103" s="145">
        <f t="shared" si="64"/>
        <v>6945.3652135052298</v>
      </c>
      <c r="X103" s="147">
        <f t="shared" si="65"/>
        <v>418822.19689990551</v>
      </c>
      <c r="Y103" s="142">
        <v>2796</v>
      </c>
      <c r="Z103" s="145">
        <f t="shared" si="66"/>
        <v>2798.9681661805453</v>
      </c>
      <c r="AA103" s="147">
        <f t="shared" si="67"/>
        <v>180535.75107052879</v>
      </c>
      <c r="AB103" s="142">
        <v>3746</v>
      </c>
      <c r="AC103" s="145">
        <f t="shared" si="68"/>
        <v>3749.9766632733626</v>
      </c>
      <c r="AD103" s="147">
        <f t="shared" si="69"/>
        <v>264865.27663031121</v>
      </c>
      <c r="AE103" s="142">
        <v>1458</v>
      </c>
      <c r="AF103" s="145">
        <f t="shared" si="70"/>
        <v>1459.5477776435032</v>
      </c>
      <c r="AG103" s="147">
        <f t="shared" si="71"/>
        <v>139497.63726394664</v>
      </c>
      <c r="AH103" s="144">
        <f t="shared" si="72"/>
        <v>1674276.6280147685</v>
      </c>
      <c r="AI103" s="142">
        <v>342</v>
      </c>
      <c r="AJ103" s="145">
        <f t="shared" si="73"/>
        <v>342.36305895341434</v>
      </c>
      <c r="AK103" s="147">
        <f t="shared" si="74"/>
        <v>1056668.3967506604</v>
      </c>
      <c r="AL103" s="142">
        <v>2980</v>
      </c>
      <c r="AM103" s="145">
        <f t="shared" si="75"/>
        <v>2983.1634961437858</v>
      </c>
      <c r="AN103" s="147">
        <f t="shared" si="76"/>
        <v>1520559.7159636284</v>
      </c>
      <c r="AO103" s="142">
        <v>787</v>
      </c>
      <c r="AP103" s="145">
        <f t="shared" si="77"/>
        <v>787.83546022320775</v>
      </c>
      <c r="AQ103" s="147">
        <f t="shared" si="78"/>
        <v>1387661.3073044471</v>
      </c>
      <c r="AR103" s="142">
        <v>858</v>
      </c>
      <c r="AS103" s="145">
        <f t="shared" si="79"/>
        <v>858.91083211119735</v>
      </c>
      <c r="AT103" s="147">
        <f t="shared" si="80"/>
        <v>1242551.3044028082</v>
      </c>
      <c r="AU103" s="144">
        <f t="shared" si="81"/>
        <v>31619360.509200417</v>
      </c>
      <c r="AV103" s="148">
        <f>INDEX('Baselines+Historic Spend Factor'!P$9:P$159,MATCH('2019-20 StepbyStep Allocations'!C103,'Baselines+Historic Spend Factor'!C$9:C$159,0))</f>
        <v>32367616.528408889</v>
      </c>
      <c r="AW103" s="149">
        <v>60390.750999999997</v>
      </c>
      <c r="AX103" s="150">
        <f t="shared" si="82"/>
        <v>535.96976345614394</v>
      </c>
      <c r="AY103" s="148">
        <f t="shared" si="83"/>
        <v>541.32946109070542</v>
      </c>
      <c r="AZ103" s="148">
        <f t="shared" si="84"/>
        <v>513.65163239013032</v>
      </c>
      <c r="BA103" s="148">
        <f t="shared" si="85"/>
        <v>541.32946109070542</v>
      </c>
      <c r="BB103" s="151">
        <f t="shared" si="86"/>
        <v>1703791.4193382291</v>
      </c>
      <c r="BC103" s="148">
        <f t="shared" si="87"/>
        <v>0</v>
      </c>
      <c r="BD103" s="144">
        <f t="shared" si="88"/>
        <v>1703791.4193382291</v>
      </c>
      <c r="BE103" s="144">
        <f t="shared" si="49"/>
        <v>33323151.928538647</v>
      </c>
      <c r="BF103" s="144">
        <f>INDEX('Hospital Education Funding'!$G$9:$G$159,MATCH(C103,'Hospital Education Funding'!$C$9:$C$158,0))</f>
        <v>0</v>
      </c>
      <c r="BG103" s="152">
        <f>INDEX('Import|Export Adjustments Data'!$Q$9:$Q$159,MATCH('2019-20 StepbyStep Allocations'!$C103,'Import|Export Adjustments Data'!$C$9:$C$159,0))</f>
        <v>40</v>
      </c>
      <c r="BH103" s="144">
        <f t="shared" si="89"/>
        <v>240000</v>
      </c>
      <c r="BI103" s="153">
        <f>INDEX('Baselines+Historic Spend Factor'!$F$9:$F$159,MATCH('2019-20 StepbyStep Allocations'!C103,'Baselines+Historic Spend Factor'!C$9:C$159,0))-INDEX('Baselines+Historic Spend Factor'!$G$9:$G$159,MATCH('2019-20 StepbyStep Allocations'!C103,'Baselines+Historic Spend Factor'!C$9:C$159,0))</f>
        <v>35725170.684479155</v>
      </c>
      <c r="BJ103" s="154">
        <f t="shared" si="50"/>
        <v>36936729.439278431</v>
      </c>
      <c r="BK103" s="155">
        <f t="shared" si="90"/>
        <v>3.3913309064346642E-2</v>
      </c>
      <c r="BL103" s="156">
        <f t="shared" si="91"/>
        <v>535.96976345614394</v>
      </c>
      <c r="BM103" s="148">
        <f t="shared" si="51"/>
        <v>541.32946109070542</v>
      </c>
      <c r="BN103" s="148">
        <f t="shared" si="92"/>
        <v>541.32946109070542</v>
      </c>
      <c r="BO103" s="148">
        <f t="shared" si="52"/>
        <v>33323151.928538647</v>
      </c>
      <c r="BP103" s="144">
        <f t="shared" si="53"/>
        <v>36936729.439278431</v>
      </c>
      <c r="BQ103" s="148">
        <v>36400606.901492499</v>
      </c>
      <c r="BR103" s="157">
        <f t="shared" si="48"/>
        <v>1.4728395579688858E-2</v>
      </c>
      <c r="BT103" s="94"/>
      <c r="BU103" s="158"/>
      <c r="BX103" s="94"/>
    </row>
    <row r="104" spans="1:76" ht="15.4" x14ac:dyDescent="0.45">
      <c r="A104" s="139" t="s">
        <v>232</v>
      </c>
      <c r="B104" s="140" t="s">
        <v>202</v>
      </c>
      <c r="C104" s="102">
        <v>826</v>
      </c>
      <c r="D104" s="141" t="s">
        <v>211</v>
      </c>
      <c r="E104" s="348">
        <v>1.0431206446350318</v>
      </c>
      <c r="F104" s="142">
        <v>845</v>
      </c>
      <c r="G104" s="143">
        <f t="shared" si="54"/>
        <v>4172.4825785401272</v>
      </c>
      <c r="H104" s="144">
        <f t="shared" si="55"/>
        <v>3525747.7788664075</v>
      </c>
      <c r="I104" s="144">
        <f>INDEX('Baselines+Historic Spend Factor'!$Q$9:$Q$159,MATCH(C104,'Baselines+Historic Spend Factor'!$C$9:$C$159,0))</f>
        <v>17544195.623370524</v>
      </c>
      <c r="J104" s="142">
        <v>65495.220999999998</v>
      </c>
      <c r="K104" s="145">
        <f t="shared" si="56"/>
        <v>68319.417150033871</v>
      </c>
      <c r="L104" s="144">
        <f t="shared" si="57"/>
        <v>8005225.7311318144</v>
      </c>
      <c r="M104" s="142">
        <v>4862.5</v>
      </c>
      <c r="N104" s="145">
        <f t="shared" si="58"/>
        <v>5072.1741345378423</v>
      </c>
      <c r="O104" s="144">
        <f t="shared" si="59"/>
        <v>1244379.6775629264</v>
      </c>
      <c r="P104" s="142">
        <v>7935</v>
      </c>
      <c r="Q104" s="145">
        <f t="shared" si="60"/>
        <v>8277.1623151789772</v>
      </c>
      <c r="R104" s="147">
        <f t="shared" si="61"/>
        <v>281772.00062676787</v>
      </c>
      <c r="S104" s="142">
        <v>5633</v>
      </c>
      <c r="T104" s="145">
        <f t="shared" si="62"/>
        <v>5875.8985912291346</v>
      </c>
      <c r="U104" s="147">
        <f t="shared" si="63"/>
        <v>259789.26683599534</v>
      </c>
      <c r="V104" s="142">
        <v>4110</v>
      </c>
      <c r="W104" s="145">
        <f t="shared" si="64"/>
        <v>4287.2258494499811</v>
      </c>
      <c r="X104" s="147">
        <f t="shared" si="65"/>
        <v>258530.01155089689</v>
      </c>
      <c r="Y104" s="142">
        <v>2813</v>
      </c>
      <c r="Z104" s="145">
        <f t="shared" si="66"/>
        <v>2934.2983733583446</v>
      </c>
      <c r="AA104" s="147">
        <f t="shared" si="67"/>
        <v>189264.66084898973</v>
      </c>
      <c r="AB104" s="142">
        <v>5004</v>
      </c>
      <c r="AC104" s="145">
        <f t="shared" si="68"/>
        <v>5219.7757057536992</v>
      </c>
      <c r="AD104" s="147">
        <f t="shared" si="69"/>
        <v>368678.91733646463</v>
      </c>
      <c r="AE104" s="142">
        <v>770</v>
      </c>
      <c r="AF104" s="145">
        <f t="shared" si="70"/>
        <v>803.20289636897451</v>
      </c>
      <c r="AG104" s="147">
        <f t="shared" si="71"/>
        <v>76766.864369408591</v>
      </c>
      <c r="AH104" s="144">
        <f t="shared" si="72"/>
        <v>1434801.721568523</v>
      </c>
      <c r="AI104" s="142">
        <v>285</v>
      </c>
      <c r="AJ104" s="145">
        <f t="shared" si="73"/>
        <v>297.28938372098406</v>
      </c>
      <c r="AK104" s="147">
        <f t="shared" si="74"/>
        <v>917553.13037493604</v>
      </c>
      <c r="AL104" s="142">
        <v>1950</v>
      </c>
      <c r="AM104" s="145">
        <f t="shared" si="75"/>
        <v>2034.0852570383122</v>
      </c>
      <c r="AN104" s="147">
        <f t="shared" si="76"/>
        <v>1036801.4038406236</v>
      </c>
      <c r="AO104" s="142">
        <v>591</v>
      </c>
      <c r="AP104" s="145">
        <f t="shared" si="77"/>
        <v>616.48430097930384</v>
      </c>
      <c r="AQ104" s="147">
        <f t="shared" si="78"/>
        <v>1085850.3510202991</v>
      </c>
      <c r="AR104" s="142">
        <v>687</v>
      </c>
      <c r="AS104" s="145">
        <f t="shared" si="79"/>
        <v>716.62388286426688</v>
      </c>
      <c r="AT104" s="147">
        <f t="shared" si="80"/>
        <v>1036710.5724240309</v>
      </c>
      <c r="AU104" s="144">
        <f t="shared" si="81"/>
        <v>32305518.211293679</v>
      </c>
      <c r="AV104" s="148">
        <f>INDEX('Baselines+Historic Spend Factor'!P$9:P$159,MATCH('2019-20 StepbyStep Allocations'!C104,'Baselines+Historic Spend Factor'!C$9:C$159,0))</f>
        <v>35088391.246741049</v>
      </c>
      <c r="AW104" s="149">
        <v>63636.519</v>
      </c>
      <c r="AX104" s="150">
        <f t="shared" si="82"/>
        <v>551.38765913234579</v>
      </c>
      <c r="AY104" s="148">
        <f t="shared" si="83"/>
        <v>556.90153572366921</v>
      </c>
      <c r="AZ104" s="148">
        <f t="shared" si="84"/>
        <v>493.25000691720209</v>
      </c>
      <c r="BA104" s="148">
        <f t="shared" si="85"/>
        <v>556.90153572366921</v>
      </c>
      <c r="BB104" s="151">
        <f t="shared" si="86"/>
        <v>4168870.9461674304</v>
      </c>
      <c r="BC104" s="148">
        <f t="shared" si="87"/>
        <v>0</v>
      </c>
      <c r="BD104" s="144">
        <f t="shared" si="88"/>
        <v>4168870.9461674304</v>
      </c>
      <c r="BE104" s="144">
        <f t="shared" si="49"/>
        <v>36474389.157461107</v>
      </c>
      <c r="BF104" s="144">
        <f>INDEX('Hospital Education Funding'!$G$9:$G$159,MATCH(C104,'Hospital Education Funding'!$C$9:$C$158,0))</f>
        <v>0</v>
      </c>
      <c r="BG104" s="152">
        <f>INDEX('Import|Export Adjustments Data'!$Q$9:$Q$159,MATCH('2019-20 StepbyStep Allocations'!$C104,'Import|Export Adjustments Data'!$C$9:$C$159,0))</f>
        <v>-6</v>
      </c>
      <c r="BH104" s="144">
        <f t="shared" si="89"/>
        <v>-36000</v>
      </c>
      <c r="BI104" s="153">
        <f>INDEX('Baselines+Historic Spend Factor'!$F$9:$F$159,MATCH('2019-20 StepbyStep Allocations'!C104,'Baselines+Historic Spend Factor'!C$9:C$159,0))-INDEX('Baselines+Historic Spend Factor'!$G$9:$G$159,MATCH('2019-20 StepbyStep Allocations'!C104,'Baselines+Historic Spend Factor'!C$9:C$159,0))</f>
        <v>38524171.926301032</v>
      </c>
      <c r="BJ104" s="154">
        <f t="shared" si="50"/>
        <v>39964136.936327517</v>
      </c>
      <c r="BK104" s="155">
        <f t="shared" si="90"/>
        <v>3.7378220946091334E-2</v>
      </c>
      <c r="BL104" s="156">
        <f t="shared" si="91"/>
        <v>551.38765913234579</v>
      </c>
      <c r="BM104" s="148">
        <f t="shared" si="51"/>
        <v>556.90153572366921</v>
      </c>
      <c r="BN104" s="148">
        <f t="shared" si="92"/>
        <v>556.90153572366921</v>
      </c>
      <c r="BO104" s="148">
        <f t="shared" si="52"/>
        <v>36474389.157461107</v>
      </c>
      <c r="BP104" s="144">
        <f t="shared" si="53"/>
        <v>39964136.936327517</v>
      </c>
      <c r="BQ104" s="148">
        <v>39269749.77403941</v>
      </c>
      <c r="BR104" s="157">
        <f t="shared" ref="BR104:BR135" si="93">BP104/BQ104-1</f>
        <v>1.7682495210273874E-2</v>
      </c>
      <c r="BT104" s="94"/>
      <c r="BU104" s="158"/>
      <c r="BX104" s="94"/>
    </row>
    <row r="105" spans="1:76" ht="15.4" x14ac:dyDescent="0.45">
      <c r="A105" s="139" t="s">
        <v>213</v>
      </c>
      <c r="B105" s="140" t="s">
        <v>202</v>
      </c>
      <c r="C105" s="102">
        <v>931</v>
      </c>
      <c r="D105" s="141" t="s">
        <v>212</v>
      </c>
      <c r="E105" s="348">
        <v>1.0333689168320959</v>
      </c>
      <c r="F105" s="142">
        <v>1178</v>
      </c>
      <c r="G105" s="143">
        <f t="shared" si="54"/>
        <v>4133.4756673283837</v>
      </c>
      <c r="H105" s="144">
        <f t="shared" si="55"/>
        <v>4869234.3361128364</v>
      </c>
      <c r="I105" s="144">
        <f>INDEX('Baselines+Historic Spend Factor'!$Q$9:$Q$159,MATCH(C105,'Baselines+Historic Spend Factor'!$C$9:$C$159,0))</f>
        <v>25631572.447429925</v>
      </c>
      <c r="J105" s="142">
        <v>137438.799</v>
      </c>
      <c r="K105" s="145">
        <f t="shared" si="56"/>
        <v>142024.98285333414</v>
      </c>
      <c r="L105" s="144">
        <f t="shared" si="57"/>
        <v>16641565.379638219</v>
      </c>
      <c r="M105" s="142">
        <v>7269.4999999999982</v>
      </c>
      <c r="N105" s="145">
        <f t="shared" si="58"/>
        <v>7512.0753409109193</v>
      </c>
      <c r="O105" s="144">
        <f t="shared" si="59"/>
        <v>1842971.7991933424</v>
      </c>
      <c r="P105" s="142">
        <v>10750</v>
      </c>
      <c r="Q105" s="145">
        <f t="shared" si="60"/>
        <v>11108.715855945031</v>
      </c>
      <c r="R105" s="147">
        <f t="shared" si="61"/>
        <v>378164.03399312182</v>
      </c>
      <c r="S105" s="142">
        <v>6389</v>
      </c>
      <c r="T105" s="145">
        <f t="shared" si="62"/>
        <v>6602.1940096402604</v>
      </c>
      <c r="U105" s="147">
        <f t="shared" si="63"/>
        <v>291900.73903482023</v>
      </c>
      <c r="V105" s="142">
        <v>3773</v>
      </c>
      <c r="W105" s="145">
        <f t="shared" si="64"/>
        <v>3898.9009232074977</v>
      </c>
      <c r="X105" s="147">
        <f t="shared" si="65"/>
        <v>235113.08620280726</v>
      </c>
      <c r="Y105" s="142">
        <v>3120</v>
      </c>
      <c r="Z105" s="145">
        <f t="shared" si="66"/>
        <v>3224.111020516139</v>
      </c>
      <c r="AA105" s="147">
        <f t="shared" si="67"/>
        <v>207957.81518942234</v>
      </c>
      <c r="AB105" s="142">
        <v>1998</v>
      </c>
      <c r="AC105" s="145">
        <f t="shared" si="68"/>
        <v>2064.6710958305275</v>
      </c>
      <c r="AD105" s="147">
        <f t="shared" si="69"/>
        <v>145830.155772331</v>
      </c>
      <c r="AE105" s="142">
        <v>0</v>
      </c>
      <c r="AF105" s="145">
        <f t="shared" si="70"/>
        <v>0</v>
      </c>
      <c r="AG105" s="147">
        <f t="shared" si="71"/>
        <v>0</v>
      </c>
      <c r="AH105" s="144">
        <f t="shared" si="72"/>
        <v>1258965.8301925026</v>
      </c>
      <c r="AI105" s="142">
        <v>505</v>
      </c>
      <c r="AJ105" s="145">
        <f t="shared" si="73"/>
        <v>521.85130300020842</v>
      </c>
      <c r="AK105" s="147">
        <f t="shared" si="74"/>
        <v>1610640.4159641128</v>
      </c>
      <c r="AL105" s="142">
        <v>3850</v>
      </c>
      <c r="AM105" s="145">
        <f t="shared" si="75"/>
        <v>3978.4703298035693</v>
      </c>
      <c r="AN105" s="147">
        <f t="shared" si="76"/>
        <v>2027881.3824571744</v>
      </c>
      <c r="AO105" s="142">
        <v>1225</v>
      </c>
      <c r="AP105" s="145">
        <f t="shared" si="77"/>
        <v>1265.8769231193173</v>
      </c>
      <c r="AQ105" s="147">
        <f t="shared" si="78"/>
        <v>2229664.0792540675</v>
      </c>
      <c r="AR105" s="142">
        <v>1527</v>
      </c>
      <c r="AS105" s="145">
        <f t="shared" si="79"/>
        <v>1577.9543360026105</v>
      </c>
      <c r="AT105" s="147">
        <f t="shared" si="80"/>
        <v>2282762.2439790973</v>
      </c>
      <c r="AU105" s="144">
        <f t="shared" si="81"/>
        <v>53526023.578108445</v>
      </c>
      <c r="AV105" s="148">
        <f>INDEX('Baselines+Historic Spend Factor'!P$9:P$159,MATCH('2019-20 StepbyStep Allocations'!C105,'Baselines+Historic Spend Factor'!C$9:C$159,0))</f>
        <v>51263144.89485985</v>
      </c>
      <c r="AW105" s="149">
        <v>136141.18800000002</v>
      </c>
      <c r="AX105" s="150">
        <f t="shared" si="82"/>
        <v>376.54398090649715</v>
      </c>
      <c r="AY105" s="148">
        <f t="shared" si="83"/>
        <v>380.30942071556211</v>
      </c>
      <c r="AZ105" s="148">
        <f t="shared" si="84"/>
        <v>389.45351652926217</v>
      </c>
      <c r="BA105" s="148">
        <f t="shared" si="85"/>
        <v>389.45351652926217</v>
      </c>
      <c r="BB105" s="151">
        <f t="shared" si="86"/>
        <v>0</v>
      </c>
      <c r="BC105" s="148">
        <f t="shared" si="87"/>
        <v>0</v>
      </c>
      <c r="BD105" s="144">
        <f t="shared" si="88"/>
        <v>0</v>
      </c>
      <c r="BE105" s="144">
        <f t="shared" si="49"/>
        <v>53526023.578108445</v>
      </c>
      <c r="BF105" s="144">
        <f>INDEX('Hospital Education Funding'!$G$9:$G$159,MATCH(C105,'Hospital Education Funding'!$C$9:$C$158,0))</f>
        <v>1623070</v>
      </c>
      <c r="BG105" s="152">
        <f>INDEX('Import|Export Adjustments Data'!$Q$9:$Q$159,MATCH('2019-20 StepbyStep Allocations'!$C105,'Import|Export Adjustments Data'!$C$9:$C$159,0))</f>
        <v>191</v>
      </c>
      <c r="BH105" s="144">
        <f t="shared" si="89"/>
        <v>1146000</v>
      </c>
      <c r="BI105" s="153">
        <f>INDEX('Baselines+Historic Spend Factor'!$F$9:$F$159,MATCH('2019-20 StepbyStep Allocations'!C105,'Baselines+Historic Spend Factor'!C$9:C$159,0))-INDEX('Baselines+Historic Spend Factor'!$G$9:$G$159,MATCH('2019-20 StepbyStep Allocations'!C105,'Baselines+Historic Spend Factor'!C$9:C$159,0))</f>
        <v>58400767.915420078</v>
      </c>
      <c r="BJ105" s="154">
        <f t="shared" si="50"/>
        <v>61164327.914221279</v>
      </c>
      <c r="BK105" s="155">
        <f t="shared" si="90"/>
        <v>4.7320610626277571E-2</v>
      </c>
      <c r="BL105" s="156">
        <f t="shared" si="91"/>
        <v>376.54398090649715</v>
      </c>
      <c r="BM105" s="148">
        <f t="shared" si="51"/>
        <v>389.45351652926217</v>
      </c>
      <c r="BN105" s="148">
        <f t="shared" si="92"/>
        <v>389.45351652926217</v>
      </c>
      <c r="BO105" s="148">
        <f t="shared" si="52"/>
        <v>53526023.578108445</v>
      </c>
      <c r="BP105" s="144">
        <f t="shared" si="53"/>
        <v>61164327.914221279</v>
      </c>
      <c r="BQ105" s="148">
        <v>60800088.873721302</v>
      </c>
      <c r="BR105" s="157">
        <f t="shared" si="93"/>
        <v>5.9907649354999926E-3</v>
      </c>
      <c r="BT105" s="94"/>
      <c r="BU105" s="158"/>
      <c r="BX105" s="94"/>
    </row>
    <row r="106" spans="1:76" ht="15.4" x14ac:dyDescent="0.45">
      <c r="A106" s="139" t="s">
        <v>214</v>
      </c>
      <c r="B106" s="140" t="s">
        <v>202</v>
      </c>
      <c r="C106" s="102">
        <v>851</v>
      </c>
      <c r="D106" s="141" t="s">
        <v>213</v>
      </c>
      <c r="E106" s="348">
        <v>1.0213260495386489</v>
      </c>
      <c r="F106" s="142">
        <v>536.5</v>
      </c>
      <c r="G106" s="143">
        <f t="shared" si="54"/>
        <v>4085.3041981545957</v>
      </c>
      <c r="H106" s="144">
        <f t="shared" si="55"/>
        <v>2191765.7023099405</v>
      </c>
      <c r="I106" s="144">
        <f>INDEX('Baselines+Historic Spend Factor'!$Q$9:$Q$159,MATCH(C106,'Baselines+Historic Spend Factor'!$C$9:$C$159,0))</f>
        <v>8202241.9512381926</v>
      </c>
      <c r="J106" s="142">
        <v>42238.716999999997</v>
      </c>
      <c r="K106" s="145">
        <f t="shared" si="56"/>
        <v>43139.50197119097</v>
      </c>
      <c r="L106" s="144">
        <f t="shared" si="57"/>
        <v>5054806.7535411986</v>
      </c>
      <c r="M106" s="142">
        <v>4863.5000000000009</v>
      </c>
      <c r="N106" s="145">
        <f t="shared" si="58"/>
        <v>4967.2192419312196</v>
      </c>
      <c r="O106" s="144">
        <f t="shared" si="59"/>
        <v>1218630.6137578881</v>
      </c>
      <c r="P106" s="142">
        <v>6626</v>
      </c>
      <c r="Q106" s="145">
        <f t="shared" si="60"/>
        <v>6767.3064042430879</v>
      </c>
      <c r="R106" s="147">
        <f t="shared" si="61"/>
        <v>230373.33228092943</v>
      </c>
      <c r="S106" s="142">
        <v>3231</v>
      </c>
      <c r="T106" s="145">
        <f t="shared" si="62"/>
        <v>3299.9044660593745</v>
      </c>
      <c r="U106" s="147">
        <f t="shared" si="63"/>
        <v>145897.64417412513</v>
      </c>
      <c r="V106" s="142">
        <v>5080</v>
      </c>
      <c r="W106" s="145">
        <f t="shared" si="64"/>
        <v>5188.3363316563364</v>
      </c>
      <c r="X106" s="147">
        <f t="shared" si="65"/>
        <v>312869.13702601753</v>
      </c>
      <c r="Y106" s="142">
        <v>2626</v>
      </c>
      <c r="Z106" s="145">
        <f t="shared" si="66"/>
        <v>2682.0022060884921</v>
      </c>
      <c r="AA106" s="147">
        <f t="shared" si="67"/>
        <v>172991.35034812978</v>
      </c>
      <c r="AB106" s="142">
        <v>3929</v>
      </c>
      <c r="AC106" s="145">
        <f t="shared" si="68"/>
        <v>4012.7900486373514</v>
      </c>
      <c r="AD106" s="147">
        <f t="shared" si="69"/>
        <v>283428.09615351824</v>
      </c>
      <c r="AE106" s="142">
        <v>2039</v>
      </c>
      <c r="AF106" s="145">
        <f t="shared" si="70"/>
        <v>2082.4838150093051</v>
      </c>
      <c r="AG106" s="147">
        <f t="shared" si="71"/>
        <v>199035.32880796402</v>
      </c>
      <c r="AH106" s="144">
        <f t="shared" si="72"/>
        <v>1344594.8887906841</v>
      </c>
      <c r="AI106" s="142">
        <v>248</v>
      </c>
      <c r="AJ106" s="145">
        <f t="shared" si="73"/>
        <v>253.28886028558492</v>
      </c>
      <c r="AK106" s="147">
        <f t="shared" si="74"/>
        <v>781750.03673275793</v>
      </c>
      <c r="AL106" s="142">
        <v>1530</v>
      </c>
      <c r="AM106" s="145">
        <f t="shared" si="75"/>
        <v>1562.6288557941327</v>
      </c>
      <c r="AN106" s="147">
        <f t="shared" si="76"/>
        <v>796493.55196064361</v>
      </c>
      <c r="AO106" s="142">
        <v>476</v>
      </c>
      <c r="AP106" s="145">
        <f t="shared" si="77"/>
        <v>486.15119958039691</v>
      </c>
      <c r="AQ106" s="147">
        <f t="shared" si="78"/>
        <v>856286.93200256419</v>
      </c>
      <c r="AR106" s="142">
        <v>763</v>
      </c>
      <c r="AS106" s="145">
        <f t="shared" si="79"/>
        <v>779.27177579798911</v>
      </c>
      <c r="AT106" s="147">
        <f t="shared" si="80"/>
        <v>1127340.7265362404</v>
      </c>
      <c r="AU106" s="144">
        <f t="shared" si="81"/>
        <v>19382145.454560168</v>
      </c>
      <c r="AV106" s="148">
        <f>INDEX('Baselines+Historic Spend Factor'!P$9:P$159,MATCH('2019-20 StepbyStep Allocations'!C106,'Baselines+Historic Spend Factor'!C$9:C$159,0))</f>
        <v>16404483.902476385</v>
      </c>
      <c r="AW106" s="149">
        <v>41670.466999999997</v>
      </c>
      <c r="AX106" s="150">
        <f t="shared" si="82"/>
        <v>393.67170765032188</v>
      </c>
      <c r="AY106" s="148">
        <f t="shared" si="83"/>
        <v>397.60842472682509</v>
      </c>
      <c r="AZ106" s="148">
        <f t="shared" si="84"/>
        <v>458.87154798191835</v>
      </c>
      <c r="BA106" s="148">
        <f t="shared" si="85"/>
        <v>458.87154798191835</v>
      </c>
      <c r="BB106" s="151">
        <f t="shared" si="86"/>
        <v>0</v>
      </c>
      <c r="BC106" s="148">
        <f t="shared" si="87"/>
        <v>0</v>
      </c>
      <c r="BD106" s="144">
        <f t="shared" si="88"/>
        <v>0</v>
      </c>
      <c r="BE106" s="144">
        <f t="shared" si="49"/>
        <v>19382145.454560168</v>
      </c>
      <c r="BF106" s="144">
        <f>INDEX('Hospital Education Funding'!$G$9:$G$159,MATCH(C106,'Hospital Education Funding'!$C$9:$C$158,0))</f>
        <v>666600</v>
      </c>
      <c r="BG106" s="152">
        <f>INDEX('Import|Export Adjustments Data'!$Q$9:$Q$159,MATCH('2019-20 StepbyStep Allocations'!$C106,'Import|Export Adjustments Data'!$C$9:$C$159,0))</f>
        <v>-5.5</v>
      </c>
      <c r="BH106" s="144">
        <f t="shared" si="89"/>
        <v>-33000</v>
      </c>
      <c r="BI106" s="153">
        <f>INDEX('Baselines+Historic Spend Factor'!$F$9:$F$159,MATCH('2019-20 StepbyStep Allocations'!C106,'Baselines+Historic Spend Factor'!C$9:C$159,0))-INDEX('Baselines+Historic Spend Factor'!$G$9:$G$159,MATCH('2019-20 StepbyStep Allocations'!C106,'Baselines+Historic Spend Factor'!C$9:C$159,0))</f>
        <v>19173391.914148148</v>
      </c>
      <c r="BJ106" s="154">
        <f t="shared" si="50"/>
        <v>22207511.156870108</v>
      </c>
      <c r="BK106" s="155">
        <f t="shared" si="90"/>
        <v>0.15824634766282886</v>
      </c>
      <c r="BL106" s="156">
        <f t="shared" si="91"/>
        <v>393.67170765032188</v>
      </c>
      <c r="BM106" s="148">
        <f t="shared" si="51"/>
        <v>458.87154798191835</v>
      </c>
      <c r="BN106" s="148">
        <f t="shared" si="92"/>
        <v>417.64631464622647</v>
      </c>
      <c r="BO106" s="148">
        <f t="shared" si="52"/>
        <v>17640844.490434915</v>
      </c>
      <c r="BP106" s="144">
        <f t="shared" si="53"/>
        <v>20466210.192744855</v>
      </c>
      <c r="BQ106" s="148">
        <v>19495927.154633272</v>
      </c>
      <c r="BR106" s="157">
        <f t="shared" si="93"/>
        <v>4.9768499359672314E-2</v>
      </c>
      <c r="BT106" s="94"/>
      <c r="BU106" s="158"/>
      <c r="BX106" s="94"/>
    </row>
    <row r="107" spans="1:76" ht="15.4" x14ac:dyDescent="0.45">
      <c r="A107" s="139" t="s">
        <v>198</v>
      </c>
      <c r="B107" s="140" t="s">
        <v>202</v>
      </c>
      <c r="C107" s="102">
        <v>870</v>
      </c>
      <c r="D107" s="141" t="s">
        <v>214</v>
      </c>
      <c r="E107" s="348">
        <v>1.0522356053683966</v>
      </c>
      <c r="F107" s="142">
        <v>256</v>
      </c>
      <c r="G107" s="143">
        <f t="shared" si="54"/>
        <v>4208.9424214735864</v>
      </c>
      <c r="H107" s="144">
        <f t="shared" si="55"/>
        <v>1077489.2598972381</v>
      </c>
      <c r="I107" s="144">
        <f>INDEX('Baselines+Historic Spend Factor'!$Q$9:$Q$159,MATCH(C107,'Baselines+Historic Spend Factor'!$C$9:$C$159,0))</f>
        <v>9816786.060360305</v>
      </c>
      <c r="J107" s="142">
        <v>34901.053</v>
      </c>
      <c r="K107" s="145">
        <f t="shared" si="56"/>
        <v>36724.130631449494</v>
      </c>
      <c r="L107" s="144">
        <f t="shared" si="57"/>
        <v>4303095.1923772348</v>
      </c>
      <c r="M107" s="142">
        <v>3033</v>
      </c>
      <c r="N107" s="145">
        <f t="shared" si="58"/>
        <v>3191.4305910823468</v>
      </c>
      <c r="O107" s="144">
        <f t="shared" si="59"/>
        <v>782968.26263386279</v>
      </c>
      <c r="P107" s="142">
        <v>4606</v>
      </c>
      <c r="Q107" s="145">
        <f t="shared" si="60"/>
        <v>4846.5971983268346</v>
      </c>
      <c r="R107" s="147">
        <f t="shared" si="61"/>
        <v>164988.3543180355</v>
      </c>
      <c r="S107" s="142">
        <v>2161</v>
      </c>
      <c r="T107" s="145">
        <f t="shared" si="62"/>
        <v>2273.8811432011048</v>
      </c>
      <c r="U107" s="147">
        <f t="shared" si="63"/>
        <v>100534.39587030714</v>
      </c>
      <c r="V107" s="142">
        <v>3213</v>
      </c>
      <c r="W107" s="145">
        <f t="shared" si="64"/>
        <v>3380.8330000486581</v>
      </c>
      <c r="X107" s="147">
        <f t="shared" si="65"/>
        <v>203872.346651942</v>
      </c>
      <c r="Y107" s="142">
        <v>2120</v>
      </c>
      <c r="Z107" s="145">
        <f t="shared" si="66"/>
        <v>2230.7394833810008</v>
      </c>
      <c r="AA107" s="147">
        <f t="shared" si="67"/>
        <v>143884.53321512148</v>
      </c>
      <c r="AB107" s="142">
        <v>2503</v>
      </c>
      <c r="AC107" s="145">
        <f t="shared" si="68"/>
        <v>2633.7457202370965</v>
      </c>
      <c r="AD107" s="147">
        <f t="shared" si="69"/>
        <v>186024.56799173012</v>
      </c>
      <c r="AE107" s="142">
        <v>0</v>
      </c>
      <c r="AF107" s="145">
        <f t="shared" si="70"/>
        <v>0</v>
      </c>
      <c r="AG107" s="147">
        <f t="shared" si="71"/>
        <v>0</v>
      </c>
      <c r="AH107" s="144">
        <f t="shared" si="72"/>
        <v>799304.19804713631</v>
      </c>
      <c r="AI107" s="142">
        <v>167</v>
      </c>
      <c r="AJ107" s="145">
        <f t="shared" si="73"/>
        <v>175.72334609652222</v>
      </c>
      <c r="AK107" s="147">
        <f t="shared" si="74"/>
        <v>542352.04860913276</v>
      </c>
      <c r="AL107" s="142">
        <v>1250</v>
      </c>
      <c r="AM107" s="145">
        <f t="shared" si="75"/>
        <v>1315.2945067104956</v>
      </c>
      <c r="AN107" s="147">
        <f t="shared" si="76"/>
        <v>670423.81154017523</v>
      </c>
      <c r="AO107" s="142">
        <v>396</v>
      </c>
      <c r="AP107" s="145">
        <f t="shared" si="77"/>
        <v>416.68529972588505</v>
      </c>
      <c r="AQ107" s="147">
        <f t="shared" si="78"/>
        <v>733932.52391603135</v>
      </c>
      <c r="AR107" s="142">
        <v>405</v>
      </c>
      <c r="AS107" s="145">
        <f t="shared" si="79"/>
        <v>426.15542017420063</v>
      </c>
      <c r="AT107" s="147">
        <f t="shared" si="80"/>
        <v>616501.68261846586</v>
      </c>
      <c r="AU107" s="144">
        <f t="shared" si="81"/>
        <v>18265363.780102342</v>
      </c>
      <c r="AV107" s="148">
        <f>INDEX('Baselines+Historic Spend Factor'!P$9:P$159,MATCH('2019-20 StepbyStep Allocations'!C107,'Baselines+Historic Spend Factor'!C$9:C$159,0))</f>
        <v>19633572.12072061</v>
      </c>
      <c r="AW107" s="149">
        <v>34057.035000000003</v>
      </c>
      <c r="AX107" s="150">
        <f t="shared" si="82"/>
        <v>576.49093999875822</v>
      </c>
      <c r="AY107" s="148">
        <f t="shared" si="83"/>
        <v>582.2558493987458</v>
      </c>
      <c r="AZ107" s="148">
        <f t="shared" si="84"/>
        <v>523.3470686429531</v>
      </c>
      <c r="BA107" s="148">
        <f t="shared" si="85"/>
        <v>582.2558493987458</v>
      </c>
      <c r="BB107" s="151">
        <f t="shared" si="86"/>
        <v>2055978.4793233008</v>
      </c>
      <c r="BC107" s="148">
        <f t="shared" si="87"/>
        <v>0</v>
      </c>
      <c r="BD107" s="144">
        <f t="shared" si="88"/>
        <v>2055978.4793233008</v>
      </c>
      <c r="BE107" s="144">
        <f t="shared" si="49"/>
        <v>20321342.259425644</v>
      </c>
      <c r="BF107" s="144">
        <f>INDEX('Hospital Education Funding'!$G$9:$G$159,MATCH(C107,'Hospital Education Funding'!$C$9:$C$158,0))</f>
        <v>182810</v>
      </c>
      <c r="BG107" s="152">
        <f>INDEX('Import|Export Adjustments Data'!$Q$9:$Q$159,MATCH('2019-20 StepbyStep Allocations'!$C107,'Import|Export Adjustments Data'!$C$9:$C$159,0))</f>
        <v>-351</v>
      </c>
      <c r="BH107" s="144">
        <f t="shared" si="89"/>
        <v>-2106000</v>
      </c>
      <c r="BI107" s="153">
        <f>INDEX('Baselines+Historic Spend Factor'!$F$9:$F$159,MATCH('2019-20 StepbyStep Allocations'!C107,'Baselines+Historic Spend Factor'!C$9:C$159,0))-INDEX('Baselines+Historic Spend Factor'!$G$9:$G$159,MATCH('2019-20 StepbyStep Allocations'!C107,'Baselines+Historic Spend Factor'!C$9:C$159,0))</f>
        <v>18882509.359452799</v>
      </c>
      <c r="BJ107" s="154">
        <f t="shared" si="50"/>
        <v>19475641.519322883</v>
      </c>
      <c r="BK107" s="155">
        <f t="shared" si="90"/>
        <v>3.1411723335021513E-2</v>
      </c>
      <c r="BL107" s="156">
        <f t="shared" si="91"/>
        <v>576.49093999875822</v>
      </c>
      <c r="BM107" s="148">
        <f t="shared" si="51"/>
        <v>582.2558493987458</v>
      </c>
      <c r="BN107" s="148">
        <f t="shared" si="92"/>
        <v>582.2558493987458</v>
      </c>
      <c r="BO107" s="148">
        <f t="shared" si="52"/>
        <v>20321342.259425644</v>
      </c>
      <c r="BP107" s="144">
        <f t="shared" si="53"/>
        <v>19475641.519322883</v>
      </c>
      <c r="BQ107" s="148">
        <v>19127601.385505177</v>
      </c>
      <c r="BR107" s="157">
        <f t="shared" si="93"/>
        <v>1.8195701949406562E-2</v>
      </c>
      <c r="BT107" s="94"/>
      <c r="BU107" s="158"/>
      <c r="BX107" s="94"/>
    </row>
    <row r="108" spans="1:76" ht="15.4" x14ac:dyDescent="0.45">
      <c r="A108" s="139" t="s">
        <v>154</v>
      </c>
      <c r="B108" s="140" t="s">
        <v>202</v>
      </c>
      <c r="C108" s="102">
        <v>871</v>
      </c>
      <c r="D108" s="141" t="s">
        <v>215</v>
      </c>
      <c r="E108" s="348">
        <v>1.0744343550114952</v>
      </c>
      <c r="F108" s="142">
        <v>322</v>
      </c>
      <c r="G108" s="143">
        <f t="shared" si="54"/>
        <v>4297.7374200459808</v>
      </c>
      <c r="H108" s="144">
        <f t="shared" si="55"/>
        <v>1383871.4492548059</v>
      </c>
      <c r="I108" s="144">
        <f>INDEX('Baselines+Historic Spend Factor'!$Q$9:$Q$159,MATCH(C108,'Baselines+Historic Spend Factor'!$C$9:$C$159,0))</f>
        <v>10435307.123163173</v>
      </c>
      <c r="J108" s="142">
        <v>39976.904000000002</v>
      </c>
      <c r="K108" s="145">
        <f t="shared" si="56"/>
        <v>42952.559064596462</v>
      </c>
      <c r="L108" s="144">
        <f t="shared" si="57"/>
        <v>5032901.9974915897</v>
      </c>
      <c r="M108" s="142">
        <v>3048.5</v>
      </c>
      <c r="N108" s="145">
        <f t="shared" si="58"/>
        <v>3275.4131312525433</v>
      </c>
      <c r="O108" s="144">
        <f t="shared" si="59"/>
        <v>803572.08330048632</v>
      </c>
      <c r="P108" s="142">
        <v>11544</v>
      </c>
      <c r="Q108" s="145">
        <f t="shared" si="60"/>
        <v>12403.2701942527</v>
      </c>
      <c r="R108" s="147">
        <f t="shared" si="61"/>
        <v>422233.38432543149</v>
      </c>
      <c r="S108" s="142">
        <v>3288</v>
      </c>
      <c r="T108" s="145">
        <f t="shared" si="62"/>
        <v>3532.740159277796</v>
      </c>
      <c r="U108" s="147">
        <f t="shared" si="63"/>
        <v>156191.93586335788</v>
      </c>
      <c r="V108" s="142">
        <v>1479</v>
      </c>
      <c r="W108" s="145">
        <f t="shared" si="64"/>
        <v>1589.0884110620013</v>
      </c>
      <c r="X108" s="147">
        <f t="shared" si="65"/>
        <v>95825.846291713708</v>
      </c>
      <c r="Y108" s="142">
        <v>0</v>
      </c>
      <c r="Z108" s="145">
        <f t="shared" si="66"/>
        <v>0</v>
      </c>
      <c r="AA108" s="147">
        <f t="shared" si="67"/>
        <v>0</v>
      </c>
      <c r="AB108" s="142">
        <v>0</v>
      </c>
      <c r="AC108" s="145">
        <f t="shared" si="68"/>
        <v>0</v>
      </c>
      <c r="AD108" s="147">
        <f t="shared" si="69"/>
        <v>0</v>
      </c>
      <c r="AE108" s="142">
        <v>0</v>
      </c>
      <c r="AF108" s="145">
        <f t="shared" si="70"/>
        <v>0</v>
      </c>
      <c r="AG108" s="147">
        <f t="shared" si="71"/>
        <v>0</v>
      </c>
      <c r="AH108" s="144">
        <f t="shared" si="72"/>
        <v>674251.16648050305</v>
      </c>
      <c r="AI108" s="142">
        <v>216</v>
      </c>
      <c r="AJ108" s="145">
        <f t="shared" si="73"/>
        <v>232.07782068248295</v>
      </c>
      <c r="AK108" s="147">
        <f t="shared" si="74"/>
        <v>716284.34285988519</v>
      </c>
      <c r="AL108" s="142">
        <v>1120</v>
      </c>
      <c r="AM108" s="145">
        <f t="shared" si="75"/>
        <v>1203.3664776128746</v>
      </c>
      <c r="AN108" s="147">
        <f t="shared" si="76"/>
        <v>613372.54621293151</v>
      </c>
      <c r="AO108" s="142">
        <v>376</v>
      </c>
      <c r="AP108" s="145">
        <f t="shared" si="77"/>
        <v>403.9873174843222</v>
      </c>
      <c r="AQ108" s="147">
        <f t="shared" si="78"/>
        <v>711566.8149233649</v>
      </c>
      <c r="AR108" s="142">
        <v>300</v>
      </c>
      <c r="AS108" s="145">
        <f t="shared" si="79"/>
        <v>322.33030650344858</v>
      </c>
      <c r="AT108" s="147">
        <f t="shared" si="80"/>
        <v>466302.12103619793</v>
      </c>
      <c r="AU108" s="144">
        <f t="shared" si="81"/>
        <v>19453558.195468131</v>
      </c>
      <c r="AV108" s="148">
        <f>INDEX('Baselines+Historic Spend Factor'!P$9:P$159,MATCH('2019-20 StepbyStep Allocations'!C108,'Baselines+Historic Spend Factor'!C$9:C$159,0))</f>
        <v>20870614.246326346</v>
      </c>
      <c r="AW108" s="149">
        <v>38639.595000000001</v>
      </c>
      <c r="AX108" s="150">
        <f t="shared" si="82"/>
        <v>540.13542963704322</v>
      </c>
      <c r="AY108" s="148">
        <f t="shared" si="83"/>
        <v>545.53678393341363</v>
      </c>
      <c r="AZ108" s="148">
        <f t="shared" si="84"/>
        <v>486.61992923384287</v>
      </c>
      <c r="BA108" s="148">
        <f t="shared" si="85"/>
        <v>545.53678393341363</v>
      </c>
      <c r="BB108" s="151">
        <f t="shared" si="86"/>
        <v>2355313.4443066893</v>
      </c>
      <c r="BC108" s="148">
        <f t="shared" si="87"/>
        <v>0</v>
      </c>
      <c r="BD108" s="144">
        <f t="shared" si="88"/>
        <v>2355313.4443066893</v>
      </c>
      <c r="BE108" s="144">
        <f t="shared" si="49"/>
        <v>21808871.639774822</v>
      </c>
      <c r="BF108" s="144">
        <f>INDEX('Hospital Education Funding'!$G$9:$G$159,MATCH(C108,'Hospital Education Funding'!$C$9:$C$158,0))</f>
        <v>121200</v>
      </c>
      <c r="BG108" s="152">
        <f>INDEX('Import|Export Adjustments Data'!$Q$9:$Q$159,MATCH('2019-20 StepbyStep Allocations'!$C108,'Import|Export Adjustments Data'!$C$9:$C$159,0))</f>
        <v>-38</v>
      </c>
      <c r="BH108" s="144">
        <f t="shared" si="89"/>
        <v>-228000</v>
      </c>
      <c r="BI108" s="153">
        <f>INDEX('Baselines+Historic Spend Factor'!$F$9:$F$159,MATCH('2019-20 StepbyStep Allocations'!C108,'Baselines+Historic Spend Factor'!C$9:C$159,0))-INDEX('Baselines+Historic Spend Factor'!$G$9:$G$159,MATCH('2019-20 StepbyStep Allocations'!C108,'Baselines+Historic Spend Factor'!C$9:C$159,0))</f>
        <v>22293081.170421243</v>
      </c>
      <c r="BJ108" s="154">
        <f t="shared" si="50"/>
        <v>23085943.089029629</v>
      </c>
      <c r="BK108" s="155">
        <f t="shared" si="90"/>
        <v>3.5565380691313653E-2</v>
      </c>
      <c r="BL108" s="156">
        <f t="shared" si="91"/>
        <v>540.13542963704322</v>
      </c>
      <c r="BM108" s="148">
        <f t="shared" si="51"/>
        <v>545.53678393341363</v>
      </c>
      <c r="BN108" s="148">
        <f t="shared" si="92"/>
        <v>545.53678393341363</v>
      </c>
      <c r="BO108" s="148">
        <f t="shared" si="52"/>
        <v>21808871.639774822</v>
      </c>
      <c r="BP108" s="144">
        <f t="shared" si="53"/>
        <v>23085943.089029629</v>
      </c>
      <c r="BQ108" s="148">
        <v>22588107.45332868</v>
      </c>
      <c r="BR108" s="157">
        <f t="shared" si="93"/>
        <v>2.2039723191930705E-2</v>
      </c>
      <c r="BT108" s="94"/>
      <c r="BU108" s="158"/>
      <c r="BX108" s="94"/>
    </row>
    <row r="109" spans="1:76" ht="15.4" x14ac:dyDescent="0.45">
      <c r="A109" s="139" t="s">
        <v>199</v>
      </c>
      <c r="B109" s="140" t="s">
        <v>202</v>
      </c>
      <c r="C109" s="102">
        <v>852</v>
      </c>
      <c r="D109" s="141" t="s">
        <v>216</v>
      </c>
      <c r="E109" s="348">
        <v>1.0213260495386489</v>
      </c>
      <c r="F109" s="142">
        <v>570</v>
      </c>
      <c r="G109" s="143">
        <f t="shared" si="54"/>
        <v>4085.3041981545957</v>
      </c>
      <c r="H109" s="144">
        <f t="shared" si="55"/>
        <v>2328623.3929481194</v>
      </c>
      <c r="I109" s="144">
        <f>INDEX('Baselines+Historic Spend Factor'!$Q$9:$Q$159,MATCH(C109,'Baselines+Historic Spend Factor'!$C$9:$C$159,0))</f>
        <v>10168036.733020771</v>
      </c>
      <c r="J109" s="142">
        <v>48209.807000000001</v>
      </c>
      <c r="K109" s="145">
        <f t="shared" si="56"/>
        <v>49237.931732330704</v>
      </c>
      <c r="L109" s="144">
        <f t="shared" si="57"/>
        <v>5769381.1582988603</v>
      </c>
      <c r="M109" s="142">
        <v>6011.5000000000009</v>
      </c>
      <c r="N109" s="145">
        <f t="shared" si="58"/>
        <v>6139.7015468015888</v>
      </c>
      <c r="O109" s="144">
        <f t="shared" si="59"/>
        <v>1506281.0598551545</v>
      </c>
      <c r="P109" s="142">
        <v>6851</v>
      </c>
      <c r="Q109" s="145">
        <f t="shared" si="60"/>
        <v>6997.1047653892838</v>
      </c>
      <c r="R109" s="147">
        <f t="shared" si="61"/>
        <v>238196.15144229514</v>
      </c>
      <c r="S109" s="142">
        <v>5496</v>
      </c>
      <c r="T109" s="145">
        <f t="shared" si="62"/>
        <v>5613.2079682644144</v>
      </c>
      <c r="U109" s="147">
        <f t="shared" si="63"/>
        <v>248175.00847446357</v>
      </c>
      <c r="V109" s="142">
        <v>3503</v>
      </c>
      <c r="W109" s="145">
        <f t="shared" si="64"/>
        <v>3577.7051515338871</v>
      </c>
      <c r="X109" s="147">
        <f t="shared" si="65"/>
        <v>215744.21003979124</v>
      </c>
      <c r="Y109" s="142">
        <v>3915</v>
      </c>
      <c r="Z109" s="145">
        <f t="shared" si="66"/>
        <v>3998.4914839438106</v>
      </c>
      <c r="AA109" s="147">
        <f t="shared" si="67"/>
        <v>257905.99261726128</v>
      </c>
      <c r="AB109" s="142">
        <v>6411</v>
      </c>
      <c r="AC109" s="145">
        <f t="shared" si="68"/>
        <v>6547.7213035922778</v>
      </c>
      <c r="AD109" s="147">
        <f t="shared" si="69"/>
        <v>462473.28186312172</v>
      </c>
      <c r="AE109" s="142">
        <v>1373</v>
      </c>
      <c r="AF109" s="145">
        <f t="shared" si="70"/>
        <v>1402.280666016565</v>
      </c>
      <c r="AG109" s="147">
        <f t="shared" si="71"/>
        <v>134024.27977113027</v>
      </c>
      <c r="AH109" s="144">
        <f t="shared" si="72"/>
        <v>1556518.9242080632</v>
      </c>
      <c r="AI109" s="142">
        <v>292</v>
      </c>
      <c r="AJ109" s="145">
        <f t="shared" si="73"/>
        <v>298.22720646528546</v>
      </c>
      <c r="AK109" s="147">
        <f t="shared" si="74"/>
        <v>920447.6238950215</v>
      </c>
      <c r="AL109" s="142">
        <v>1970</v>
      </c>
      <c r="AM109" s="145">
        <f t="shared" si="75"/>
        <v>2012.0123175911383</v>
      </c>
      <c r="AN109" s="147">
        <f t="shared" si="76"/>
        <v>1025550.5211519399</v>
      </c>
      <c r="AO109" s="142">
        <v>498</v>
      </c>
      <c r="AP109" s="145">
        <f t="shared" si="77"/>
        <v>508.62037267024715</v>
      </c>
      <c r="AQ109" s="147">
        <f t="shared" si="78"/>
        <v>895863.21877579181</v>
      </c>
      <c r="AR109" s="142">
        <v>560</v>
      </c>
      <c r="AS109" s="145">
        <f t="shared" si="79"/>
        <v>571.94258774164337</v>
      </c>
      <c r="AT109" s="147">
        <f t="shared" si="80"/>
        <v>827406.03782476357</v>
      </c>
      <c r="AU109" s="144">
        <f t="shared" si="81"/>
        <v>22669485.277030371</v>
      </c>
      <c r="AV109" s="148">
        <f>INDEX('Baselines+Historic Spend Factor'!P$9:P$159,MATCH('2019-20 StepbyStep Allocations'!C109,'Baselines+Historic Spend Factor'!C$9:C$159,0))</f>
        <v>20336073.466041543</v>
      </c>
      <c r="AW109" s="149">
        <v>47082.301999999996</v>
      </c>
      <c r="AX109" s="150">
        <f t="shared" si="82"/>
        <v>431.92606568050866</v>
      </c>
      <c r="AY109" s="148">
        <f t="shared" si="83"/>
        <v>436.24532633731377</v>
      </c>
      <c r="AZ109" s="148">
        <f t="shared" si="84"/>
        <v>470.22559698341814</v>
      </c>
      <c r="BA109" s="148">
        <f t="shared" si="85"/>
        <v>470.22559698341814</v>
      </c>
      <c r="BB109" s="151">
        <f t="shared" si="86"/>
        <v>0</v>
      </c>
      <c r="BC109" s="148">
        <f t="shared" si="87"/>
        <v>0</v>
      </c>
      <c r="BD109" s="144">
        <f t="shared" si="88"/>
        <v>0</v>
      </c>
      <c r="BE109" s="144">
        <f t="shared" si="49"/>
        <v>22669485.277030371</v>
      </c>
      <c r="BF109" s="144">
        <f>INDEX('Hospital Education Funding'!$G$9:$G$159,MATCH(C109,'Hospital Education Funding'!$C$9:$C$158,0))</f>
        <v>0</v>
      </c>
      <c r="BG109" s="152">
        <f>INDEX('Import|Export Adjustments Data'!$Q$9:$Q$159,MATCH('2019-20 StepbyStep Allocations'!$C109,'Import|Export Adjustments Data'!$C$9:$C$159,0))</f>
        <v>-31</v>
      </c>
      <c r="BH109" s="144">
        <f t="shared" si="89"/>
        <v>-186000</v>
      </c>
      <c r="BI109" s="153">
        <f>INDEX('Baselines+Historic Spend Factor'!$F$9:$F$159,MATCH('2019-20 StepbyStep Allocations'!C109,'Baselines+Historic Spend Factor'!C$9:C$159,0))-INDEX('Baselines+Historic Spend Factor'!$G$9:$G$159,MATCH('2019-20 StepbyStep Allocations'!C109,'Baselines+Historic Spend Factor'!C$9:C$159,0))</f>
        <v>22491834.51969485</v>
      </c>
      <c r="BJ109" s="154">
        <f t="shared" si="50"/>
        <v>24812108.669978492</v>
      </c>
      <c r="BK109" s="155">
        <f t="shared" si="90"/>
        <v>0.10316073365433609</v>
      </c>
      <c r="BL109" s="156">
        <f t="shared" si="91"/>
        <v>431.92606568050866</v>
      </c>
      <c r="BM109" s="148">
        <f t="shared" si="51"/>
        <v>470.22559698341814</v>
      </c>
      <c r="BN109" s="148">
        <f t="shared" si="92"/>
        <v>458.23036308045164</v>
      </c>
      <c r="BO109" s="148">
        <f t="shared" si="52"/>
        <v>22091197.365648501</v>
      </c>
      <c r="BP109" s="144">
        <f t="shared" si="53"/>
        <v>24233820.758596621</v>
      </c>
      <c r="BQ109" s="148">
        <v>23338668.417634234</v>
      </c>
      <c r="BR109" s="157">
        <f t="shared" si="93"/>
        <v>3.8354902042570194E-2</v>
      </c>
      <c r="BT109" s="94"/>
      <c r="BU109" s="158"/>
      <c r="BX109" s="94"/>
    </row>
    <row r="110" spans="1:76" ht="15.4" x14ac:dyDescent="0.45">
      <c r="A110" s="139" t="s">
        <v>172</v>
      </c>
      <c r="B110" s="140" t="s">
        <v>202</v>
      </c>
      <c r="C110" s="102">
        <v>936</v>
      </c>
      <c r="D110" s="141" t="s">
        <v>217</v>
      </c>
      <c r="E110" s="348">
        <v>1.0744343550114952</v>
      </c>
      <c r="F110" s="142">
        <v>2697.5</v>
      </c>
      <c r="G110" s="143">
        <f t="shared" si="54"/>
        <v>4297.7374200459808</v>
      </c>
      <c r="H110" s="144">
        <f t="shared" si="55"/>
        <v>11593146.690574033</v>
      </c>
      <c r="I110" s="144">
        <f>INDEX('Baselines+Historic Spend Factor'!$Q$9:$Q$159,MATCH(C110,'Baselines+Historic Spend Factor'!$C$9:$C$159,0))</f>
        <v>64484116.711025029</v>
      </c>
      <c r="J110" s="142">
        <v>251796.86499999996</v>
      </c>
      <c r="K110" s="145">
        <f t="shared" si="56"/>
        <v>270539.20224019152</v>
      </c>
      <c r="L110" s="144">
        <f t="shared" si="57"/>
        <v>31700027.216230158</v>
      </c>
      <c r="M110" s="142">
        <v>10534.500000000005</v>
      </c>
      <c r="N110" s="145">
        <f t="shared" si="58"/>
        <v>11318.628712868602</v>
      </c>
      <c r="O110" s="144">
        <f t="shared" si="59"/>
        <v>2776850.9468686162</v>
      </c>
      <c r="P110" s="142">
        <v>12342</v>
      </c>
      <c r="Q110" s="145">
        <f t="shared" si="60"/>
        <v>13260.668809551873</v>
      </c>
      <c r="R110" s="147">
        <f t="shared" si="61"/>
        <v>451421.03511300031</v>
      </c>
      <c r="S110" s="142">
        <v>9234</v>
      </c>
      <c r="T110" s="145">
        <f t="shared" si="62"/>
        <v>9921.3268341761468</v>
      </c>
      <c r="U110" s="147">
        <f t="shared" si="63"/>
        <v>438648.52060895582</v>
      </c>
      <c r="V110" s="142">
        <v>3781</v>
      </c>
      <c r="W110" s="145">
        <f t="shared" si="64"/>
        <v>4062.4362962984633</v>
      </c>
      <c r="X110" s="147">
        <f t="shared" si="65"/>
        <v>244974.66181809973</v>
      </c>
      <c r="Y110" s="142">
        <v>1619</v>
      </c>
      <c r="Z110" s="145">
        <f t="shared" si="66"/>
        <v>1739.5092207636108</v>
      </c>
      <c r="AA110" s="147">
        <f t="shared" si="67"/>
        <v>112199.77685320041</v>
      </c>
      <c r="AB110" s="142">
        <v>713</v>
      </c>
      <c r="AC110" s="145">
        <f t="shared" si="68"/>
        <v>766.07169512319604</v>
      </c>
      <c r="AD110" s="147">
        <f t="shared" si="69"/>
        <v>54108.547777025327</v>
      </c>
      <c r="AE110" s="142">
        <v>0</v>
      </c>
      <c r="AF110" s="145">
        <f t="shared" si="70"/>
        <v>0</v>
      </c>
      <c r="AG110" s="147">
        <f t="shared" si="71"/>
        <v>0</v>
      </c>
      <c r="AH110" s="144">
        <f t="shared" si="72"/>
        <v>1301352.5421702815</v>
      </c>
      <c r="AI110" s="142">
        <v>966</v>
      </c>
      <c r="AJ110" s="145">
        <f t="shared" si="73"/>
        <v>1037.9035869411043</v>
      </c>
      <c r="AK110" s="147">
        <f t="shared" si="74"/>
        <v>3203382.7555678203</v>
      </c>
      <c r="AL110" s="142">
        <v>7360</v>
      </c>
      <c r="AM110" s="145">
        <f t="shared" si="75"/>
        <v>7907.8368528846049</v>
      </c>
      <c r="AN110" s="147">
        <f t="shared" si="76"/>
        <v>4030733.8751135492</v>
      </c>
      <c r="AO110" s="142">
        <v>1861</v>
      </c>
      <c r="AP110" s="145">
        <f t="shared" si="77"/>
        <v>1999.5223346763926</v>
      </c>
      <c r="AQ110" s="147">
        <f t="shared" si="78"/>
        <v>3521877.2408839948</v>
      </c>
      <c r="AR110" s="142">
        <v>2185</v>
      </c>
      <c r="AS110" s="145">
        <f t="shared" si="79"/>
        <v>2347.639065700117</v>
      </c>
      <c r="AT110" s="147">
        <f t="shared" si="80"/>
        <v>3396233.7815469746</v>
      </c>
      <c r="AU110" s="144">
        <f t="shared" si="81"/>
        <v>114414575.06940642</v>
      </c>
      <c r="AV110" s="148">
        <f>INDEX('Baselines+Historic Spend Factor'!P$9:P$159,MATCH('2019-20 StepbyStep Allocations'!C110,'Baselines+Historic Spend Factor'!C$9:C$159,0))</f>
        <v>128968233.42205006</v>
      </c>
      <c r="AW110" s="149">
        <v>247708.37499999997</v>
      </c>
      <c r="AX110" s="150">
        <f t="shared" si="82"/>
        <v>520.6454300225015</v>
      </c>
      <c r="AY110" s="148">
        <f t="shared" si="83"/>
        <v>525.85188432272651</v>
      </c>
      <c r="AZ110" s="148">
        <f t="shared" si="84"/>
        <v>454.39237327043941</v>
      </c>
      <c r="BA110" s="148">
        <f t="shared" si="85"/>
        <v>525.85188432272651</v>
      </c>
      <c r="BB110" s="151">
        <f t="shared" si="86"/>
        <v>17993280.857398741</v>
      </c>
      <c r="BC110" s="148">
        <f t="shared" si="87"/>
        <v>0</v>
      </c>
      <c r="BD110" s="144">
        <f t="shared" si="88"/>
        <v>17993280.857398741</v>
      </c>
      <c r="BE110" s="144">
        <f t="shared" si="49"/>
        <v>132407855.92680517</v>
      </c>
      <c r="BF110" s="144">
        <f>INDEX('Hospital Education Funding'!$G$9:$G$159,MATCH(C110,'Hospital Education Funding'!$C$9:$C$158,0))</f>
        <v>640340</v>
      </c>
      <c r="BG110" s="152">
        <f>INDEX('Import|Export Adjustments Data'!$Q$9:$Q$159,MATCH('2019-20 StepbyStep Allocations'!$C110,'Import|Export Adjustments Data'!$C$9:$C$159,0))</f>
        <v>-102.5</v>
      </c>
      <c r="BH110" s="144">
        <f t="shared" si="89"/>
        <v>-615000</v>
      </c>
      <c r="BI110" s="153">
        <f>INDEX('Baselines+Historic Spend Factor'!$F$9:$F$159,MATCH('2019-20 StepbyStep Allocations'!C110,'Baselines+Historic Spend Factor'!C$9:C$159,0))-INDEX('Baselines+Historic Spend Factor'!$G$9:$G$159,MATCH('2019-20 StepbyStep Allocations'!C110,'Baselines+Historic Spend Factor'!C$9:C$159,0))</f>
        <v>139745580.57419103</v>
      </c>
      <c r="BJ110" s="154">
        <f t="shared" si="50"/>
        <v>144026342.61737919</v>
      </c>
      <c r="BK110" s="155">
        <f t="shared" si="90"/>
        <v>3.0632539688190574E-2</v>
      </c>
      <c r="BL110" s="156">
        <f t="shared" si="91"/>
        <v>520.6454300225015</v>
      </c>
      <c r="BM110" s="148">
        <f t="shared" si="51"/>
        <v>525.85188432272651</v>
      </c>
      <c r="BN110" s="148">
        <f t="shared" si="92"/>
        <v>525.85188432272651</v>
      </c>
      <c r="BO110" s="148">
        <f t="shared" si="52"/>
        <v>132407855.92680517</v>
      </c>
      <c r="BP110" s="144">
        <f t="shared" si="53"/>
        <v>144026342.61737919</v>
      </c>
      <c r="BQ110" s="148">
        <v>142422156.81452578</v>
      </c>
      <c r="BR110" s="157">
        <f t="shared" si="93"/>
        <v>1.1263597172892936E-2</v>
      </c>
      <c r="BT110" s="94"/>
      <c r="BU110" s="158"/>
      <c r="BX110" s="94"/>
    </row>
    <row r="111" spans="1:76" ht="15.4" x14ac:dyDescent="0.45">
      <c r="A111" s="139" t="s">
        <v>265</v>
      </c>
      <c r="B111" s="140" t="s">
        <v>202</v>
      </c>
      <c r="C111" s="102">
        <v>869</v>
      </c>
      <c r="D111" s="141" t="s">
        <v>218</v>
      </c>
      <c r="E111" s="348">
        <v>1.0522356053683966</v>
      </c>
      <c r="F111" s="142">
        <v>429</v>
      </c>
      <c r="G111" s="143">
        <f t="shared" si="54"/>
        <v>4208.9424214735864</v>
      </c>
      <c r="H111" s="144">
        <f t="shared" si="55"/>
        <v>1805636.2988121687</v>
      </c>
      <c r="I111" s="144">
        <f>INDEX('Baselines+Historic Spend Factor'!$Q$9:$Q$159,MATCH(C111,'Baselines+Historic Spend Factor'!$C$9:$C$159,0))</f>
        <v>8419066.0470872577</v>
      </c>
      <c r="J111" s="142">
        <v>34611.262999999999</v>
      </c>
      <c r="K111" s="145">
        <f t="shared" si="56"/>
        <v>36419.203275369786</v>
      </c>
      <c r="L111" s="144">
        <f t="shared" si="57"/>
        <v>4267365.7845625477</v>
      </c>
      <c r="M111" s="142">
        <v>1433</v>
      </c>
      <c r="N111" s="145">
        <f t="shared" si="58"/>
        <v>1507.8536224929123</v>
      </c>
      <c r="O111" s="144">
        <f t="shared" si="59"/>
        <v>369928.62524046336</v>
      </c>
      <c r="P111" s="142">
        <v>855</v>
      </c>
      <c r="Q111" s="145">
        <f t="shared" si="60"/>
        <v>899.66144258997906</v>
      </c>
      <c r="R111" s="147">
        <f t="shared" si="61"/>
        <v>30626.366248788618</v>
      </c>
      <c r="S111" s="142">
        <v>1046</v>
      </c>
      <c r="T111" s="145">
        <f t="shared" si="62"/>
        <v>1100.6384432153427</v>
      </c>
      <c r="U111" s="147">
        <f t="shared" si="63"/>
        <v>48662.183285673891</v>
      </c>
      <c r="V111" s="142">
        <v>0</v>
      </c>
      <c r="W111" s="145">
        <f t="shared" si="64"/>
        <v>0</v>
      </c>
      <c r="X111" s="147">
        <f t="shared" si="65"/>
        <v>0</v>
      </c>
      <c r="Y111" s="142">
        <v>286</v>
      </c>
      <c r="Z111" s="145">
        <f t="shared" si="66"/>
        <v>300.93938313536142</v>
      </c>
      <c r="AA111" s="147">
        <f t="shared" si="67"/>
        <v>19410.837971473935</v>
      </c>
      <c r="AB111" s="142">
        <v>408</v>
      </c>
      <c r="AC111" s="145">
        <f t="shared" si="68"/>
        <v>429.31212699030579</v>
      </c>
      <c r="AD111" s="147">
        <f t="shared" si="69"/>
        <v>30322.822109718691</v>
      </c>
      <c r="AE111" s="142">
        <v>0</v>
      </c>
      <c r="AF111" s="145">
        <f t="shared" si="70"/>
        <v>0</v>
      </c>
      <c r="AG111" s="147">
        <f t="shared" si="71"/>
        <v>0</v>
      </c>
      <c r="AH111" s="144">
        <f t="shared" si="72"/>
        <v>129022.20961565514</v>
      </c>
      <c r="AI111" s="142">
        <v>117</v>
      </c>
      <c r="AJ111" s="145">
        <f t="shared" si="73"/>
        <v>123.1115658281024</v>
      </c>
      <c r="AK111" s="147">
        <f t="shared" si="74"/>
        <v>379971.19573214691</v>
      </c>
      <c r="AL111" s="142">
        <v>1050</v>
      </c>
      <c r="AM111" s="145">
        <f t="shared" si="75"/>
        <v>1104.8473856368164</v>
      </c>
      <c r="AN111" s="147">
        <f t="shared" si="76"/>
        <v>563156.00169374724</v>
      </c>
      <c r="AO111" s="142">
        <v>293</v>
      </c>
      <c r="AP111" s="145">
        <f t="shared" si="77"/>
        <v>308.30503237294022</v>
      </c>
      <c r="AQ111" s="147">
        <f t="shared" si="78"/>
        <v>543035.93309948791</v>
      </c>
      <c r="AR111" s="142">
        <v>241</v>
      </c>
      <c r="AS111" s="145">
        <f t="shared" si="79"/>
        <v>253.58878089378356</v>
      </c>
      <c r="AT111" s="147">
        <f t="shared" si="80"/>
        <v>366856.55681740807</v>
      </c>
      <c r="AU111" s="144">
        <f t="shared" si="81"/>
        <v>15038402.353848716</v>
      </c>
      <c r="AV111" s="148">
        <f>INDEX('Baselines+Historic Spend Factor'!P$9:P$159,MATCH('2019-20 StepbyStep Allocations'!C111,'Baselines+Historic Spend Factor'!C$9:C$159,0))</f>
        <v>16838132.094174515</v>
      </c>
      <c r="AW111" s="149">
        <v>34507.612000000001</v>
      </c>
      <c r="AX111" s="150">
        <f t="shared" si="82"/>
        <v>487.95413876145687</v>
      </c>
      <c r="AY111" s="148">
        <f t="shared" si="83"/>
        <v>492.83368014907143</v>
      </c>
      <c r="AZ111" s="148">
        <f t="shared" si="84"/>
        <v>434.49446944044536</v>
      </c>
      <c r="BA111" s="148">
        <f t="shared" si="85"/>
        <v>492.83368014907143</v>
      </c>
      <c r="BB111" s="151">
        <f t="shared" si="86"/>
        <v>2019193.7650486731</v>
      </c>
      <c r="BC111" s="148">
        <f t="shared" si="87"/>
        <v>0</v>
      </c>
      <c r="BD111" s="144">
        <f t="shared" si="88"/>
        <v>2019193.7650486731</v>
      </c>
      <c r="BE111" s="144">
        <f t="shared" si="49"/>
        <v>17057596.11889739</v>
      </c>
      <c r="BF111" s="144">
        <f>INDEX('Hospital Education Funding'!$G$9:$G$159,MATCH(C111,'Hospital Education Funding'!$C$9:$C$158,0))</f>
        <v>45450</v>
      </c>
      <c r="BG111" s="152">
        <f>INDEX('Import|Export Adjustments Data'!$Q$9:$Q$159,MATCH('2019-20 StepbyStep Allocations'!$C111,'Import|Export Adjustments Data'!$C$9:$C$159,0))</f>
        <v>128</v>
      </c>
      <c r="BH111" s="144">
        <f t="shared" si="89"/>
        <v>768000</v>
      </c>
      <c r="BI111" s="153">
        <f>INDEX('Baselines+Historic Spend Factor'!$F$9:$F$159,MATCH('2019-20 StepbyStep Allocations'!C111,'Baselines+Historic Spend Factor'!C$9:C$159,0))-INDEX('Baselines+Historic Spend Factor'!$G$9:$G$159,MATCH('2019-20 StepbyStep Allocations'!C111,'Baselines+Historic Spend Factor'!C$9:C$159,0))</f>
        <v>19507992.38240416</v>
      </c>
      <c r="BJ111" s="154">
        <f t="shared" si="50"/>
        <v>19676682.417709559</v>
      </c>
      <c r="BK111" s="155">
        <f t="shared" si="90"/>
        <v>8.6472268390649365E-3</v>
      </c>
      <c r="BL111" s="156">
        <f t="shared" si="91"/>
        <v>487.95413876145687</v>
      </c>
      <c r="BM111" s="148">
        <f t="shared" si="51"/>
        <v>492.83368014907143</v>
      </c>
      <c r="BN111" s="148">
        <f t="shared" si="92"/>
        <v>492.83368014907143</v>
      </c>
      <c r="BO111" s="148">
        <f t="shared" si="52"/>
        <v>17057596.11889739</v>
      </c>
      <c r="BP111" s="144">
        <f t="shared" si="53"/>
        <v>19676682.417709559</v>
      </c>
      <c r="BQ111" s="148">
        <v>19577778.493774712</v>
      </c>
      <c r="BR111" s="157">
        <f t="shared" si="93"/>
        <v>5.0518461002251325E-3</v>
      </c>
      <c r="BT111" s="94"/>
      <c r="BU111" s="158"/>
      <c r="BX111" s="94"/>
    </row>
    <row r="112" spans="1:76" ht="15.4" x14ac:dyDescent="0.45">
      <c r="A112" s="139" t="s">
        <v>118</v>
      </c>
      <c r="B112" s="140" t="s">
        <v>202</v>
      </c>
      <c r="C112" s="102">
        <v>938</v>
      </c>
      <c r="D112" s="141" t="s">
        <v>219</v>
      </c>
      <c r="E112" s="348">
        <v>1.0111639788232589</v>
      </c>
      <c r="F112" s="142">
        <v>1901</v>
      </c>
      <c r="G112" s="143">
        <f t="shared" si="54"/>
        <v>4044.6559152930358</v>
      </c>
      <c r="H112" s="144">
        <f t="shared" si="55"/>
        <v>7688890.8949720608</v>
      </c>
      <c r="I112" s="144">
        <f>INDEX('Baselines+Historic Spend Factor'!$Q$9:$Q$159,MATCH(C112,'Baselines+Historic Spend Factor'!$C$9:$C$159,0))</f>
        <v>34641902.69192607</v>
      </c>
      <c r="J112" s="142">
        <v>167680.61299999998</v>
      </c>
      <c r="K112" s="145">
        <f t="shared" si="56"/>
        <v>169552.59581260305</v>
      </c>
      <c r="L112" s="144">
        <f t="shared" si="57"/>
        <v>19867072.340481307</v>
      </c>
      <c r="M112" s="142">
        <v>8318.0000000000073</v>
      </c>
      <c r="N112" s="145">
        <f t="shared" si="58"/>
        <v>8410.8619758518744</v>
      </c>
      <c r="O112" s="144">
        <f t="shared" si="59"/>
        <v>2063475.2348640501</v>
      </c>
      <c r="P112" s="142">
        <v>15162</v>
      </c>
      <c r="Q112" s="145">
        <f t="shared" si="60"/>
        <v>15331.268246918251</v>
      </c>
      <c r="R112" s="147">
        <f t="shared" si="61"/>
        <v>521908.59156618902</v>
      </c>
      <c r="S112" s="142">
        <v>12864</v>
      </c>
      <c r="T112" s="145">
        <f t="shared" si="62"/>
        <v>13007.613423582403</v>
      </c>
      <c r="U112" s="147">
        <f t="shared" si="63"/>
        <v>575101.54440763523</v>
      </c>
      <c r="V112" s="142">
        <v>2727</v>
      </c>
      <c r="W112" s="145">
        <f t="shared" si="64"/>
        <v>2757.4441702510271</v>
      </c>
      <c r="X112" s="147">
        <f t="shared" si="65"/>
        <v>166280.50357491869</v>
      </c>
      <c r="Y112" s="142">
        <v>1045</v>
      </c>
      <c r="Z112" s="145">
        <f t="shared" si="66"/>
        <v>1056.6663578703055</v>
      </c>
      <c r="AA112" s="147">
        <f t="shared" si="67"/>
        <v>68155.850021471997</v>
      </c>
      <c r="AB112" s="142">
        <v>1881</v>
      </c>
      <c r="AC112" s="145">
        <f t="shared" si="68"/>
        <v>1901.9994441665501</v>
      </c>
      <c r="AD112" s="147">
        <f t="shared" si="69"/>
        <v>134340.46506575495</v>
      </c>
      <c r="AE112" s="142">
        <v>0</v>
      </c>
      <c r="AF112" s="145">
        <f t="shared" si="70"/>
        <v>0</v>
      </c>
      <c r="AG112" s="147">
        <f t="shared" si="71"/>
        <v>0</v>
      </c>
      <c r="AH112" s="144">
        <f t="shared" si="72"/>
        <v>1465786.9546359698</v>
      </c>
      <c r="AI112" s="142">
        <v>744</v>
      </c>
      <c r="AJ112" s="145">
        <f t="shared" si="73"/>
        <v>752.30600024450462</v>
      </c>
      <c r="AK112" s="147">
        <f t="shared" si="74"/>
        <v>2321915.1551407026</v>
      </c>
      <c r="AL112" s="142">
        <v>4870</v>
      </c>
      <c r="AM112" s="145">
        <f t="shared" si="75"/>
        <v>4924.3685768692712</v>
      </c>
      <c r="AN112" s="147">
        <f t="shared" si="76"/>
        <v>2510018.8086317512</v>
      </c>
      <c r="AO112" s="142">
        <v>1634</v>
      </c>
      <c r="AP112" s="145">
        <f t="shared" si="77"/>
        <v>1652.241941397205</v>
      </c>
      <c r="AQ112" s="147">
        <f t="shared" si="78"/>
        <v>2910191.6937489789</v>
      </c>
      <c r="AR112" s="142">
        <v>2074</v>
      </c>
      <c r="AS112" s="145">
        <f t="shared" si="79"/>
        <v>2097.1540920794391</v>
      </c>
      <c r="AT112" s="147">
        <f t="shared" si="80"/>
        <v>3033867.3762466139</v>
      </c>
      <c r="AU112" s="144">
        <f t="shared" si="81"/>
        <v>68814230.255675435</v>
      </c>
      <c r="AV112" s="148">
        <f>INDEX('Baselines+Historic Spend Factor'!P$9:P$159,MATCH('2019-20 StepbyStep Allocations'!C112,'Baselines+Historic Spend Factor'!C$9:C$159,0))</f>
        <v>69283805.383852139</v>
      </c>
      <c r="AW112" s="149">
        <v>164588.36500000002</v>
      </c>
      <c r="AX112" s="150">
        <f t="shared" si="82"/>
        <v>420.95202406228492</v>
      </c>
      <c r="AY112" s="148">
        <f t="shared" si="83"/>
        <v>425.16154430290777</v>
      </c>
      <c r="AZ112" s="148">
        <f t="shared" si="84"/>
        <v>410.38870877502961</v>
      </c>
      <c r="BA112" s="148">
        <f t="shared" si="85"/>
        <v>425.16154430290777</v>
      </c>
      <c r="BB112" s="151">
        <f t="shared" si="86"/>
        <v>2477118.117062788</v>
      </c>
      <c r="BC112" s="148">
        <f t="shared" si="87"/>
        <v>0</v>
      </c>
      <c r="BD112" s="144">
        <f t="shared" si="88"/>
        <v>2477118.117062788</v>
      </c>
      <c r="BE112" s="144">
        <f t="shared" si="49"/>
        <v>71291348.372738227</v>
      </c>
      <c r="BF112" s="144">
        <f>INDEX('Hospital Education Funding'!$G$9:$G$159,MATCH(C112,'Hospital Education Funding'!$C$9:$C$158,0))</f>
        <v>534391</v>
      </c>
      <c r="BG112" s="152">
        <f>INDEX('Import|Export Adjustments Data'!$Q$9:$Q$159,MATCH('2019-20 StepbyStep Allocations'!$C112,'Import|Export Adjustments Data'!$C$9:$C$159,0))</f>
        <v>-177</v>
      </c>
      <c r="BH112" s="144">
        <f t="shared" si="89"/>
        <v>-1062000</v>
      </c>
      <c r="BI112" s="153">
        <f>INDEX('Baselines+Historic Spend Factor'!$F$9:$F$159,MATCH('2019-20 StepbyStep Allocations'!C112,'Baselines+Historic Spend Factor'!C$9:C$159,0))-INDEX('Baselines+Historic Spend Factor'!$G$9:$G$159,MATCH('2019-20 StepbyStep Allocations'!C112,'Baselines+Historic Spend Factor'!C$9:C$159,0))</f>
        <v>76069898.402424246</v>
      </c>
      <c r="BJ112" s="154">
        <f t="shared" si="50"/>
        <v>78452630.267710283</v>
      </c>
      <c r="BK112" s="155">
        <f t="shared" si="90"/>
        <v>3.1322926878131652E-2</v>
      </c>
      <c r="BL112" s="156">
        <f t="shared" si="91"/>
        <v>420.95202406228492</v>
      </c>
      <c r="BM112" s="148">
        <f t="shared" si="51"/>
        <v>425.16154430290777</v>
      </c>
      <c r="BN112" s="148">
        <f t="shared" si="92"/>
        <v>425.16154430290777</v>
      </c>
      <c r="BO112" s="148">
        <f t="shared" si="52"/>
        <v>71291348.372738227</v>
      </c>
      <c r="BP112" s="144">
        <f t="shared" si="53"/>
        <v>78452630.267710283</v>
      </c>
      <c r="BQ112" s="148">
        <v>77336322.922409475</v>
      </c>
      <c r="BR112" s="157">
        <f t="shared" si="93"/>
        <v>1.4434450761523498E-2</v>
      </c>
      <c r="BT112" s="94"/>
      <c r="BU112" s="158"/>
      <c r="BX112" s="94"/>
    </row>
    <row r="113" spans="1:76" ht="15.4" x14ac:dyDescent="0.45">
      <c r="A113" s="139" t="s">
        <v>173</v>
      </c>
      <c r="B113" s="140" t="s">
        <v>202</v>
      </c>
      <c r="C113" s="102">
        <v>868</v>
      </c>
      <c r="D113" s="141" t="s">
        <v>220</v>
      </c>
      <c r="E113" s="348">
        <v>1.0744343550114952</v>
      </c>
      <c r="F113" s="142">
        <v>320</v>
      </c>
      <c r="G113" s="143">
        <f t="shared" si="54"/>
        <v>4297.7374200459808</v>
      </c>
      <c r="H113" s="144">
        <f t="shared" si="55"/>
        <v>1375275.9744147139</v>
      </c>
      <c r="I113" s="144">
        <f>INDEX('Baselines+Historic Spend Factor'!$Q$9:$Q$159,MATCH(C113,'Baselines+Historic Spend Factor'!$C$9:$C$159,0))</f>
        <v>8239494.7129741907</v>
      </c>
      <c r="J113" s="142">
        <v>33446.936000000002</v>
      </c>
      <c r="K113" s="145">
        <f t="shared" si="56"/>
        <v>35936.537108270764</v>
      </c>
      <c r="L113" s="144">
        <f t="shared" si="57"/>
        <v>4210810.0968592614</v>
      </c>
      <c r="M113" s="142">
        <v>1116</v>
      </c>
      <c r="N113" s="145">
        <f t="shared" si="58"/>
        <v>1199.0687401928287</v>
      </c>
      <c r="O113" s="144">
        <f t="shared" si="59"/>
        <v>294173.01786562009</v>
      </c>
      <c r="P113" s="142">
        <v>2161</v>
      </c>
      <c r="Q113" s="145">
        <f t="shared" si="60"/>
        <v>2321.8526411798412</v>
      </c>
      <c r="R113" s="147">
        <f t="shared" si="61"/>
        <v>79040.743548792219</v>
      </c>
      <c r="S113" s="142">
        <v>1072</v>
      </c>
      <c r="T113" s="145">
        <f t="shared" si="62"/>
        <v>1151.7936285723229</v>
      </c>
      <c r="U113" s="147">
        <f t="shared" si="63"/>
        <v>50923.891498029094</v>
      </c>
      <c r="V113" s="142">
        <v>0</v>
      </c>
      <c r="W113" s="145">
        <f t="shared" si="64"/>
        <v>0</v>
      </c>
      <c r="X113" s="147">
        <f t="shared" si="65"/>
        <v>0</v>
      </c>
      <c r="Y113" s="142">
        <v>0</v>
      </c>
      <c r="Z113" s="145">
        <f t="shared" si="66"/>
        <v>0</v>
      </c>
      <c r="AA113" s="147">
        <f t="shared" si="67"/>
        <v>0</v>
      </c>
      <c r="AB113" s="142">
        <v>0</v>
      </c>
      <c r="AC113" s="145">
        <f t="shared" si="68"/>
        <v>0</v>
      </c>
      <c r="AD113" s="147">
        <f t="shared" si="69"/>
        <v>0</v>
      </c>
      <c r="AE113" s="142">
        <v>0</v>
      </c>
      <c r="AF113" s="145">
        <f t="shared" si="70"/>
        <v>0</v>
      </c>
      <c r="AG113" s="147">
        <f t="shared" si="71"/>
        <v>0</v>
      </c>
      <c r="AH113" s="144">
        <f t="shared" si="72"/>
        <v>129964.63504682132</v>
      </c>
      <c r="AI113" s="142">
        <v>101</v>
      </c>
      <c r="AJ113" s="145">
        <f t="shared" si="73"/>
        <v>108.51786985616101</v>
      </c>
      <c r="AK113" s="147">
        <f t="shared" si="74"/>
        <v>334929.25291133521</v>
      </c>
      <c r="AL113" s="142">
        <v>690</v>
      </c>
      <c r="AM113" s="145">
        <f t="shared" si="75"/>
        <v>741.35970495793174</v>
      </c>
      <c r="AN113" s="147">
        <f t="shared" si="76"/>
        <v>377881.30079189531</v>
      </c>
      <c r="AO113" s="142">
        <v>201</v>
      </c>
      <c r="AP113" s="145">
        <f t="shared" si="77"/>
        <v>215.96130535731052</v>
      </c>
      <c r="AQ113" s="147">
        <f t="shared" si="78"/>
        <v>380385.45159467112</v>
      </c>
      <c r="AR113" s="142">
        <v>216</v>
      </c>
      <c r="AS113" s="145">
        <f t="shared" si="79"/>
        <v>232.07782068248295</v>
      </c>
      <c r="AT113" s="147">
        <f t="shared" si="80"/>
        <v>335737.52714606246</v>
      </c>
      <c r="AU113" s="144">
        <f t="shared" si="81"/>
        <v>14303375.995189857</v>
      </c>
      <c r="AV113" s="148">
        <f>INDEX('Baselines+Historic Spend Factor'!P$9:P$159,MATCH('2019-20 StepbyStep Allocations'!C113,'Baselines+Historic Spend Factor'!C$9:C$159,0))</f>
        <v>16478989.425948381</v>
      </c>
      <c r="AW113" s="149">
        <v>32915.161</v>
      </c>
      <c r="AX113" s="150">
        <f t="shared" si="82"/>
        <v>500.65042750203719</v>
      </c>
      <c r="AY113" s="148">
        <f t="shared" si="83"/>
        <v>505.65693177705759</v>
      </c>
      <c r="AZ113" s="148">
        <f t="shared" si="84"/>
        <v>427.64383545296516</v>
      </c>
      <c r="BA113" s="148">
        <f t="shared" si="85"/>
        <v>505.65693177705759</v>
      </c>
      <c r="BB113" s="151">
        <f t="shared" si="86"/>
        <v>2609299.0399137549</v>
      </c>
      <c r="BC113" s="148">
        <f t="shared" si="87"/>
        <v>0</v>
      </c>
      <c r="BD113" s="144">
        <f t="shared" si="88"/>
        <v>2609299.0399137549</v>
      </c>
      <c r="BE113" s="144">
        <f t="shared" si="49"/>
        <v>16912675.035103612</v>
      </c>
      <c r="BF113" s="144">
        <f>INDEX('Hospital Education Funding'!$G$9:$G$159,MATCH(C113,'Hospital Education Funding'!$C$9:$C$158,0))</f>
        <v>33027</v>
      </c>
      <c r="BG113" s="152">
        <f>INDEX('Import|Export Adjustments Data'!$Q$9:$Q$159,MATCH('2019-20 StepbyStep Allocations'!$C113,'Import|Export Adjustments Data'!$C$9:$C$159,0))</f>
        <v>146</v>
      </c>
      <c r="BH113" s="144">
        <f t="shared" si="89"/>
        <v>876000</v>
      </c>
      <c r="BI113" s="153">
        <f>INDEX('Baselines+Historic Spend Factor'!$F$9:$F$159,MATCH('2019-20 StepbyStep Allocations'!C113,'Baselines+Historic Spend Factor'!C$9:C$159,0))-INDEX('Baselines+Historic Spend Factor'!$G$9:$G$159,MATCH('2019-20 StepbyStep Allocations'!C113,'Baselines+Historic Spend Factor'!C$9:C$159,0))</f>
        <v>18492072.188102957</v>
      </c>
      <c r="BJ113" s="154">
        <f t="shared" si="50"/>
        <v>19196978.009518325</v>
      </c>
      <c r="BK113" s="155">
        <f t="shared" si="90"/>
        <v>3.8119352674216511E-2</v>
      </c>
      <c r="BL113" s="156">
        <f t="shared" si="91"/>
        <v>500.65042750203719</v>
      </c>
      <c r="BM113" s="148">
        <f t="shared" si="51"/>
        <v>505.65693177705759</v>
      </c>
      <c r="BN113" s="148">
        <f t="shared" si="92"/>
        <v>505.65693177705759</v>
      </c>
      <c r="BO113" s="148">
        <f t="shared" si="52"/>
        <v>16912675.035103612</v>
      </c>
      <c r="BP113" s="144">
        <f t="shared" si="53"/>
        <v>19196978.009518325</v>
      </c>
      <c r="BQ113" s="148">
        <v>19023578.165890858</v>
      </c>
      <c r="BR113" s="157">
        <f t="shared" si="93"/>
        <v>9.1149962491479108E-3</v>
      </c>
      <c r="BT113" s="94"/>
      <c r="BU113" s="158"/>
      <c r="BX113" s="94"/>
    </row>
    <row r="114" spans="1:76" ht="15.4" x14ac:dyDescent="0.45">
      <c r="A114" s="139" t="s">
        <v>243</v>
      </c>
      <c r="B114" s="140" t="s">
        <v>202</v>
      </c>
      <c r="C114" s="102">
        <v>872</v>
      </c>
      <c r="D114" s="141" t="s">
        <v>221</v>
      </c>
      <c r="E114" s="348">
        <v>1.0522356053683966</v>
      </c>
      <c r="F114" s="142">
        <v>310</v>
      </c>
      <c r="G114" s="143">
        <f t="shared" si="54"/>
        <v>4208.9424214735864</v>
      </c>
      <c r="H114" s="144">
        <f t="shared" si="55"/>
        <v>1304772.1506568117</v>
      </c>
      <c r="I114" s="144">
        <f>INDEX('Baselines+Historic Spend Factor'!$Q$9:$Q$159,MATCH(C114,'Baselines+Historic Spend Factor'!$C$9:$C$159,0))</f>
        <v>8420711.5340594836</v>
      </c>
      <c r="J114" s="142">
        <v>37764.549999999996</v>
      </c>
      <c r="K114" s="145">
        <f t="shared" si="56"/>
        <v>39737.204130715072</v>
      </c>
      <c r="L114" s="144">
        <f t="shared" si="57"/>
        <v>4656147.5823462876</v>
      </c>
      <c r="M114" s="142">
        <v>1190</v>
      </c>
      <c r="N114" s="145">
        <f t="shared" si="58"/>
        <v>1252.1603703883918</v>
      </c>
      <c r="O114" s="144">
        <f t="shared" si="59"/>
        <v>307198.23031134077</v>
      </c>
      <c r="P114" s="142">
        <v>680</v>
      </c>
      <c r="Q114" s="145">
        <f t="shared" si="60"/>
        <v>715.52021165050962</v>
      </c>
      <c r="R114" s="147">
        <f t="shared" si="61"/>
        <v>24357.811753422528</v>
      </c>
      <c r="S114" s="142">
        <v>742</v>
      </c>
      <c r="T114" s="145">
        <f t="shared" si="62"/>
        <v>780.75881918335028</v>
      </c>
      <c r="U114" s="147">
        <f t="shared" si="63"/>
        <v>34519.445504751464</v>
      </c>
      <c r="V114" s="142">
        <v>0</v>
      </c>
      <c r="W114" s="145">
        <f t="shared" si="64"/>
        <v>0</v>
      </c>
      <c r="X114" s="147">
        <f t="shared" si="65"/>
        <v>0</v>
      </c>
      <c r="Y114" s="142">
        <v>0</v>
      </c>
      <c r="Z114" s="145">
        <f t="shared" si="66"/>
        <v>0</v>
      </c>
      <c r="AA114" s="147">
        <f t="shared" si="67"/>
        <v>0</v>
      </c>
      <c r="AB114" s="142">
        <v>0</v>
      </c>
      <c r="AC114" s="145">
        <f t="shared" si="68"/>
        <v>0</v>
      </c>
      <c r="AD114" s="147">
        <f t="shared" si="69"/>
        <v>0</v>
      </c>
      <c r="AE114" s="142">
        <v>0</v>
      </c>
      <c r="AF114" s="145">
        <f t="shared" si="70"/>
        <v>0</v>
      </c>
      <c r="AG114" s="147">
        <f t="shared" si="71"/>
        <v>0</v>
      </c>
      <c r="AH114" s="144">
        <f t="shared" si="72"/>
        <v>58877.257258173995</v>
      </c>
      <c r="AI114" s="142">
        <v>89</v>
      </c>
      <c r="AJ114" s="145">
        <f t="shared" si="73"/>
        <v>93.648968877787297</v>
      </c>
      <c r="AK114" s="147">
        <f t="shared" si="74"/>
        <v>289037.91812103486</v>
      </c>
      <c r="AL114" s="142">
        <v>870</v>
      </c>
      <c r="AM114" s="145">
        <f t="shared" si="75"/>
        <v>915.44497667050496</v>
      </c>
      <c r="AN114" s="147">
        <f t="shared" si="76"/>
        <v>466614.97283196193</v>
      </c>
      <c r="AO114" s="142">
        <v>241</v>
      </c>
      <c r="AP114" s="145">
        <f t="shared" si="77"/>
        <v>253.58878089378356</v>
      </c>
      <c r="AQ114" s="147">
        <f t="shared" si="78"/>
        <v>446660.95521152415</v>
      </c>
      <c r="AR114" s="142">
        <v>215</v>
      </c>
      <c r="AS114" s="145">
        <f t="shared" si="79"/>
        <v>226.23065515420527</v>
      </c>
      <c r="AT114" s="147">
        <f t="shared" si="80"/>
        <v>327278.6710196794</v>
      </c>
      <c r="AU114" s="144">
        <f t="shared" si="81"/>
        <v>14972527.121159485</v>
      </c>
      <c r="AV114" s="148">
        <f>INDEX('Baselines+Historic Spend Factor'!P$9:P$159,MATCH('2019-20 StepbyStep Allocations'!C114,'Baselines+Historic Spend Factor'!C$9:C$159,0))</f>
        <v>16841423.068118967</v>
      </c>
      <c r="AW114" s="149">
        <v>36804.303999999996</v>
      </c>
      <c r="AX114" s="150">
        <f t="shared" si="82"/>
        <v>457.59384739673294</v>
      </c>
      <c r="AY114" s="148">
        <f t="shared" si="83"/>
        <v>462.16978587070025</v>
      </c>
      <c r="AZ114" s="148">
        <f t="shared" si="84"/>
        <v>396.47042321858692</v>
      </c>
      <c r="BA114" s="148">
        <f t="shared" si="85"/>
        <v>462.16978587070025</v>
      </c>
      <c r="BB114" s="151">
        <f t="shared" si="86"/>
        <v>2481106.8658438665</v>
      </c>
      <c r="BC114" s="148">
        <f t="shared" si="87"/>
        <v>0</v>
      </c>
      <c r="BD114" s="144">
        <f t="shared" si="88"/>
        <v>2481106.8658438665</v>
      </c>
      <c r="BE114" s="144">
        <f t="shared" si="49"/>
        <v>17453633.987003352</v>
      </c>
      <c r="BF114" s="144">
        <f>INDEX('Hospital Education Funding'!$G$9:$G$159,MATCH(C114,'Hospital Education Funding'!$C$9:$C$158,0))</f>
        <v>222200</v>
      </c>
      <c r="BG114" s="152">
        <f>INDEX('Import|Export Adjustments Data'!$Q$9:$Q$159,MATCH('2019-20 StepbyStep Allocations'!$C114,'Import|Export Adjustments Data'!$C$9:$C$159,0))</f>
        <v>-99</v>
      </c>
      <c r="BH114" s="144">
        <f t="shared" si="89"/>
        <v>-594000</v>
      </c>
      <c r="BI114" s="153">
        <f>INDEX('Baselines+Historic Spend Factor'!$F$9:$F$159,MATCH('2019-20 StepbyStep Allocations'!C114,'Baselines+Historic Spend Factor'!C$9:C$159,0))-INDEX('Baselines+Historic Spend Factor'!$G$9:$G$159,MATCH('2019-20 StepbyStep Allocations'!C114,'Baselines+Historic Spend Factor'!C$9:C$159,0))</f>
        <v>17785896.85213957</v>
      </c>
      <c r="BJ114" s="154">
        <f t="shared" si="50"/>
        <v>18386606.137660164</v>
      </c>
      <c r="BK114" s="155">
        <f t="shared" si="90"/>
        <v>3.377447257872368E-2</v>
      </c>
      <c r="BL114" s="156">
        <f t="shared" si="91"/>
        <v>457.59384739673294</v>
      </c>
      <c r="BM114" s="148">
        <f t="shared" si="51"/>
        <v>462.16978587070025</v>
      </c>
      <c r="BN114" s="148">
        <f t="shared" si="92"/>
        <v>462.16978587070025</v>
      </c>
      <c r="BO114" s="148">
        <f t="shared" si="52"/>
        <v>17453633.987003352</v>
      </c>
      <c r="BP114" s="144">
        <f t="shared" si="53"/>
        <v>18386606.137660164</v>
      </c>
      <c r="BQ114" s="148">
        <v>18028750.059677672</v>
      </c>
      <c r="BR114" s="157">
        <f t="shared" si="93"/>
        <v>1.9849189588736937E-2</v>
      </c>
      <c r="BT114" s="94"/>
      <c r="BU114" s="158"/>
      <c r="BX114" s="94"/>
    </row>
    <row r="115" spans="1:76" ht="15.4" x14ac:dyDescent="0.45">
      <c r="A115" s="139" t="s">
        <v>174</v>
      </c>
      <c r="B115" s="140" t="s">
        <v>222</v>
      </c>
      <c r="C115" s="102">
        <v>800</v>
      </c>
      <c r="D115" s="141" t="s">
        <v>223</v>
      </c>
      <c r="E115" s="348">
        <v>1.021975426906069</v>
      </c>
      <c r="F115" s="142">
        <v>501</v>
      </c>
      <c r="G115" s="143">
        <f t="shared" si="54"/>
        <v>4087.9017076242762</v>
      </c>
      <c r="H115" s="144">
        <f t="shared" si="55"/>
        <v>2048038.7555197624</v>
      </c>
      <c r="I115" s="144">
        <f>INDEX('Baselines+Historic Spend Factor'!$Q$9:$Q$159,MATCH(C115,'Baselines+Historic Spend Factor'!$C$9:$C$159,0))</f>
        <v>10085211.554648781</v>
      </c>
      <c r="J115" s="142">
        <v>35014.843999999997</v>
      </c>
      <c r="K115" s="145">
        <f t="shared" si="56"/>
        <v>35784.310144949406</v>
      </c>
      <c r="L115" s="144">
        <f t="shared" si="57"/>
        <v>4192973.1296457374</v>
      </c>
      <c r="M115" s="142">
        <v>2509.9999999999995</v>
      </c>
      <c r="N115" s="145">
        <f t="shared" si="58"/>
        <v>2565.158321534233</v>
      </c>
      <c r="O115" s="144">
        <f t="shared" si="59"/>
        <v>629322.02254516492</v>
      </c>
      <c r="P115" s="142">
        <v>1552</v>
      </c>
      <c r="Q115" s="145">
        <f t="shared" si="60"/>
        <v>1586.1058625582191</v>
      </c>
      <c r="R115" s="147">
        <f t="shared" si="61"/>
        <v>53994.376947193043</v>
      </c>
      <c r="S115" s="142">
        <v>2528</v>
      </c>
      <c r="T115" s="145">
        <f t="shared" si="62"/>
        <v>2583.5538792185425</v>
      </c>
      <c r="U115" s="147">
        <f t="shared" si="63"/>
        <v>114225.85970345649</v>
      </c>
      <c r="V115" s="142">
        <v>397</v>
      </c>
      <c r="W115" s="145">
        <f t="shared" si="64"/>
        <v>405.72424448170938</v>
      </c>
      <c r="X115" s="147">
        <f t="shared" si="65"/>
        <v>24466.146010430519</v>
      </c>
      <c r="Y115" s="142">
        <v>994</v>
      </c>
      <c r="Z115" s="145">
        <f t="shared" si="66"/>
        <v>1015.8435743446327</v>
      </c>
      <c r="AA115" s="147">
        <f t="shared" si="67"/>
        <v>65522.746875231511</v>
      </c>
      <c r="AB115" s="142">
        <v>501</v>
      </c>
      <c r="AC115" s="145">
        <f t="shared" si="68"/>
        <v>512.00968887994054</v>
      </c>
      <c r="AD115" s="147">
        <f t="shared" si="69"/>
        <v>36163.848487581694</v>
      </c>
      <c r="AE115" s="142">
        <v>0</v>
      </c>
      <c r="AF115" s="145">
        <f t="shared" si="70"/>
        <v>0</v>
      </c>
      <c r="AG115" s="147">
        <f t="shared" si="71"/>
        <v>0</v>
      </c>
      <c r="AH115" s="144">
        <f t="shared" si="72"/>
        <v>294372.97802389326</v>
      </c>
      <c r="AI115" s="142">
        <v>143</v>
      </c>
      <c r="AJ115" s="145">
        <f t="shared" si="73"/>
        <v>146.14248604756787</v>
      </c>
      <c r="AK115" s="147">
        <f t="shared" si="74"/>
        <v>451053.76409798913</v>
      </c>
      <c r="AL115" s="142">
        <v>1150</v>
      </c>
      <c r="AM115" s="145">
        <f t="shared" si="75"/>
        <v>1175.2717409419793</v>
      </c>
      <c r="AN115" s="147">
        <f t="shared" si="76"/>
        <v>599052.27014774375</v>
      </c>
      <c r="AO115" s="142">
        <v>304</v>
      </c>
      <c r="AP115" s="145">
        <f t="shared" si="77"/>
        <v>310.68052977944501</v>
      </c>
      <c r="AQ115" s="147">
        <f t="shared" si="78"/>
        <v>547220.03752615955</v>
      </c>
      <c r="AR115" s="142">
        <v>418</v>
      </c>
      <c r="AS115" s="145">
        <f t="shared" si="79"/>
        <v>427.18572844673685</v>
      </c>
      <c r="AT115" s="147">
        <f t="shared" si="80"/>
        <v>617992.18761632475</v>
      </c>
      <c r="AU115" s="144">
        <f t="shared" si="81"/>
        <v>17417197.944251794</v>
      </c>
      <c r="AV115" s="148">
        <f>INDEX('Baselines+Historic Spend Factor'!P$9:P$159,MATCH('2019-20 StepbyStep Allocations'!C115,'Baselines+Historic Spend Factor'!C$9:C$159,0))</f>
        <v>20170423.109297562</v>
      </c>
      <c r="AW115" s="149">
        <v>34296.538</v>
      </c>
      <c r="AX115" s="150">
        <f t="shared" si="82"/>
        <v>588.11834329452029</v>
      </c>
      <c r="AY115" s="148">
        <f t="shared" si="83"/>
        <v>593.99952672746554</v>
      </c>
      <c r="AZ115" s="148">
        <f t="shared" si="84"/>
        <v>497.42326266687911</v>
      </c>
      <c r="BA115" s="148">
        <f t="shared" si="85"/>
        <v>593.99952672746554</v>
      </c>
      <c r="BB115" s="151">
        <f t="shared" si="86"/>
        <v>3381602.8201842401</v>
      </c>
      <c r="BC115" s="148">
        <f t="shared" si="87"/>
        <v>0</v>
      </c>
      <c r="BD115" s="144">
        <f t="shared" si="88"/>
        <v>3381602.8201842401</v>
      </c>
      <c r="BE115" s="144">
        <f t="shared" si="49"/>
        <v>20798800.764436036</v>
      </c>
      <c r="BF115" s="144">
        <f>INDEX('Hospital Education Funding'!$G$9:$G$159,MATCH(C115,'Hospital Education Funding'!$C$9:$C$158,0))</f>
        <v>311080</v>
      </c>
      <c r="BG115" s="152">
        <f>INDEX('Import|Export Adjustments Data'!$Q$9:$Q$159,MATCH('2019-20 StepbyStep Allocations'!$C115,'Import|Export Adjustments Data'!$C$9:$C$159,0))</f>
        <v>82</v>
      </c>
      <c r="BH115" s="144">
        <f t="shared" si="89"/>
        <v>492000</v>
      </c>
      <c r="BI115" s="153">
        <f>INDEX('Baselines+Historic Spend Factor'!$F$9:$F$159,MATCH('2019-20 StepbyStep Allocations'!C115,'Baselines+Historic Spend Factor'!C$9:C$159,0))-INDEX('Baselines+Historic Spend Factor'!$G$9:$G$159,MATCH('2019-20 StepbyStep Allocations'!C115,'Baselines+Historic Spend Factor'!C$9:C$159,0))</f>
        <v>22700791.732372463</v>
      </c>
      <c r="BJ115" s="154">
        <f t="shared" si="50"/>
        <v>23649919.519955799</v>
      </c>
      <c r="BK115" s="155">
        <f t="shared" si="90"/>
        <v>4.1810338545586134E-2</v>
      </c>
      <c r="BL115" s="156">
        <f t="shared" si="91"/>
        <v>588.11834329452029</v>
      </c>
      <c r="BM115" s="148">
        <f t="shared" si="51"/>
        <v>593.99952672746554</v>
      </c>
      <c r="BN115" s="148">
        <f t="shared" si="92"/>
        <v>593.99952672746554</v>
      </c>
      <c r="BO115" s="148">
        <f t="shared" si="52"/>
        <v>20798800.764436036</v>
      </c>
      <c r="BP115" s="144">
        <f t="shared" si="53"/>
        <v>23649919.519955799</v>
      </c>
      <c r="BQ115" s="148">
        <v>23250682.035009556</v>
      </c>
      <c r="BR115" s="157">
        <f t="shared" si="93"/>
        <v>1.7171001020318322E-2</v>
      </c>
      <c r="BT115" s="94"/>
      <c r="BU115" s="158"/>
      <c r="BX115" s="94"/>
    </row>
    <row r="116" spans="1:76" ht="15.4" x14ac:dyDescent="0.45">
      <c r="A116" s="139" t="s">
        <v>266</v>
      </c>
      <c r="B116" s="140" t="s">
        <v>222</v>
      </c>
      <c r="C116" s="102">
        <v>837</v>
      </c>
      <c r="D116" s="141" t="s">
        <v>224</v>
      </c>
      <c r="E116" s="348">
        <v>1</v>
      </c>
      <c r="F116" s="142">
        <v>454</v>
      </c>
      <c r="G116" s="143">
        <f t="shared" si="54"/>
        <v>4000</v>
      </c>
      <c r="H116" s="144">
        <f t="shared" si="55"/>
        <v>1816000</v>
      </c>
      <c r="I116" s="144">
        <f>INDEX('Baselines+Historic Spend Factor'!$Q$9:$Q$159,MATCH(C116,'Baselines+Historic Spend Factor'!$C$9:$C$159,0))</f>
        <v>8222506.1179448385</v>
      </c>
      <c r="J116" s="142">
        <v>34613.145000000004</v>
      </c>
      <c r="K116" s="145">
        <f t="shared" si="56"/>
        <v>34613.145000000004</v>
      </c>
      <c r="L116" s="144">
        <f t="shared" si="57"/>
        <v>4055743.6018650103</v>
      </c>
      <c r="M116" s="142">
        <v>2545</v>
      </c>
      <c r="N116" s="145">
        <f t="shared" si="58"/>
        <v>2545</v>
      </c>
      <c r="O116" s="144">
        <f t="shared" si="59"/>
        <v>624376.48933088302</v>
      </c>
      <c r="P116" s="142">
        <v>4390</v>
      </c>
      <c r="Q116" s="145">
        <f t="shared" si="60"/>
        <v>4390</v>
      </c>
      <c r="R116" s="147">
        <f t="shared" si="61"/>
        <v>149444.82609493975</v>
      </c>
      <c r="S116" s="142">
        <v>3446</v>
      </c>
      <c r="T116" s="145">
        <f t="shared" si="62"/>
        <v>3446</v>
      </c>
      <c r="U116" s="147">
        <f t="shared" si="63"/>
        <v>152356.92032758053</v>
      </c>
      <c r="V116" s="142">
        <v>2522</v>
      </c>
      <c r="W116" s="145">
        <f t="shared" si="64"/>
        <v>2522</v>
      </c>
      <c r="X116" s="147">
        <f t="shared" si="65"/>
        <v>152082.6548512741</v>
      </c>
      <c r="Y116" s="142">
        <v>1356</v>
      </c>
      <c r="Z116" s="145">
        <f t="shared" si="66"/>
        <v>1356</v>
      </c>
      <c r="AA116" s="147">
        <f t="shared" si="67"/>
        <v>87463.11637609599</v>
      </c>
      <c r="AB116" s="142">
        <v>1552</v>
      </c>
      <c r="AC116" s="145">
        <f t="shared" si="68"/>
        <v>1552</v>
      </c>
      <c r="AD116" s="147">
        <f t="shared" si="69"/>
        <v>109619.59133138135</v>
      </c>
      <c r="AE116" s="142">
        <v>0</v>
      </c>
      <c r="AF116" s="145">
        <f t="shared" si="70"/>
        <v>0</v>
      </c>
      <c r="AG116" s="147">
        <f t="shared" si="71"/>
        <v>0</v>
      </c>
      <c r="AH116" s="144">
        <f t="shared" si="72"/>
        <v>650967.10898127174</v>
      </c>
      <c r="AI116" s="142">
        <v>193</v>
      </c>
      <c r="AJ116" s="145">
        <f t="shared" si="73"/>
        <v>193</v>
      </c>
      <c r="AK116" s="147">
        <f t="shared" si="74"/>
        <v>595674.66535759449</v>
      </c>
      <c r="AL116" s="142">
        <v>1020</v>
      </c>
      <c r="AM116" s="145">
        <f t="shared" si="75"/>
        <v>1020</v>
      </c>
      <c r="AN116" s="147">
        <f t="shared" si="76"/>
        <v>519908.11508915882</v>
      </c>
      <c r="AO116" s="142">
        <v>270</v>
      </c>
      <c r="AP116" s="145">
        <f t="shared" si="77"/>
        <v>270</v>
      </c>
      <c r="AQ116" s="147">
        <f t="shared" si="78"/>
        <v>475567.00845383439</v>
      </c>
      <c r="AR116" s="142">
        <v>450</v>
      </c>
      <c r="AS116" s="145">
        <f t="shared" si="79"/>
        <v>450</v>
      </c>
      <c r="AT116" s="147">
        <f t="shared" si="80"/>
        <v>650996.66470252944</v>
      </c>
      <c r="AU116" s="144">
        <f t="shared" si="81"/>
        <v>15795739.771725122</v>
      </c>
      <c r="AV116" s="148">
        <f>INDEX('Baselines+Historic Spend Factor'!P$9:P$159,MATCH('2019-20 StepbyStep Allocations'!C116,'Baselines+Historic Spend Factor'!C$9:C$159,0))</f>
        <v>16445012.235889677</v>
      </c>
      <c r="AW116" s="149">
        <v>33576.714999999997</v>
      </c>
      <c r="AX116" s="150">
        <f t="shared" si="82"/>
        <v>489.77430448123584</v>
      </c>
      <c r="AY116" s="148">
        <f t="shared" si="83"/>
        <v>494.67204752604823</v>
      </c>
      <c r="AZ116" s="148">
        <f t="shared" si="84"/>
        <v>456.3508970862116</v>
      </c>
      <c r="BA116" s="148">
        <f t="shared" si="85"/>
        <v>494.67204752604823</v>
      </c>
      <c r="BB116" s="151">
        <f t="shared" si="86"/>
        <v>1326415.5367408791</v>
      </c>
      <c r="BC116" s="148">
        <f t="shared" si="87"/>
        <v>0</v>
      </c>
      <c r="BD116" s="144">
        <f t="shared" si="88"/>
        <v>1326415.5367408791</v>
      </c>
      <c r="BE116" s="144">
        <f t="shared" si="49"/>
        <v>17122155.308466002</v>
      </c>
      <c r="BF116" s="144">
        <f>INDEX('Hospital Education Funding'!$G$9:$G$159,MATCH(C116,'Hospital Education Funding'!$C$9:$C$158,0))</f>
        <v>0</v>
      </c>
      <c r="BG116" s="152">
        <f>INDEX('Import|Export Adjustments Data'!$Q$9:$Q$159,MATCH('2019-20 StepbyStep Allocations'!$C116,'Import|Export Adjustments Data'!$C$9:$C$159,0))</f>
        <v>-49</v>
      </c>
      <c r="BH116" s="144">
        <f t="shared" si="89"/>
        <v>-294000</v>
      </c>
      <c r="BI116" s="153">
        <f>INDEX('Baselines+Historic Spend Factor'!$F$9:$F$159,MATCH('2019-20 StepbyStep Allocations'!C116,'Baselines+Historic Spend Factor'!C$9:C$159,0))-INDEX('Baselines+Historic Spend Factor'!$G$9:$G$159,MATCH('2019-20 StepbyStep Allocations'!C116,'Baselines+Historic Spend Factor'!C$9:C$159,0))</f>
        <v>17973012.235889677</v>
      </c>
      <c r="BJ116" s="154">
        <f t="shared" si="50"/>
        <v>18644155.308466002</v>
      </c>
      <c r="BK116" s="155">
        <f t="shared" si="90"/>
        <v>3.734171344056314E-2</v>
      </c>
      <c r="BL116" s="156">
        <f t="shared" si="91"/>
        <v>489.77430448123584</v>
      </c>
      <c r="BM116" s="148">
        <f t="shared" si="51"/>
        <v>494.67204752604823</v>
      </c>
      <c r="BN116" s="148">
        <f t="shared" si="92"/>
        <v>494.67204752604823</v>
      </c>
      <c r="BO116" s="148">
        <f t="shared" si="52"/>
        <v>17122155.308466002</v>
      </c>
      <c r="BP116" s="144">
        <f t="shared" si="53"/>
        <v>18644155.308466002</v>
      </c>
      <c r="BQ116" s="148">
        <v>18194490.569129772</v>
      </c>
      <c r="BR116" s="157">
        <f t="shared" si="93"/>
        <v>2.4714335233939844E-2</v>
      </c>
      <c r="BT116" s="94"/>
      <c r="BU116" s="158"/>
      <c r="BX116" s="94"/>
    </row>
    <row r="117" spans="1:76" ht="15.4" x14ac:dyDescent="0.45">
      <c r="A117" s="139" t="s">
        <v>244</v>
      </c>
      <c r="B117" s="140" t="s">
        <v>222</v>
      </c>
      <c r="C117" s="102">
        <v>801</v>
      </c>
      <c r="D117" s="141" t="s">
        <v>225</v>
      </c>
      <c r="E117" s="348">
        <v>1.021975426906069</v>
      </c>
      <c r="F117" s="142">
        <v>868.5</v>
      </c>
      <c r="G117" s="143">
        <f t="shared" si="54"/>
        <v>4087.9017076242762</v>
      </c>
      <c r="H117" s="144">
        <f t="shared" si="55"/>
        <v>3550342.6330716838</v>
      </c>
      <c r="I117" s="144">
        <f>INDEX('Baselines+Historic Spend Factor'!$Q$9:$Q$159,MATCH(C117,'Baselines+Historic Spend Factor'!$C$9:$C$159,0))</f>
        <v>22148697.220413171</v>
      </c>
      <c r="J117" s="142">
        <v>89329.421000000002</v>
      </c>
      <c r="K117" s="145">
        <f t="shared" si="56"/>
        <v>91292.473161746966</v>
      </c>
      <c r="L117" s="144">
        <f t="shared" si="57"/>
        <v>10697059.27976751</v>
      </c>
      <c r="M117" s="142">
        <v>10497.499999999995</v>
      </c>
      <c r="N117" s="145">
        <f t="shared" si="58"/>
        <v>10728.187043946455</v>
      </c>
      <c r="O117" s="144">
        <f t="shared" si="59"/>
        <v>2631995.1918995488</v>
      </c>
      <c r="P117" s="142">
        <v>10731</v>
      </c>
      <c r="Q117" s="145">
        <f t="shared" si="60"/>
        <v>10966.818306129027</v>
      </c>
      <c r="R117" s="147">
        <f t="shared" si="61"/>
        <v>373333.5431832014</v>
      </c>
      <c r="S117" s="142">
        <v>8555</v>
      </c>
      <c r="T117" s="145">
        <f t="shared" si="62"/>
        <v>8742.9997771814196</v>
      </c>
      <c r="U117" s="147">
        <f t="shared" si="63"/>
        <v>386551.51493792329</v>
      </c>
      <c r="V117" s="142">
        <v>4732</v>
      </c>
      <c r="W117" s="145">
        <f t="shared" si="64"/>
        <v>4835.9877201195186</v>
      </c>
      <c r="X117" s="147">
        <f t="shared" si="65"/>
        <v>291621.66982709628</v>
      </c>
      <c r="Y117" s="142">
        <v>7480</v>
      </c>
      <c r="Z117" s="145">
        <f t="shared" si="66"/>
        <v>7644.3761932573962</v>
      </c>
      <c r="AA117" s="147">
        <f t="shared" si="67"/>
        <v>493068.55797457916</v>
      </c>
      <c r="AB117" s="142">
        <v>13189</v>
      </c>
      <c r="AC117" s="145">
        <f t="shared" si="68"/>
        <v>13478.833905464144</v>
      </c>
      <c r="AD117" s="147">
        <f t="shared" si="69"/>
        <v>952025.94351839309</v>
      </c>
      <c r="AE117" s="142">
        <v>4995</v>
      </c>
      <c r="AF117" s="145">
        <f t="shared" si="70"/>
        <v>5104.7672573958143</v>
      </c>
      <c r="AG117" s="147">
        <f t="shared" si="71"/>
        <v>487892.88168338762</v>
      </c>
      <c r="AH117" s="144">
        <f t="shared" si="72"/>
        <v>2984494.1111245807</v>
      </c>
      <c r="AI117" s="142">
        <v>615</v>
      </c>
      <c r="AJ117" s="145">
        <f t="shared" si="73"/>
        <v>628.51488754723243</v>
      </c>
      <c r="AK117" s="147">
        <f t="shared" si="74"/>
        <v>1939846.6078340092</v>
      </c>
      <c r="AL117" s="142">
        <v>3150</v>
      </c>
      <c r="AM117" s="145">
        <f t="shared" si="75"/>
        <v>3219.2225947541174</v>
      </c>
      <c r="AN117" s="147">
        <f t="shared" si="76"/>
        <v>1640882.3051872982</v>
      </c>
      <c r="AO117" s="142">
        <v>983</v>
      </c>
      <c r="AP117" s="145">
        <f t="shared" si="77"/>
        <v>1004.6018446486659</v>
      </c>
      <c r="AQ117" s="147">
        <f t="shared" si="78"/>
        <v>1769464.7923954432</v>
      </c>
      <c r="AR117" s="142">
        <v>1291</v>
      </c>
      <c r="AS117" s="145">
        <f t="shared" si="79"/>
        <v>1319.3702761357351</v>
      </c>
      <c r="AT117" s="147">
        <f t="shared" si="80"/>
        <v>1908679.2206044863</v>
      </c>
      <c r="AU117" s="144">
        <f t="shared" si="81"/>
        <v>45721118.729226053</v>
      </c>
      <c r="AV117" s="148">
        <f>INDEX('Baselines+Historic Spend Factor'!P$9:P$159,MATCH('2019-20 StepbyStep Allocations'!C117,'Baselines+Historic Spend Factor'!C$9:C$159,0))</f>
        <v>44297394.440826342</v>
      </c>
      <c r="AW117" s="149">
        <v>87250.122000000003</v>
      </c>
      <c r="AX117" s="150">
        <f t="shared" si="82"/>
        <v>507.70581662712561</v>
      </c>
      <c r="AY117" s="148">
        <f t="shared" si="83"/>
        <v>512.7828747933969</v>
      </c>
      <c r="AZ117" s="148">
        <f t="shared" si="84"/>
        <v>511.8259831688157</v>
      </c>
      <c r="BA117" s="148">
        <f t="shared" si="85"/>
        <v>512.7828747933969</v>
      </c>
      <c r="BB117" s="151">
        <f t="shared" si="86"/>
        <v>85478.574783588265</v>
      </c>
      <c r="BC117" s="148">
        <f t="shared" si="87"/>
        <v>0</v>
      </c>
      <c r="BD117" s="144">
        <f t="shared" si="88"/>
        <v>85478.574783588265</v>
      </c>
      <c r="BE117" s="144">
        <f t="shared" si="49"/>
        <v>45806597.304009639</v>
      </c>
      <c r="BF117" s="144">
        <f>INDEX('Hospital Education Funding'!$G$9:$G$159,MATCH(C117,'Hospital Education Funding'!$C$9:$C$158,0))</f>
        <v>2025767.1</v>
      </c>
      <c r="BG117" s="152">
        <f>INDEX('Import|Export Adjustments Data'!$Q$9:$Q$159,MATCH('2019-20 StepbyStep Allocations'!$C117,'Import|Export Adjustments Data'!$C$9:$C$159,0))</f>
        <v>18.5</v>
      </c>
      <c r="BH117" s="144">
        <f t="shared" si="89"/>
        <v>111000</v>
      </c>
      <c r="BI117" s="153">
        <f>INDEX('Baselines+Historic Spend Factor'!$F$9:$F$159,MATCH('2019-20 StepbyStep Allocations'!C117,'Baselines+Historic Spend Factor'!C$9:C$159,0))-INDEX('Baselines+Historic Spend Factor'!$G$9:$G$159,MATCH('2019-20 StepbyStep Allocations'!C117,'Baselines+Historic Spend Factor'!C$9:C$159,0))</f>
        <v>49670150.759862117</v>
      </c>
      <c r="BJ117" s="154">
        <f t="shared" si="50"/>
        <v>51493707.037081324</v>
      </c>
      <c r="BK117" s="155">
        <f t="shared" si="90"/>
        <v>3.6713322776801505E-2</v>
      </c>
      <c r="BL117" s="156">
        <f t="shared" si="91"/>
        <v>507.70581662712561</v>
      </c>
      <c r="BM117" s="148">
        <f t="shared" si="51"/>
        <v>512.7828747933969</v>
      </c>
      <c r="BN117" s="148">
        <f t="shared" si="92"/>
        <v>512.7828747933969</v>
      </c>
      <c r="BO117" s="148">
        <f t="shared" si="52"/>
        <v>45806597.304009639</v>
      </c>
      <c r="BP117" s="144">
        <f t="shared" si="53"/>
        <v>51493707.037081324</v>
      </c>
      <c r="BQ117" s="148">
        <v>51023244.117725253</v>
      </c>
      <c r="BR117" s="157">
        <f t="shared" si="93"/>
        <v>9.2205606972104448E-3</v>
      </c>
      <c r="BT117" s="94"/>
      <c r="BU117" s="158"/>
      <c r="BX117" s="94"/>
    </row>
    <row r="118" spans="1:76" ht="15.4" x14ac:dyDescent="0.45">
      <c r="A118" s="139" t="s">
        <v>215</v>
      </c>
      <c r="B118" s="140" t="s">
        <v>222</v>
      </c>
      <c r="C118" s="102">
        <v>908</v>
      </c>
      <c r="D118" s="141" t="s">
        <v>226</v>
      </c>
      <c r="E118" s="348">
        <v>1</v>
      </c>
      <c r="F118" s="142">
        <v>479</v>
      </c>
      <c r="G118" s="143">
        <f t="shared" si="54"/>
        <v>4000</v>
      </c>
      <c r="H118" s="144">
        <f t="shared" si="55"/>
        <v>1916000</v>
      </c>
      <c r="I118" s="144">
        <f>INDEX('Baselines+Historic Spend Factor'!$Q$9:$Q$159,MATCH(C118,'Baselines+Historic Spend Factor'!$C$9:$C$159,0))</f>
        <v>18174713.664511234</v>
      </c>
      <c r="J118" s="142">
        <v>103610.671</v>
      </c>
      <c r="K118" s="145">
        <f t="shared" si="56"/>
        <v>103610.671</v>
      </c>
      <c r="L118" s="144">
        <f t="shared" si="57"/>
        <v>12140425.725347711</v>
      </c>
      <c r="M118" s="142">
        <v>7829</v>
      </c>
      <c r="N118" s="145">
        <f t="shared" si="58"/>
        <v>7829</v>
      </c>
      <c r="O118" s="144">
        <f t="shared" si="59"/>
        <v>1920724.3752343745</v>
      </c>
      <c r="P118" s="142">
        <v>11766</v>
      </c>
      <c r="Q118" s="145">
        <f t="shared" si="60"/>
        <v>11766</v>
      </c>
      <c r="R118" s="147">
        <f t="shared" si="61"/>
        <v>400539.36761573143</v>
      </c>
      <c r="S118" s="142">
        <v>6431</v>
      </c>
      <c r="T118" s="145">
        <f t="shared" si="62"/>
        <v>6431</v>
      </c>
      <c r="U118" s="147">
        <f t="shared" si="63"/>
        <v>284331.79182433843</v>
      </c>
      <c r="V118" s="142">
        <v>4284</v>
      </c>
      <c r="W118" s="145">
        <f t="shared" si="64"/>
        <v>4284</v>
      </c>
      <c r="X118" s="147">
        <f t="shared" si="65"/>
        <v>258335.4850844006</v>
      </c>
      <c r="Y118" s="142">
        <v>4020</v>
      </c>
      <c r="Z118" s="145">
        <f t="shared" si="66"/>
        <v>4020</v>
      </c>
      <c r="AA118" s="147">
        <f t="shared" si="67"/>
        <v>259293.30961055006</v>
      </c>
      <c r="AB118" s="142">
        <v>3647</v>
      </c>
      <c r="AC118" s="145">
        <f t="shared" si="68"/>
        <v>3647</v>
      </c>
      <c r="AD118" s="147">
        <f t="shared" si="69"/>
        <v>257591.91339274982</v>
      </c>
      <c r="AE118" s="142">
        <v>0</v>
      </c>
      <c r="AF118" s="145">
        <f t="shared" si="70"/>
        <v>0</v>
      </c>
      <c r="AG118" s="147">
        <f t="shared" si="71"/>
        <v>0</v>
      </c>
      <c r="AH118" s="144">
        <f t="shared" si="72"/>
        <v>1460091.8675277703</v>
      </c>
      <c r="AI118" s="142">
        <v>574</v>
      </c>
      <c r="AJ118" s="145">
        <f t="shared" si="73"/>
        <v>574</v>
      </c>
      <c r="AK118" s="147">
        <f t="shared" si="74"/>
        <v>1771592.0099236227</v>
      </c>
      <c r="AL118" s="142">
        <v>3580</v>
      </c>
      <c r="AM118" s="145">
        <f t="shared" si="75"/>
        <v>3580</v>
      </c>
      <c r="AN118" s="147">
        <f t="shared" si="76"/>
        <v>1824775.5411952832</v>
      </c>
      <c r="AO118" s="142">
        <v>1038</v>
      </c>
      <c r="AP118" s="145">
        <f t="shared" si="77"/>
        <v>1038</v>
      </c>
      <c r="AQ118" s="147">
        <f t="shared" si="78"/>
        <v>1828290.9436114074</v>
      </c>
      <c r="AR118" s="142">
        <v>1115</v>
      </c>
      <c r="AS118" s="145">
        <f t="shared" si="79"/>
        <v>1115</v>
      </c>
      <c r="AT118" s="147">
        <f t="shared" si="80"/>
        <v>1613025.0692073784</v>
      </c>
      <c r="AU118" s="144">
        <f t="shared" si="81"/>
        <v>40733639.196558774</v>
      </c>
      <c r="AV118" s="148">
        <f>INDEX('Baselines+Historic Spend Factor'!P$9:P$159,MATCH('2019-20 StepbyStep Allocations'!C118,'Baselines+Historic Spend Factor'!C$9:C$159,0))</f>
        <v>36349427.329022467</v>
      </c>
      <c r="AW118" s="149">
        <v>102160.23700000001</v>
      </c>
      <c r="AX118" s="150">
        <f t="shared" si="82"/>
        <v>355.8079777068495</v>
      </c>
      <c r="AY118" s="148">
        <f t="shared" si="83"/>
        <v>359.36605748391798</v>
      </c>
      <c r="AZ118" s="148">
        <f t="shared" si="84"/>
        <v>393.14135120849448</v>
      </c>
      <c r="BA118" s="148">
        <f t="shared" si="85"/>
        <v>393.14135120849448</v>
      </c>
      <c r="BB118" s="151">
        <f t="shared" si="86"/>
        <v>0</v>
      </c>
      <c r="BC118" s="148">
        <f t="shared" si="87"/>
        <v>0</v>
      </c>
      <c r="BD118" s="144">
        <f t="shared" si="88"/>
        <v>0</v>
      </c>
      <c r="BE118" s="144">
        <f t="shared" si="49"/>
        <v>40733639.196558774</v>
      </c>
      <c r="BF118" s="144">
        <f>INDEX('Hospital Education Funding'!$G$9:$G$159,MATCH(C118,'Hospital Education Funding'!$C$9:$C$158,0))</f>
        <v>902940</v>
      </c>
      <c r="BG118" s="152">
        <f>INDEX('Import|Export Adjustments Data'!$Q$9:$Q$159,MATCH('2019-20 StepbyStep Allocations'!$C118,'Import|Export Adjustments Data'!$C$9:$C$159,0))</f>
        <v>7</v>
      </c>
      <c r="BH118" s="144">
        <f t="shared" si="89"/>
        <v>42000</v>
      </c>
      <c r="BI118" s="153">
        <f>INDEX('Baselines+Historic Spend Factor'!$F$9:$F$159,MATCH('2019-20 StepbyStep Allocations'!C118,'Baselines+Historic Spend Factor'!C$9:C$159,0))-INDEX('Baselines+Historic Spend Factor'!$G$9:$G$159,MATCH('2019-20 StepbyStep Allocations'!C118,'Baselines+Historic Spend Factor'!C$9:C$159,0))</f>
        <v>39021427.329022467</v>
      </c>
      <c r="BJ118" s="154">
        <f t="shared" si="50"/>
        <v>43594579.196558774</v>
      </c>
      <c r="BK118" s="155">
        <f t="shared" si="90"/>
        <v>0.11719591466955359</v>
      </c>
      <c r="BL118" s="156">
        <f t="shared" si="91"/>
        <v>355.8079777068495</v>
      </c>
      <c r="BM118" s="148">
        <f t="shared" si="51"/>
        <v>393.14135120849448</v>
      </c>
      <c r="BN118" s="148">
        <f t="shared" si="92"/>
        <v>377.47668354919659</v>
      </c>
      <c r="BO118" s="148">
        <f t="shared" si="52"/>
        <v>39110612.46938692</v>
      </c>
      <c r="BP118" s="144">
        <f t="shared" si="53"/>
        <v>41971552.46938692</v>
      </c>
      <c r="BQ118" s="148">
        <v>40571818.768418886</v>
      </c>
      <c r="BR118" s="157">
        <f t="shared" si="93"/>
        <v>3.4500146738740467E-2</v>
      </c>
      <c r="BT118" s="94"/>
      <c r="BU118" s="158"/>
      <c r="BX118" s="94"/>
    </row>
    <row r="119" spans="1:76" ht="15.4" x14ac:dyDescent="0.45">
      <c r="A119" s="139" t="s">
        <v>245</v>
      </c>
      <c r="B119" s="140" t="s">
        <v>222</v>
      </c>
      <c r="C119" s="102">
        <v>878</v>
      </c>
      <c r="D119" s="141" t="s">
        <v>227</v>
      </c>
      <c r="E119" s="348">
        <v>1</v>
      </c>
      <c r="F119" s="142">
        <v>1251</v>
      </c>
      <c r="G119" s="143">
        <f t="shared" si="54"/>
        <v>4000</v>
      </c>
      <c r="H119" s="144">
        <f t="shared" si="55"/>
        <v>5004000</v>
      </c>
      <c r="I119" s="144">
        <f>INDEX('Baselines+Historic Spend Factor'!$Q$9:$Q$159,MATCH(C119,'Baselines+Historic Spend Factor'!$C$9:$C$159,0))</f>
        <v>30710229.6577699</v>
      </c>
      <c r="J119" s="142">
        <v>140250.14300000001</v>
      </c>
      <c r="K119" s="145">
        <f t="shared" si="56"/>
        <v>140250.14300000001</v>
      </c>
      <c r="L119" s="144">
        <f t="shared" si="57"/>
        <v>16433601.168946156</v>
      </c>
      <c r="M119" s="142">
        <v>9271</v>
      </c>
      <c r="N119" s="145">
        <f t="shared" si="58"/>
        <v>9271</v>
      </c>
      <c r="O119" s="144">
        <f t="shared" si="59"/>
        <v>2274496.8300929731</v>
      </c>
      <c r="P119" s="142">
        <v>12171</v>
      </c>
      <c r="Q119" s="145">
        <f t="shared" si="60"/>
        <v>12171</v>
      </c>
      <c r="R119" s="147">
        <f t="shared" si="61"/>
        <v>414326.41877027601</v>
      </c>
      <c r="S119" s="142">
        <v>6890</v>
      </c>
      <c r="T119" s="145">
        <f t="shared" si="62"/>
        <v>6890</v>
      </c>
      <c r="U119" s="147">
        <f t="shared" si="63"/>
        <v>304625.41528062383</v>
      </c>
      <c r="V119" s="142">
        <v>5247</v>
      </c>
      <c r="W119" s="145">
        <f t="shared" si="64"/>
        <v>5247</v>
      </c>
      <c r="X119" s="147">
        <f t="shared" si="65"/>
        <v>316406.69706765871</v>
      </c>
      <c r="Y119" s="142">
        <v>778</v>
      </c>
      <c r="Z119" s="145">
        <f t="shared" si="66"/>
        <v>778</v>
      </c>
      <c r="AA119" s="147">
        <f t="shared" si="67"/>
        <v>50181.640516668645</v>
      </c>
      <c r="AB119" s="142">
        <v>1145</v>
      </c>
      <c r="AC119" s="145">
        <f t="shared" si="68"/>
        <v>1145</v>
      </c>
      <c r="AD119" s="147">
        <f t="shared" si="69"/>
        <v>80872.70107888637</v>
      </c>
      <c r="AE119" s="142">
        <v>0</v>
      </c>
      <c r="AF119" s="145">
        <f t="shared" si="70"/>
        <v>0</v>
      </c>
      <c r="AG119" s="147">
        <f t="shared" si="71"/>
        <v>0</v>
      </c>
      <c r="AH119" s="144">
        <f t="shared" si="72"/>
        <v>1166412.8727141134</v>
      </c>
      <c r="AI119" s="142">
        <v>696</v>
      </c>
      <c r="AJ119" s="145">
        <f t="shared" si="73"/>
        <v>696</v>
      </c>
      <c r="AK119" s="147">
        <f t="shared" si="74"/>
        <v>2148132.4719631383</v>
      </c>
      <c r="AL119" s="142">
        <v>4990</v>
      </c>
      <c r="AM119" s="145">
        <f t="shared" si="75"/>
        <v>4990</v>
      </c>
      <c r="AN119" s="147">
        <f t="shared" si="76"/>
        <v>2543472.0532302968</v>
      </c>
      <c r="AO119" s="142">
        <v>1290</v>
      </c>
      <c r="AP119" s="145">
        <f t="shared" si="77"/>
        <v>1290</v>
      </c>
      <c r="AQ119" s="147">
        <f t="shared" si="78"/>
        <v>2272153.4848349867</v>
      </c>
      <c r="AR119" s="142">
        <v>1601</v>
      </c>
      <c r="AS119" s="145">
        <f t="shared" si="79"/>
        <v>1601</v>
      </c>
      <c r="AT119" s="147">
        <f t="shared" si="80"/>
        <v>2316101.4670861103</v>
      </c>
      <c r="AU119" s="144">
        <f t="shared" si="81"/>
        <v>59864600.006637678</v>
      </c>
      <c r="AV119" s="148">
        <f>INDEX('Baselines+Historic Spend Factor'!P$9:P$159,MATCH('2019-20 StepbyStep Allocations'!C119,'Baselines+Historic Spend Factor'!C$9:C$159,0))</f>
        <v>61420459.3155398</v>
      </c>
      <c r="AW119" s="149">
        <v>138428.272</v>
      </c>
      <c r="AX119" s="150">
        <f t="shared" si="82"/>
        <v>443.69880825746202</v>
      </c>
      <c r="AY119" s="148">
        <f t="shared" si="83"/>
        <v>448.13579634003662</v>
      </c>
      <c r="AZ119" s="148">
        <f t="shared" si="84"/>
        <v>426.84163257243648</v>
      </c>
      <c r="BA119" s="148">
        <f t="shared" si="85"/>
        <v>448.13579634003662</v>
      </c>
      <c r="BB119" s="151">
        <f t="shared" si="86"/>
        <v>2986509.5134713384</v>
      </c>
      <c r="BC119" s="148">
        <f t="shared" si="87"/>
        <v>0</v>
      </c>
      <c r="BD119" s="144">
        <f t="shared" si="88"/>
        <v>2986509.5134713384</v>
      </c>
      <c r="BE119" s="144">
        <f t="shared" si="49"/>
        <v>62851109.52010902</v>
      </c>
      <c r="BF119" s="144">
        <f>INDEX('Hospital Education Funding'!$G$9:$G$159,MATCH(C119,'Hospital Education Funding'!$C$9:$C$158,0))</f>
        <v>1931120.0000000002</v>
      </c>
      <c r="BG119" s="152">
        <f>INDEX('Import|Export Adjustments Data'!$Q$9:$Q$159,MATCH('2019-20 StepbyStep Allocations'!$C119,'Import|Export Adjustments Data'!$C$9:$C$159,0))</f>
        <v>-359.5</v>
      </c>
      <c r="BH119" s="144">
        <f t="shared" si="89"/>
        <v>-2157000</v>
      </c>
      <c r="BI119" s="153">
        <f>INDEX('Baselines+Historic Spend Factor'!$F$9:$F$159,MATCH('2019-20 StepbyStep Allocations'!C119,'Baselines+Historic Spend Factor'!C$9:C$159,0))-INDEX('Baselines+Historic Spend Factor'!$G$9:$G$159,MATCH('2019-20 StepbyStep Allocations'!C119,'Baselines+Historic Spend Factor'!C$9:C$159,0))</f>
        <v>66284459.3155398</v>
      </c>
      <c r="BJ119" s="154">
        <f t="shared" si="50"/>
        <v>67629229.520109028</v>
      </c>
      <c r="BK119" s="155">
        <f t="shared" si="90"/>
        <v>2.0287865639328828E-2</v>
      </c>
      <c r="BL119" s="156">
        <f t="shared" si="91"/>
        <v>443.69880825746202</v>
      </c>
      <c r="BM119" s="148">
        <f t="shared" si="51"/>
        <v>448.13579634003662</v>
      </c>
      <c r="BN119" s="148">
        <f t="shared" si="92"/>
        <v>448.13579634003662</v>
      </c>
      <c r="BO119" s="148">
        <f t="shared" si="52"/>
        <v>62851109.52010902</v>
      </c>
      <c r="BP119" s="144">
        <f t="shared" si="53"/>
        <v>67629229.520109028</v>
      </c>
      <c r="BQ119" s="148">
        <v>66849385.862140112</v>
      </c>
      <c r="BR119" s="157">
        <f t="shared" si="93"/>
        <v>1.1665681709883469E-2</v>
      </c>
      <c r="BT119" s="94"/>
      <c r="BU119" s="158"/>
      <c r="BX119" s="94"/>
    </row>
    <row r="120" spans="1:76" ht="15.4" x14ac:dyDescent="0.45">
      <c r="A120" s="139" t="s">
        <v>233</v>
      </c>
      <c r="B120" s="140" t="s">
        <v>222</v>
      </c>
      <c r="C120" s="102">
        <v>835</v>
      </c>
      <c r="D120" s="141" t="s">
        <v>228</v>
      </c>
      <c r="E120" s="348">
        <v>1</v>
      </c>
      <c r="F120" s="142">
        <v>743.5</v>
      </c>
      <c r="G120" s="143">
        <f t="shared" si="54"/>
        <v>4000</v>
      </c>
      <c r="H120" s="144">
        <f t="shared" si="55"/>
        <v>2974000</v>
      </c>
      <c r="I120" s="144">
        <f>INDEX('Baselines+Historic Spend Factor'!$Q$9:$Q$159,MATCH(C120,'Baselines+Historic Spend Factor'!$C$9:$C$159,0))</f>
        <v>18023243.282020446</v>
      </c>
      <c r="J120" s="142">
        <v>75003.244999999995</v>
      </c>
      <c r="K120" s="145">
        <f t="shared" si="56"/>
        <v>75003.244999999995</v>
      </c>
      <c r="L120" s="144">
        <f t="shared" si="57"/>
        <v>8788393.2831837088</v>
      </c>
      <c r="M120" s="142">
        <v>6757.0000000000036</v>
      </c>
      <c r="N120" s="145">
        <f t="shared" si="58"/>
        <v>6757.0000000000036</v>
      </c>
      <c r="O120" s="144">
        <f t="shared" si="59"/>
        <v>1657725.7125378307</v>
      </c>
      <c r="P120" s="142">
        <v>3609</v>
      </c>
      <c r="Q120" s="145">
        <f t="shared" si="60"/>
        <v>3609</v>
      </c>
      <c r="R120" s="147">
        <f t="shared" si="61"/>
        <v>122857.94473271925</v>
      </c>
      <c r="S120" s="142">
        <v>2483</v>
      </c>
      <c r="T120" s="145">
        <f t="shared" si="62"/>
        <v>2483</v>
      </c>
      <c r="U120" s="147">
        <f t="shared" si="63"/>
        <v>109780.10248792292</v>
      </c>
      <c r="V120" s="142">
        <v>1187</v>
      </c>
      <c r="W120" s="145">
        <f t="shared" si="64"/>
        <v>1187</v>
      </c>
      <c r="X120" s="147">
        <f t="shared" si="65"/>
        <v>71578.949765449011</v>
      </c>
      <c r="Y120" s="142">
        <v>1856</v>
      </c>
      <c r="Z120" s="145">
        <f t="shared" si="66"/>
        <v>1856</v>
      </c>
      <c r="AA120" s="147">
        <f t="shared" si="67"/>
        <v>119713.52801919924</v>
      </c>
      <c r="AB120" s="142">
        <v>411</v>
      </c>
      <c r="AC120" s="145">
        <f t="shared" si="68"/>
        <v>411</v>
      </c>
      <c r="AD120" s="147">
        <f t="shared" si="69"/>
        <v>29029.414972421218</v>
      </c>
      <c r="AE120" s="142">
        <v>366</v>
      </c>
      <c r="AF120" s="145">
        <f t="shared" si="70"/>
        <v>366</v>
      </c>
      <c r="AG120" s="147">
        <f t="shared" si="71"/>
        <v>34980.790639849147</v>
      </c>
      <c r="AH120" s="144">
        <f t="shared" si="72"/>
        <v>487940.7306175608</v>
      </c>
      <c r="AI120" s="142">
        <v>350</v>
      </c>
      <c r="AJ120" s="145">
        <f t="shared" si="73"/>
        <v>350</v>
      </c>
      <c r="AK120" s="147">
        <f t="shared" si="74"/>
        <v>1080239.0304412334</v>
      </c>
      <c r="AL120" s="142">
        <v>2670</v>
      </c>
      <c r="AM120" s="145">
        <f t="shared" si="75"/>
        <v>2670</v>
      </c>
      <c r="AN120" s="147">
        <f t="shared" si="76"/>
        <v>1360935.9483216216</v>
      </c>
      <c r="AO120" s="142">
        <v>779</v>
      </c>
      <c r="AP120" s="145">
        <f t="shared" si="77"/>
        <v>779</v>
      </c>
      <c r="AQ120" s="147">
        <f t="shared" si="78"/>
        <v>1372098.8873538405</v>
      </c>
      <c r="AR120" s="142">
        <v>838</v>
      </c>
      <c r="AS120" s="145">
        <f t="shared" si="79"/>
        <v>838</v>
      </c>
      <c r="AT120" s="147">
        <f t="shared" si="80"/>
        <v>1212300.4556015993</v>
      </c>
      <c r="AU120" s="144">
        <f t="shared" si="81"/>
        <v>33982877.330077842</v>
      </c>
      <c r="AV120" s="148">
        <f>INDEX('Baselines+Historic Spend Factor'!P$9:P$159,MATCH('2019-20 StepbyStep Allocations'!C120,'Baselines+Historic Spend Factor'!C$9:C$159,0))</f>
        <v>36046486.564040892</v>
      </c>
      <c r="AW120" s="149">
        <v>74762.79800000001</v>
      </c>
      <c r="AX120" s="150">
        <f t="shared" si="82"/>
        <v>482.14469667174427</v>
      </c>
      <c r="AY120" s="148">
        <f t="shared" si="83"/>
        <v>486.96614363846174</v>
      </c>
      <c r="AZ120" s="148">
        <f t="shared" si="84"/>
        <v>453.08542757153833</v>
      </c>
      <c r="BA120" s="148">
        <f t="shared" si="85"/>
        <v>486.96614363846174</v>
      </c>
      <c r="BB120" s="151">
        <f t="shared" si="86"/>
        <v>2541163.6479428927</v>
      </c>
      <c r="BC120" s="148">
        <f t="shared" si="87"/>
        <v>0</v>
      </c>
      <c r="BD120" s="144">
        <f t="shared" si="88"/>
        <v>2541163.6479428927</v>
      </c>
      <c r="BE120" s="144">
        <f t="shared" si="49"/>
        <v>36524040.978020735</v>
      </c>
      <c r="BF120" s="144">
        <f>INDEX('Hospital Education Funding'!$G$9:$G$159,MATCH(C120,'Hospital Education Funding'!$C$9:$C$158,0))</f>
        <v>0</v>
      </c>
      <c r="BG120" s="152">
        <f>INDEX('Import|Export Adjustments Data'!$Q$9:$Q$159,MATCH('2019-20 StepbyStep Allocations'!$C120,'Import|Export Adjustments Data'!$C$9:$C$159,0))</f>
        <v>-96</v>
      </c>
      <c r="BH120" s="144">
        <f t="shared" si="89"/>
        <v>-576000</v>
      </c>
      <c r="BI120" s="153">
        <f>INDEX('Baselines+Historic Spend Factor'!$F$9:$F$159,MATCH('2019-20 StepbyStep Allocations'!C120,'Baselines+Historic Spend Factor'!C$9:C$159,0))-INDEX('Baselines+Historic Spend Factor'!$G$9:$G$159,MATCH('2019-20 StepbyStep Allocations'!C120,'Baselines+Historic Spend Factor'!C$9:C$159,0))</f>
        <v>38254486.564040892</v>
      </c>
      <c r="BJ120" s="154">
        <f t="shared" si="50"/>
        <v>38922040.978020735</v>
      </c>
      <c r="BK120" s="155">
        <f t="shared" si="90"/>
        <v>1.7450356126524014E-2</v>
      </c>
      <c r="BL120" s="156">
        <f t="shared" si="91"/>
        <v>482.14469667174427</v>
      </c>
      <c r="BM120" s="148">
        <f t="shared" si="51"/>
        <v>486.96614363846174</v>
      </c>
      <c r="BN120" s="148">
        <f t="shared" si="92"/>
        <v>486.96614363846174</v>
      </c>
      <c r="BO120" s="148">
        <f t="shared" si="52"/>
        <v>36524040.978020735</v>
      </c>
      <c r="BP120" s="144">
        <f t="shared" si="53"/>
        <v>38922040.978020735</v>
      </c>
      <c r="BQ120" s="148">
        <v>38685323.403155394</v>
      </c>
      <c r="BR120" s="157">
        <f t="shared" si="93"/>
        <v>6.1190537920132737E-3</v>
      </c>
      <c r="BT120" s="94"/>
      <c r="BU120" s="158"/>
      <c r="BX120" s="94"/>
    </row>
    <row r="121" spans="1:76" ht="15.4" x14ac:dyDescent="0.45">
      <c r="A121" s="139" t="s">
        <v>234</v>
      </c>
      <c r="B121" s="140" t="s">
        <v>222</v>
      </c>
      <c r="C121" s="102">
        <v>916</v>
      </c>
      <c r="D121" s="141" t="s">
        <v>229</v>
      </c>
      <c r="E121" s="348">
        <v>1.0094696081392127</v>
      </c>
      <c r="F121" s="142">
        <v>1196</v>
      </c>
      <c r="G121" s="143">
        <f t="shared" si="54"/>
        <v>4037.8784325568508</v>
      </c>
      <c r="H121" s="144">
        <f t="shared" si="55"/>
        <v>4829302.6053379932</v>
      </c>
      <c r="I121" s="144">
        <f>INDEX('Baselines+Historic Spend Factor'!$Q$9:$Q$159,MATCH(C121,'Baselines+Historic Spend Factor'!$C$9:$C$159,0))</f>
        <v>25651201.539899588</v>
      </c>
      <c r="J121" s="142">
        <v>122743.04900000001</v>
      </c>
      <c r="K121" s="145">
        <f t="shared" si="56"/>
        <v>123905.3775758422</v>
      </c>
      <c r="L121" s="144">
        <f t="shared" si="57"/>
        <v>14518427.676534167</v>
      </c>
      <c r="M121" s="142">
        <v>8083.4999999999973</v>
      </c>
      <c r="N121" s="145">
        <f t="shared" si="58"/>
        <v>8160.0475773933231</v>
      </c>
      <c r="O121" s="144">
        <f t="shared" si="59"/>
        <v>2001941.791412896</v>
      </c>
      <c r="P121" s="142">
        <v>9603</v>
      </c>
      <c r="Q121" s="145">
        <f t="shared" si="60"/>
        <v>9693.9366469608594</v>
      </c>
      <c r="R121" s="147">
        <f t="shared" si="61"/>
        <v>330001.97639645304</v>
      </c>
      <c r="S121" s="142">
        <v>8618</v>
      </c>
      <c r="T121" s="145">
        <f t="shared" si="62"/>
        <v>8699.6090829437344</v>
      </c>
      <c r="U121" s="147">
        <f t="shared" si="63"/>
        <v>384633.09574322525</v>
      </c>
      <c r="V121" s="142">
        <v>4147</v>
      </c>
      <c r="W121" s="145">
        <f t="shared" si="64"/>
        <v>4186.2704649533152</v>
      </c>
      <c r="X121" s="147">
        <f t="shared" si="65"/>
        <v>252442.15949071286</v>
      </c>
      <c r="Y121" s="142">
        <v>4101</v>
      </c>
      <c r="Z121" s="145">
        <f t="shared" si="66"/>
        <v>4139.8348629789116</v>
      </c>
      <c r="AA121" s="147">
        <f t="shared" si="67"/>
        <v>267022.75693107961</v>
      </c>
      <c r="AB121" s="142">
        <v>4597</v>
      </c>
      <c r="AC121" s="145">
        <f t="shared" si="68"/>
        <v>4640.531788615961</v>
      </c>
      <c r="AD121" s="147">
        <f t="shared" si="69"/>
        <v>327766.23597188515</v>
      </c>
      <c r="AE121" s="142">
        <v>706</v>
      </c>
      <c r="AF121" s="145">
        <f t="shared" si="70"/>
        <v>712.68554334628413</v>
      </c>
      <c r="AG121" s="147">
        <f t="shared" si="71"/>
        <v>68115.584108862007</v>
      </c>
      <c r="AH121" s="144">
        <f t="shared" si="72"/>
        <v>1629981.8086422179</v>
      </c>
      <c r="AI121" s="142">
        <v>547</v>
      </c>
      <c r="AJ121" s="145">
        <f t="shared" si="73"/>
        <v>552.17987565214935</v>
      </c>
      <c r="AK121" s="147">
        <f t="shared" si="74"/>
        <v>1704246.4385818245</v>
      </c>
      <c r="AL121" s="142">
        <v>3150</v>
      </c>
      <c r="AM121" s="145">
        <f t="shared" si="75"/>
        <v>3179.8292656385202</v>
      </c>
      <c r="AN121" s="147">
        <f t="shared" si="76"/>
        <v>1620802.9801994776</v>
      </c>
      <c r="AO121" s="142">
        <v>1057</v>
      </c>
      <c r="AP121" s="145">
        <f t="shared" si="77"/>
        <v>1067.0093758031478</v>
      </c>
      <c r="AQ121" s="147">
        <f t="shared" si="78"/>
        <v>1879386.8771959115</v>
      </c>
      <c r="AR121" s="142">
        <v>1438</v>
      </c>
      <c r="AS121" s="145">
        <f t="shared" si="79"/>
        <v>1451.6172965041878</v>
      </c>
      <c r="AT121" s="147">
        <f t="shared" si="80"/>
        <v>2099995.596552731</v>
      </c>
      <c r="AU121" s="144">
        <f t="shared" si="81"/>
        <v>51105984.709018812</v>
      </c>
      <c r="AV121" s="148">
        <f>INDEX('Baselines+Historic Spend Factor'!P$9:P$159,MATCH('2019-20 StepbyStep Allocations'!C121,'Baselines+Historic Spend Factor'!C$9:C$159,0))</f>
        <v>51302403.079799175</v>
      </c>
      <c r="AW121" s="149">
        <v>120924.455</v>
      </c>
      <c r="AX121" s="150">
        <f t="shared" si="82"/>
        <v>424.25167911485875</v>
      </c>
      <c r="AY121" s="148">
        <f t="shared" si="83"/>
        <v>428.49419590600735</v>
      </c>
      <c r="AZ121" s="148">
        <f t="shared" si="84"/>
        <v>416.36561194612989</v>
      </c>
      <c r="BA121" s="148">
        <f t="shared" si="85"/>
        <v>428.49419590600735</v>
      </c>
      <c r="BB121" s="151">
        <f t="shared" si="86"/>
        <v>1488699.3752878532</v>
      </c>
      <c r="BC121" s="148">
        <f t="shared" si="87"/>
        <v>0</v>
      </c>
      <c r="BD121" s="144">
        <f t="shared" si="88"/>
        <v>1488699.3752878532</v>
      </c>
      <c r="BE121" s="144">
        <f t="shared" si="49"/>
        <v>52594684.084306665</v>
      </c>
      <c r="BF121" s="144">
        <f>INDEX('Hospital Education Funding'!$G$9:$G$159,MATCH(C121,'Hospital Education Funding'!$C$9:$C$158,0))</f>
        <v>1692945.2224891379</v>
      </c>
      <c r="BG121" s="152">
        <f>INDEX('Import|Export Adjustments Data'!$Q$9:$Q$159,MATCH('2019-20 StepbyStep Allocations'!$C121,'Import|Export Adjustments Data'!$C$9:$C$159,0))</f>
        <v>-123</v>
      </c>
      <c r="BH121" s="144">
        <f t="shared" si="89"/>
        <v>-738000</v>
      </c>
      <c r="BI121" s="153">
        <f>INDEX('Baselines+Historic Spend Factor'!$F$9:$F$159,MATCH('2019-20 StepbyStep Allocations'!C121,'Baselines+Historic Spend Factor'!C$9:C$159,0))-INDEX('Baselines+Historic Spend Factor'!$G$9:$G$159,MATCH('2019-20 StepbyStep Allocations'!C121,'Baselines+Historic Spend Factor'!C$9:C$159,0))</f>
        <v>56936639.085465901</v>
      </c>
      <c r="BJ121" s="154">
        <f t="shared" si="50"/>
        <v>58378931.912133798</v>
      </c>
      <c r="BK121" s="155">
        <f t="shared" si="90"/>
        <v>2.5331541338485364E-2</v>
      </c>
      <c r="BL121" s="156">
        <f t="shared" si="91"/>
        <v>424.25167911485875</v>
      </c>
      <c r="BM121" s="148">
        <f t="shared" si="51"/>
        <v>428.49419590600735</v>
      </c>
      <c r="BN121" s="148">
        <f t="shared" si="92"/>
        <v>428.49419590600735</v>
      </c>
      <c r="BO121" s="148">
        <f t="shared" si="52"/>
        <v>52594684.084306665</v>
      </c>
      <c r="BP121" s="144">
        <f t="shared" si="53"/>
        <v>58378931.912133798</v>
      </c>
      <c r="BQ121" s="148">
        <v>57568394.861436769</v>
      </c>
      <c r="BR121" s="157">
        <f t="shared" si="93"/>
        <v>1.4079549250034518E-2</v>
      </c>
      <c r="BT121" s="94"/>
      <c r="BU121" s="158"/>
      <c r="BX121" s="94"/>
    </row>
    <row r="122" spans="1:76" ht="15.4" x14ac:dyDescent="0.45">
      <c r="A122" s="139" t="s">
        <v>155</v>
      </c>
      <c r="B122" s="140" t="s">
        <v>222</v>
      </c>
      <c r="C122" s="102">
        <v>802</v>
      </c>
      <c r="D122" s="141" t="s">
        <v>230</v>
      </c>
      <c r="E122" s="348">
        <v>1.021975426906069</v>
      </c>
      <c r="F122" s="142">
        <v>357</v>
      </c>
      <c r="G122" s="143">
        <f t="shared" si="54"/>
        <v>4087.9017076242762</v>
      </c>
      <c r="H122" s="144">
        <f t="shared" si="55"/>
        <v>1459380.9096218667</v>
      </c>
      <c r="I122" s="144">
        <f>INDEX('Baselines+Historic Spend Factor'!$Q$9:$Q$159,MATCH(C122,'Baselines+Historic Spend Factor'!$C$9:$C$159,0))</f>
        <v>10738608.304307595</v>
      </c>
      <c r="J122" s="142">
        <v>41598.900000000009</v>
      </c>
      <c r="K122" s="145">
        <f t="shared" si="56"/>
        <v>42513.053586322887</v>
      </c>
      <c r="L122" s="144">
        <f t="shared" si="57"/>
        <v>4981403.5990798688</v>
      </c>
      <c r="M122" s="142">
        <v>2452</v>
      </c>
      <c r="N122" s="145">
        <f t="shared" si="58"/>
        <v>2505.8837467736812</v>
      </c>
      <c r="O122" s="144">
        <f t="shared" si="59"/>
        <v>614779.92003216909</v>
      </c>
      <c r="P122" s="142">
        <v>1676</v>
      </c>
      <c r="Q122" s="145">
        <f t="shared" si="60"/>
        <v>1712.8308154945717</v>
      </c>
      <c r="R122" s="147">
        <f t="shared" si="61"/>
        <v>58308.360672355375</v>
      </c>
      <c r="S122" s="142">
        <v>2019</v>
      </c>
      <c r="T122" s="145">
        <f t="shared" si="62"/>
        <v>2063.3683869233532</v>
      </c>
      <c r="U122" s="147">
        <f t="shared" si="63"/>
        <v>91227.061210948828</v>
      </c>
      <c r="V122" s="142">
        <v>1684</v>
      </c>
      <c r="W122" s="145">
        <f t="shared" si="64"/>
        <v>1721.0066189098202</v>
      </c>
      <c r="X122" s="147">
        <f t="shared" si="65"/>
        <v>103780.83093593197</v>
      </c>
      <c r="Y122" s="142">
        <v>156</v>
      </c>
      <c r="Z122" s="145">
        <f t="shared" si="66"/>
        <v>159.42816659734677</v>
      </c>
      <c r="AA122" s="147">
        <f t="shared" si="67"/>
        <v>10283.248000539352</v>
      </c>
      <c r="AB122" s="142">
        <v>2297</v>
      </c>
      <c r="AC122" s="145">
        <f t="shared" si="68"/>
        <v>2347.4775556032405</v>
      </c>
      <c r="AD122" s="147">
        <f t="shared" si="69"/>
        <v>165805.10973248535</v>
      </c>
      <c r="AE122" s="142">
        <v>1046</v>
      </c>
      <c r="AF122" s="145">
        <f t="shared" si="70"/>
        <v>1068.9862965437483</v>
      </c>
      <c r="AG122" s="147">
        <f t="shared" si="71"/>
        <v>102169.36020837308</v>
      </c>
      <c r="AH122" s="144">
        <f t="shared" si="72"/>
        <v>531573.97076063405</v>
      </c>
      <c r="AI122" s="142">
        <v>201</v>
      </c>
      <c r="AJ122" s="145">
        <f t="shared" si="73"/>
        <v>205.41706080811988</v>
      </c>
      <c r="AK122" s="147">
        <f t="shared" si="74"/>
        <v>633998.64743843232</v>
      </c>
      <c r="AL122" s="142">
        <v>1200</v>
      </c>
      <c r="AM122" s="145">
        <f t="shared" si="75"/>
        <v>1226.3705122872827</v>
      </c>
      <c r="AN122" s="147">
        <f t="shared" si="76"/>
        <v>625098.02102373261</v>
      </c>
      <c r="AO122" s="142">
        <v>366</v>
      </c>
      <c r="AP122" s="145">
        <f t="shared" si="77"/>
        <v>374.04300624762124</v>
      </c>
      <c r="AQ122" s="147">
        <f t="shared" si="78"/>
        <v>658824.12412688928</v>
      </c>
      <c r="AR122" s="142">
        <v>531</v>
      </c>
      <c r="AS122" s="145">
        <f t="shared" si="79"/>
        <v>542.66895168712267</v>
      </c>
      <c r="AT122" s="147">
        <f t="shared" si="80"/>
        <v>785057.06130207772</v>
      </c>
      <c r="AU122" s="144">
        <f t="shared" si="81"/>
        <v>19569343.648071397</v>
      </c>
      <c r="AV122" s="148">
        <f>INDEX('Baselines+Historic Spend Factor'!P$9:P$159,MATCH('2019-20 StepbyStep Allocations'!C122,'Baselines+Historic Spend Factor'!C$9:C$159,0))</f>
        <v>21477216.60861519</v>
      </c>
      <c r="AW122" s="149">
        <v>41105.881999999998</v>
      </c>
      <c r="AX122" s="150">
        <f t="shared" si="82"/>
        <v>522.48523966996231</v>
      </c>
      <c r="AY122" s="148">
        <f t="shared" si="83"/>
        <v>527.7100920666619</v>
      </c>
      <c r="AZ122" s="148">
        <f t="shared" si="84"/>
        <v>470.42935385482292</v>
      </c>
      <c r="BA122" s="148">
        <f t="shared" si="85"/>
        <v>527.7100920666619</v>
      </c>
      <c r="BB122" s="151">
        <f t="shared" si="86"/>
        <v>2382815.7008004691</v>
      </c>
      <c r="BC122" s="148">
        <f t="shared" si="87"/>
        <v>0</v>
      </c>
      <c r="BD122" s="144">
        <f t="shared" si="88"/>
        <v>2382815.7008004691</v>
      </c>
      <c r="BE122" s="144">
        <f t="shared" si="49"/>
        <v>21952159.348871868</v>
      </c>
      <c r="BF122" s="144">
        <f>INDEX('Hospital Education Funding'!$G$9:$G$159,MATCH(C122,'Hospital Education Funding'!$C$9:$C$158,0))</f>
        <v>0</v>
      </c>
      <c r="BG122" s="152">
        <f>INDEX('Import|Export Adjustments Data'!$Q$9:$Q$159,MATCH('2019-20 StepbyStep Allocations'!$C122,'Import|Export Adjustments Data'!$C$9:$C$159,0))</f>
        <v>6</v>
      </c>
      <c r="BH122" s="144">
        <f t="shared" si="89"/>
        <v>36000</v>
      </c>
      <c r="BI122" s="153">
        <f>INDEX('Baselines+Historic Spend Factor'!$F$9:$F$159,MATCH('2019-20 StepbyStep Allocations'!C122,'Baselines+Historic Spend Factor'!C$9:C$159,0))-INDEX('Baselines+Historic Spend Factor'!$G$9:$G$159,MATCH('2019-20 StepbyStep Allocations'!C122,'Baselines+Historic Spend Factor'!C$9:C$159,0))</f>
        <v>22981235.041768879</v>
      </c>
      <c r="BJ122" s="154">
        <f t="shared" si="50"/>
        <v>23447540.258493736</v>
      </c>
      <c r="BK122" s="155">
        <f t="shared" si="90"/>
        <v>2.0290694380756147E-2</v>
      </c>
      <c r="BL122" s="156">
        <f t="shared" si="91"/>
        <v>522.48523966996231</v>
      </c>
      <c r="BM122" s="148">
        <f t="shared" si="51"/>
        <v>527.7100920666619</v>
      </c>
      <c r="BN122" s="148">
        <f t="shared" si="92"/>
        <v>527.7100920666619</v>
      </c>
      <c r="BO122" s="148">
        <f t="shared" si="52"/>
        <v>21952159.348871868</v>
      </c>
      <c r="BP122" s="144">
        <f t="shared" si="53"/>
        <v>23447540.258493736</v>
      </c>
      <c r="BQ122" s="148">
        <v>23213894.692371212</v>
      </c>
      <c r="BR122" s="157">
        <f t="shared" si="93"/>
        <v>1.0064901612537591E-2</v>
      </c>
      <c r="BT122" s="94"/>
      <c r="BU122" s="158"/>
      <c r="BX122" s="94"/>
    </row>
    <row r="123" spans="1:76" ht="15.4" x14ac:dyDescent="0.45">
      <c r="A123" s="139" t="s">
        <v>216</v>
      </c>
      <c r="B123" s="140" t="s">
        <v>222</v>
      </c>
      <c r="C123" s="102">
        <v>879</v>
      </c>
      <c r="D123" s="141" t="s">
        <v>231</v>
      </c>
      <c r="E123" s="348">
        <v>1</v>
      </c>
      <c r="F123" s="142">
        <v>652</v>
      </c>
      <c r="G123" s="143">
        <f t="shared" si="54"/>
        <v>4000</v>
      </c>
      <c r="H123" s="144">
        <f t="shared" si="55"/>
        <v>2608000</v>
      </c>
      <c r="I123" s="144">
        <f>INDEX('Baselines+Historic Spend Factor'!$Q$9:$Q$159,MATCH(C123,'Baselines+Historic Spend Factor'!$C$9:$C$159,0))</f>
        <v>12706155.628975254</v>
      </c>
      <c r="J123" s="142">
        <v>49985.503000000012</v>
      </c>
      <c r="K123" s="145">
        <f t="shared" si="56"/>
        <v>49985.503000000012</v>
      </c>
      <c r="L123" s="144">
        <f t="shared" si="57"/>
        <v>5856976.7057646541</v>
      </c>
      <c r="M123" s="142">
        <v>5859.5000000000018</v>
      </c>
      <c r="N123" s="145">
        <f t="shared" si="58"/>
        <v>5859.5000000000018</v>
      </c>
      <c r="O123" s="144">
        <f t="shared" si="59"/>
        <v>1437537.9329014972</v>
      </c>
      <c r="P123" s="142">
        <v>4357</v>
      </c>
      <c r="Q123" s="145">
        <f t="shared" si="60"/>
        <v>4357</v>
      </c>
      <c r="R123" s="147">
        <f t="shared" si="61"/>
        <v>148321.43674160648</v>
      </c>
      <c r="S123" s="142">
        <v>4088</v>
      </c>
      <c r="T123" s="145">
        <f t="shared" si="62"/>
        <v>4088</v>
      </c>
      <c r="U123" s="147">
        <f t="shared" si="63"/>
        <v>180741.46555401891</v>
      </c>
      <c r="V123" s="142">
        <v>6081</v>
      </c>
      <c r="W123" s="145">
        <f t="shared" si="64"/>
        <v>6081</v>
      </c>
      <c r="X123" s="147">
        <f t="shared" si="65"/>
        <v>366698.8993459944</v>
      </c>
      <c r="Y123" s="142">
        <v>2620</v>
      </c>
      <c r="Z123" s="145">
        <f t="shared" si="66"/>
        <v>2620</v>
      </c>
      <c r="AA123" s="147">
        <f t="shared" si="67"/>
        <v>168992.157009861</v>
      </c>
      <c r="AB123" s="142">
        <v>3795</v>
      </c>
      <c r="AC123" s="145">
        <f t="shared" si="68"/>
        <v>3795</v>
      </c>
      <c r="AD123" s="147">
        <f t="shared" si="69"/>
        <v>268045.32803002076</v>
      </c>
      <c r="AE123" s="142">
        <v>3494</v>
      </c>
      <c r="AF123" s="145">
        <f t="shared" si="70"/>
        <v>3494</v>
      </c>
      <c r="AG123" s="147">
        <f t="shared" si="71"/>
        <v>333942.30190063635</v>
      </c>
      <c r="AH123" s="144">
        <f t="shared" si="72"/>
        <v>1466741.5885821381</v>
      </c>
      <c r="AI123" s="142">
        <v>338</v>
      </c>
      <c r="AJ123" s="145">
        <f t="shared" si="73"/>
        <v>338</v>
      </c>
      <c r="AK123" s="147">
        <f t="shared" si="74"/>
        <v>1043202.2636832483</v>
      </c>
      <c r="AL123" s="142">
        <v>2700</v>
      </c>
      <c r="AM123" s="145">
        <f t="shared" si="75"/>
        <v>2700</v>
      </c>
      <c r="AN123" s="147">
        <f t="shared" si="76"/>
        <v>1376227.3634713027</v>
      </c>
      <c r="AO123" s="142">
        <v>553</v>
      </c>
      <c r="AP123" s="145">
        <f t="shared" si="77"/>
        <v>553</v>
      </c>
      <c r="AQ123" s="147">
        <f t="shared" si="78"/>
        <v>974031.68768507557</v>
      </c>
      <c r="AR123" s="142">
        <v>695</v>
      </c>
      <c r="AS123" s="145">
        <f t="shared" si="79"/>
        <v>695</v>
      </c>
      <c r="AT123" s="147">
        <f t="shared" si="80"/>
        <v>1005428.1821516844</v>
      </c>
      <c r="AU123" s="144">
        <f t="shared" si="81"/>
        <v>25866301.353214856</v>
      </c>
      <c r="AV123" s="148">
        <f>INDEX('Baselines+Historic Spend Factor'!P$9:P$159,MATCH('2019-20 StepbyStep Allocations'!C123,'Baselines+Historic Spend Factor'!C$9:C$159,0))</f>
        <v>25412311.257950507</v>
      </c>
      <c r="AW123" s="149">
        <v>49504.054999999993</v>
      </c>
      <c r="AX123" s="150">
        <f t="shared" si="82"/>
        <v>513.33797318119719</v>
      </c>
      <c r="AY123" s="148">
        <f t="shared" si="83"/>
        <v>518.47135291300913</v>
      </c>
      <c r="AZ123" s="148">
        <f t="shared" si="84"/>
        <v>517.47606407431476</v>
      </c>
      <c r="BA123" s="148">
        <f t="shared" si="85"/>
        <v>518.47135291300913</v>
      </c>
      <c r="BB123" s="151">
        <f t="shared" si="86"/>
        <v>49750.013232423669</v>
      </c>
      <c r="BC123" s="148">
        <f t="shared" si="87"/>
        <v>0</v>
      </c>
      <c r="BD123" s="144">
        <f t="shared" si="88"/>
        <v>49750.013232423669</v>
      </c>
      <c r="BE123" s="144">
        <f t="shared" si="49"/>
        <v>25916051.366447281</v>
      </c>
      <c r="BF123" s="144">
        <f>INDEX('Hospital Education Funding'!$G$9:$G$159,MATCH(C123,'Hospital Education Funding'!$C$9:$C$158,0))</f>
        <v>632260</v>
      </c>
      <c r="BG123" s="152">
        <f>INDEX('Import|Export Adjustments Data'!$Q$9:$Q$159,MATCH('2019-20 StepbyStep Allocations'!$C123,'Import|Export Adjustments Data'!$C$9:$C$159,0))</f>
        <v>58</v>
      </c>
      <c r="BH123" s="144">
        <f t="shared" si="89"/>
        <v>348000</v>
      </c>
      <c r="BI123" s="153">
        <f>INDEX('Baselines+Historic Spend Factor'!$F$9:$F$159,MATCH('2019-20 StepbyStep Allocations'!C123,'Baselines+Historic Spend Factor'!C$9:C$159,0))-INDEX('Baselines+Historic Spend Factor'!$G$9:$G$159,MATCH('2019-20 StepbyStep Allocations'!C123,'Baselines+Historic Spend Factor'!C$9:C$159,0))</f>
        <v>29100311.257950507</v>
      </c>
      <c r="BJ123" s="154">
        <f t="shared" si="50"/>
        <v>29504311.366447281</v>
      </c>
      <c r="BK123" s="155">
        <f t="shared" si="90"/>
        <v>1.3883016745616317E-2</v>
      </c>
      <c r="BL123" s="156">
        <f t="shared" si="91"/>
        <v>513.33797318119719</v>
      </c>
      <c r="BM123" s="148">
        <f t="shared" si="51"/>
        <v>518.47135291300913</v>
      </c>
      <c r="BN123" s="148">
        <f t="shared" si="92"/>
        <v>518.47135291300913</v>
      </c>
      <c r="BO123" s="148">
        <f t="shared" si="52"/>
        <v>25916051.366447281</v>
      </c>
      <c r="BP123" s="144">
        <f t="shared" si="53"/>
        <v>29504311.366447281</v>
      </c>
      <c r="BQ123" s="148">
        <v>29276143.423541166</v>
      </c>
      <c r="BR123" s="157">
        <f t="shared" si="93"/>
        <v>7.7936475308644226E-3</v>
      </c>
      <c r="BT123" s="94"/>
      <c r="BU123" s="158"/>
      <c r="BX123" s="94"/>
    </row>
    <row r="124" spans="1:76" ht="15.4" x14ac:dyDescent="0.45">
      <c r="A124" s="139" t="s">
        <v>128</v>
      </c>
      <c r="B124" s="140" t="s">
        <v>222</v>
      </c>
      <c r="C124" s="102">
        <v>836</v>
      </c>
      <c r="D124" s="141" t="s">
        <v>232</v>
      </c>
      <c r="E124" s="348">
        <v>1</v>
      </c>
      <c r="F124" s="142">
        <v>262</v>
      </c>
      <c r="G124" s="143">
        <f t="shared" si="54"/>
        <v>4000</v>
      </c>
      <c r="H124" s="144">
        <f t="shared" si="55"/>
        <v>1048000</v>
      </c>
      <c r="I124" s="144">
        <f>INDEX('Baselines+Historic Spend Factor'!$Q$9:$Q$159,MATCH(C124,'Baselines+Historic Spend Factor'!$C$9:$C$159,0))</f>
        <v>6926999.9999999991</v>
      </c>
      <c r="J124" s="142">
        <v>29150.495999999996</v>
      </c>
      <c r="K124" s="145">
        <f t="shared" si="56"/>
        <v>29150.495999999996</v>
      </c>
      <c r="L124" s="144">
        <f t="shared" si="57"/>
        <v>3415665.8588288222</v>
      </c>
      <c r="M124" s="142">
        <v>2073</v>
      </c>
      <c r="N124" s="145">
        <f t="shared" si="58"/>
        <v>2073</v>
      </c>
      <c r="O124" s="144">
        <f t="shared" si="59"/>
        <v>508578.57068091177</v>
      </c>
      <c r="P124" s="142">
        <v>4424</v>
      </c>
      <c r="Q124" s="145">
        <f t="shared" si="60"/>
        <v>4424</v>
      </c>
      <c r="R124" s="147">
        <f t="shared" si="61"/>
        <v>150602.25754988915</v>
      </c>
      <c r="S124" s="142">
        <v>1852</v>
      </c>
      <c r="T124" s="145">
        <f t="shared" si="62"/>
        <v>1852</v>
      </c>
      <c r="U124" s="147">
        <f t="shared" si="63"/>
        <v>81881.896821439092</v>
      </c>
      <c r="V124" s="142">
        <v>1512</v>
      </c>
      <c r="W124" s="145">
        <f t="shared" si="64"/>
        <v>1512</v>
      </c>
      <c r="X124" s="147">
        <f t="shared" si="65"/>
        <v>91177.23002978845</v>
      </c>
      <c r="Y124" s="142">
        <v>816</v>
      </c>
      <c r="Z124" s="145">
        <f t="shared" si="66"/>
        <v>816</v>
      </c>
      <c r="AA124" s="147">
        <f t="shared" si="67"/>
        <v>52632.671801544493</v>
      </c>
      <c r="AB124" s="142">
        <v>954</v>
      </c>
      <c r="AC124" s="145">
        <f t="shared" si="68"/>
        <v>954</v>
      </c>
      <c r="AD124" s="147">
        <f t="shared" si="69"/>
        <v>67382.145702408379</v>
      </c>
      <c r="AE124" s="142">
        <v>0</v>
      </c>
      <c r="AF124" s="145">
        <f t="shared" si="70"/>
        <v>0</v>
      </c>
      <c r="AG124" s="147">
        <f t="shared" si="71"/>
        <v>0</v>
      </c>
      <c r="AH124" s="144">
        <f t="shared" si="72"/>
        <v>443676.20190506958</v>
      </c>
      <c r="AI124" s="142">
        <v>159</v>
      </c>
      <c r="AJ124" s="145">
        <f t="shared" si="73"/>
        <v>159</v>
      </c>
      <c r="AK124" s="147">
        <f t="shared" si="74"/>
        <v>490737.15954330319</v>
      </c>
      <c r="AL124" s="142">
        <v>860</v>
      </c>
      <c r="AM124" s="145">
        <f t="shared" si="75"/>
        <v>860</v>
      </c>
      <c r="AN124" s="147">
        <f t="shared" si="76"/>
        <v>438353.900957526</v>
      </c>
      <c r="AO124" s="142">
        <v>306</v>
      </c>
      <c r="AP124" s="145">
        <f t="shared" si="77"/>
        <v>306</v>
      </c>
      <c r="AQ124" s="147">
        <f t="shared" si="78"/>
        <v>538975.94291434553</v>
      </c>
      <c r="AR124" s="142">
        <v>314</v>
      </c>
      <c r="AS124" s="145">
        <f t="shared" si="79"/>
        <v>314</v>
      </c>
      <c r="AT124" s="147">
        <f t="shared" si="80"/>
        <v>454251.00603687606</v>
      </c>
      <c r="AU124" s="144">
        <f t="shared" si="81"/>
        <v>13217238.640866855</v>
      </c>
      <c r="AV124" s="148">
        <f>INDEX('Baselines+Historic Spend Factor'!P$9:P$159,MATCH('2019-20 StepbyStep Allocations'!C124,'Baselines+Historic Spend Factor'!C$9:C$159,0))</f>
        <v>13853999.999999998</v>
      </c>
      <c r="AW124" s="149">
        <v>28781.723999999998</v>
      </c>
      <c r="AX124" s="150">
        <f t="shared" si="82"/>
        <v>481.34712152753599</v>
      </c>
      <c r="AY124" s="148">
        <f t="shared" si="83"/>
        <v>486.16059274281133</v>
      </c>
      <c r="AZ124" s="148">
        <f t="shared" si="84"/>
        <v>453.41385068943106</v>
      </c>
      <c r="BA124" s="148">
        <f t="shared" si="85"/>
        <v>486.16059274281133</v>
      </c>
      <c r="BB124" s="151">
        <f t="shared" si="86"/>
        <v>954583.77324009326</v>
      </c>
      <c r="BC124" s="148">
        <f t="shared" si="87"/>
        <v>0</v>
      </c>
      <c r="BD124" s="144">
        <f t="shared" si="88"/>
        <v>954583.77324009326</v>
      </c>
      <c r="BE124" s="144">
        <f t="shared" si="49"/>
        <v>14171822.414106948</v>
      </c>
      <c r="BF124" s="144">
        <f>INDEX('Hospital Education Funding'!$G$9:$G$159,MATCH(C124,'Hospital Education Funding'!$C$9:$C$158,0))</f>
        <v>915060</v>
      </c>
      <c r="BG124" s="152">
        <f>INDEX('Import|Export Adjustments Data'!$Q$9:$Q$159,MATCH('2019-20 StepbyStep Allocations'!$C124,'Import|Export Adjustments Data'!$C$9:$C$159,0))</f>
        <v>-93.5</v>
      </c>
      <c r="BH124" s="144">
        <f t="shared" si="89"/>
        <v>-561000</v>
      </c>
      <c r="BI124" s="153">
        <f>INDEX('Baselines+Historic Spend Factor'!$F$9:$F$159,MATCH('2019-20 StepbyStep Allocations'!C124,'Baselines+Historic Spend Factor'!C$9:C$159,0))-INDEX('Baselines+Historic Spend Factor'!$G$9:$G$159,MATCH('2019-20 StepbyStep Allocations'!C124,'Baselines+Historic Spend Factor'!C$9:C$159,0))</f>
        <v>15261999.999999998</v>
      </c>
      <c r="BJ124" s="154">
        <f t="shared" si="50"/>
        <v>15573882.414106948</v>
      </c>
      <c r="BK124" s="155">
        <f t="shared" si="90"/>
        <v>2.0435225665505818E-2</v>
      </c>
      <c r="BL124" s="156">
        <f t="shared" si="91"/>
        <v>481.34712152753599</v>
      </c>
      <c r="BM124" s="148">
        <f t="shared" si="51"/>
        <v>486.16059274281133</v>
      </c>
      <c r="BN124" s="148">
        <f t="shared" si="92"/>
        <v>486.16059274281133</v>
      </c>
      <c r="BO124" s="148">
        <f t="shared" si="52"/>
        <v>14171822.414106948</v>
      </c>
      <c r="BP124" s="144">
        <f t="shared" si="53"/>
        <v>15573882.414106948</v>
      </c>
      <c r="BQ124" s="148">
        <v>15412176.093328243</v>
      </c>
      <c r="BR124" s="157">
        <f t="shared" si="93"/>
        <v>1.0492114792842733E-2</v>
      </c>
      <c r="BT124" s="94"/>
      <c r="BU124" s="158"/>
      <c r="BX124" s="94"/>
    </row>
    <row r="125" spans="1:76" ht="15.4" x14ac:dyDescent="0.45">
      <c r="A125" s="139" t="s">
        <v>141</v>
      </c>
      <c r="B125" s="140" t="s">
        <v>222</v>
      </c>
      <c r="C125" s="102">
        <v>933</v>
      </c>
      <c r="D125" s="141" t="s">
        <v>233</v>
      </c>
      <c r="E125" s="348">
        <v>1</v>
      </c>
      <c r="F125" s="142">
        <v>675</v>
      </c>
      <c r="G125" s="143">
        <f t="shared" si="54"/>
        <v>4000</v>
      </c>
      <c r="H125" s="144">
        <f t="shared" si="55"/>
        <v>2700000</v>
      </c>
      <c r="I125" s="144">
        <f>INDEX('Baselines+Historic Spend Factor'!$Q$9:$Q$159,MATCH(C125,'Baselines+Historic Spend Factor'!$C$9:$C$159,0))</f>
        <v>22689837.711636487</v>
      </c>
      <c r="J125" s="142">
        <v>106468.395</v>
      </c>
      <c r="K125" s="145">
        <f t="shared" si="56"/>
        <v>106468.395</v>
      </c>
      <c r="L125" s="144">
        <f t="shared" si="57"/>
        <v>12475275.269614669</v>
      </c>
      <c r="M125" s="142">
        <v>8321</v>
      </c>
      <c r="N125" s="145">
        <f t="shared" si="58"/>
        <v>8321</v>
      </c>
      <c r="O125" s="144">
        <f t="shared" si="59"/>
        <v>2041428.9853525648</v>
      </c>
      <c r="P125" s="142">
        <v>9625</v>
      </c>
      <c r="Q125" s="145">
        <f t="shared" si="60"/>
        <v>9625</v>
      </c>
      <c r="R125" s="147">
        <f t="shared" si="61"/>
        <v>327655.22805553413</v>
      </c>
      <c r="S125" s="142">
        <v>8501</v>
      </c>
      <c r="T125" s="145">
        <f t="shared" si="62"/>
        <v>8501</v>
      </c>
      <c r="U125" s="147">
        <f t="shared" si="63"/>
        <v>375852.05447033141</v>
      </c>
      <c r="V125" s="142">
        <v>2155</v>
      </c>
      <c r="W125" s="145">
        <f t="shared" si="64"/>
        <v>2155</v>
      </c>
      <c r="X125" s="147">
        <f t="shared" si="65"/>
        <v>129951.67375277387</v>
      </c>
      <c r="Y125" s="142">
        <v>1896</v>
      </c>
      <c r="Z125" s="145">
        <f t="shared" si="66"/>
        <v>1896</v>
      </c>
      <c r="AA125" s="147">
        <f t="shared" si="67"/>
        <v>122293.5609506475</v>
      </c>
      <c r="AB125" s="142">
        <v>3423</v>
      </c>
      <c r="AC125" s="145">
        <f t="shared" si="68"/>
        <v>3423</v>
      </c>
      <c r="AD125" s="147">
        <f t="shared" si="69"/>
        <v>241770.52907688037</v>
      </c>
      <c r="AE125" s="142">
        <v>489</v>
      </c>
      <c r="AF125" s="145">
        <f t="shared" si="70"/>
        <v>489</v>
      </c>
      <c r="AG125" s="147">
        <f t="shared" si="71"/>
        <v>46736.630117175489</v>
      </c>
      <c r="AH125" s="144">
        <f t="shared" si="72"/>
        <v>1244259.6764233427</v>
      </c>
      <c r="AI125" s="142">
        <v>502</v>
      </c>
      <c r="AJ125" s="145">
        <f t="shared" si="73"/>
        <v>502</v>
      </c>
      <c r="AK125" s="147">
        <f t="shared" si="74"/>
        <v>1549371.4093757118</v>
      </c>
      <c r="AL125" s="142">
        <v>3150</v>
      </c>
      <c r="AM125" s="145">
        <f t="shared" si="75"/>
        <v>3150</v>
      </c>
      <c r="AN125" s="147">
        <f t="shared" si="76"/>
        <v>1605598.5907165199</v>
      </c>
      <c r="AO125" s="142">
        <v>1106</v>
      </c>
      <c r="AP125" s="145">
        <f t="shared" si="77"/>
        <v>1106</v>
      </c>
      <c r="AQ125" s="147">
        <f t="shared" si="78"/>
        <v>1948063.3753701511</v>
      </c>
      <c r="AR125" s="142">
        <v>1167</v>
      </c>
      <c r="AS125" s="145">
        <f t="shared" si="79"/>
        <v>1167</v>
      </c>
      <c r="AT125" s="147">
        <f t="shared" si="80"/>
        <v>1688251.350461893</v>
      </c>
      <c r="AU125" s="144">
        <f t="shared" si="81"/>
        <v>45242086.368951343</v>
      </c>
      <c r="AV125" s="148">
        <f>INDEX('Baselines+Historic Spend Factor'!P$9:P$159,MATCH('2019-20 StepbyStep Allocations'!C125,'Baselines+Historic Spend Factor'!C$9:C$159,0))</f>
        <v>45379675.423272975</v>
      </c>
      <c r="AW125" s="149">
        <v>105372.38699999999</v>
      </c>
      <c r="AX125" s="150">
        <f t="shared" si="82"/>
        <v>430.66003072771787</v>
      </c>
      <c r="AY125" s="148">
        <f t="shared" si="83"/>
        <v>434.96663103499503</v>
      </c>
      <c r="AZ125" s="148">
        <f t="shared" si="84"/>
        <v>424.93442649296384</v>
      </c>
      <c r="BA125" s="148">
        <f t="shared" si="85"/>
        <v>434.96663103499503</v>
      </c>
      <c r="BB125" s="151">
        <f t="shared" si="86"/>
        <v>1068112.7159017713</v>
      </c>
      <c r="BC125" s="148">
        <f t="shared" si="87"/>
        <v>0</v>
      </c>
      <c r="BD125" s="144">
        <f t="shared" si="88"/>
        <v>1068112.7159017713</v>
      </c>
      <c r="BE125" s="144">
        <f t="shared" si="49"/>
        <v>46310199.084853113</v>
      </c>
      <c r="BF125" s="144">
        <f>INDEX('Hospital Education Funding'!$G$9:$G$159,MATCH(C125,'Hospital Education Funding'!$C$9:$C$158,0))</f>
        <v>2126858.0000000005</v>
      </c>
      <c r="BG125" s="152">
        <f>INDEX('Import|Export Adjustments Data'!$Q$9:$Q$159,MATCH('2019-20 StepbyStep Allocations'!$C125,'Import|Export Adjustments Data'!$C$9:$C$159,0))</f>
        <v>-148</v>
      </c>
      <c r="BH125" s="144">
        <f t="shared" si="89"/>
        <v>-888000</v>
      </c>
      <c r="BI125" s="153">
        <f>INDEX('Baselines+Historic Spend Factor'!$F$9:$F$159,MATCH('2019-20 StepbyStep Allocations'!C125,'Baselines+Historic Spend Factor'!C$9:C$159,0))-INDEX('Baselines+Historic Spend Factor'!$G$9:$G$159,MATCH('2019-20 StepbyStep Allocations'!C125,'Baselines+Historic Spend Factor'!C$9:C$159,0))</f>
        <v>49501475.423272975</v>
      </c>
      <c r="BJ125" s="154">
        <f t="shared" si="50"/>
        <v>50249057.084853113</v>
      </c>
      <c r="BK125" s="155">
        <f t="shared" si="90"/>
        <v>1.5102209685424084E-2</v>
      </c>
      <c r="BL125" s="156">
        <f t="shared" si="91"/>
        <v>430.66003072771787</v>
      </c>
      <c r="BM125" s="148">
        <f t="shared" si="51"/>
        <v>434.96663103499503</v>
      </c>
      <c r="BN125" s="148">
        <f t="shared" si="92"/>
        <v>434.96663103499503</v>
      </c>
      <c r="BO125" s="148">
        <f t="shared" si="52"/>
        <v>46310199.084853113</v>
      </c>
      <c r="BP125" s="144">
        <f t="shared" si="53"/>
        <v>50249057.084853113</v>
      </c>
      <c r="BQ125" s="148">
        <v>49712719.10021352</v>
      </c>
      <c r="BR125" s="157">
        <f t="shared" si="93"/>
        <v>1.078874771581928E-2</v>
      </c>
      <c r="BT125" s="94"/>
      <c r="BU125" s="158"/>
      <c r="BX125" s="94"/>
    </row>
    <row r="126" spans="1:76" ht="15.4" x14ac:dyDescent="0.45">
      <c r="A126" s="139" t="s">
        <v>175</v>
      </c>
      <c r="B126" s="140" t="s">
        <v>222</v>
      </c>
      <c r="C126" s="102">
        <v>803</v>
      </c>
      <c r="D126" s="141" t="s">
        <v>234</v>
      </c>
      <c r="E126" s="348">
        <v>1.021975426906069</v>
      </c>
      <c r="F126" s="142">
        <v>485</v>
      </c>
      <c r="G126" s="143">
        <f t="shared" si="54"/>
        <v>4087.9017076242762</v>
      </c>
      <c r="H126" s="144">
        <f t="shared" si="55"/>
        <v>1982632.328197774</v>
      </c>
      <c r="I126" s="144">
        <f>INDEX('Baselines+Historic Spend Factor'!$Q$9:$Q$159,MATCH(C126,'Baselines+Historic Spend Factor'!$C$9:$C$159,0))</f>
        <v>14310431.624642802</v>
      </c>
      <c r="J126" s="142">
        <v>56052.261999999988</v>
      </c>
      <c r="K126" s="145">
        <f t="shared" si="56"/>
        <v>57284.034386500818</v>
      </c>
      <c r="L126" s="144">
        <f t="shared" si="57"/>
        <v>6712171.2272047484</v>
      </c>
      <c r="M126" s="142">
        <v>2981</v>
      </c>
      <c r="N126" s="145">
        <f t="shared" si="58"/>
        <v>3046.5087476069916</v>
      </c>
      <c r="O126" s="144">
        <f t="shared" si="59"/>
        <v>747413.92398690712</v>
      </c>
      <c r="P126" s="142">
        <v>5900</v>
      </c>
      <c r="Q126" s="145">
        <f t="shared" si="60"/>
        <v>6029.655018745807</v>
      </c>
      <c r="R126" s="147">
        <f t="shared" si="61"/>
        <v>205262.12885853025</v>
      </c>
      <c r="S126" s="142">
        <v>3156</v>
      </c>
      <c r="T126" s="145">
        <f t="shared" si="62"/>
        <v>3225.3544473155539</v>
      </c>
      <c r="U126" s="147">
        <f t="shared" si="63"/>
        <v>142601.58750953665</v>
      </c>
      <c r="V126" s="142">
        <v>1461</v>
      </c>
      <c r="W126" s="145">
        <f t="shared" si="64"/>
        <v>1493.1060987097669</v>
      </c>
      <c r="X126" s="147">
        <f t="shared" si="65"/>
        <v>90037.882421256902</v>
      </c>
      <c r="Y126" s="142">
        <v>205</v>
      </c>
      <c r="Z126" s="145">
        <f t="shared" si="66"/>
        <v>209.50496251574415</v>
      </c>
      <c r="AA126" s="147">
        <f t="shared" si="67"/>
        <v>13513.242564811326</v>
      </c>
      <c r="AB126" s="142">
        <v>0</v>
      </c>
      <c r="AC126" s="145">
        <f t="shared" si="68"/>
        <v>0</v>
      </c>
      <c r="AD126" s="147">
        <f t="shared" si="69"/>
        <v>0</v>
      </c>
      <c r="AE126" s="142">
        <v>0</v>
      </c>
      <c r="AF126" s="145">
        <f t="shared" si="70"/>
        <v>0</v>
      </c>
      <c r="AG126" s="147">
        <f t="shared" si="71"/>
        <v>0</v>
      </c>
      <c r="AH126" s="144">
        <f t="shared" si="72"/>
        <v>451414.84135413513</v>
      </c>
      <c r="AI126" s="142">
        <v>270</v>
      </c>
      <c r="AJ126" s="145">
        <f t="shared" si="73"/>
        <v>275.93336526463861</v>
      </c>
      <c r="AK126" s="147">
        <f t="shared" si="74"/>
        <v>851639.97417102836</v>
      </c>
      <c r="AL126" s="142">
        <v>1840</v>
      </c>
      <c r="AM126" s="145">
        <f t="shared" si="75"/>
        <v>1880.4347855071669</v>
      </c>
      <c r="AN126" s="147">
        <f t="shared" si="76"/>
        <v>958483.63223639003</v>
      </c>
      <c r="AO126" s="142">
        <v>490</v>
      </c>
      <c r="AP126" s="145">
        <f t="shared" si="77"/>
        <v>500.7679591839738</v>
      </c>
      <c r="AQ126" s="147">
        <f t="shared" si="78"/>
        <v>882032.29732834909</v>
      </c>
      <c r="AR126" s="142">
        <v>747</v>
      </c>
      <c r="AS126" s="145">
        <f t="shared" si="79"/>
        <v>763.41564389883354</v>
      </c>
      <c r="AT126" s="147">
        <f t="shared" si="80"/>
        <v>1104402.306577499</v>
      </c>
      <c r="AU126" s="144">
        <f t="shared" si="81"/>
        <v>26017989.827501863</v>
      </c>
      <c r="AV126" s="148">
        <f>INDEX('Baselines+Historic Spend Factor'!P$9:P$159,MATCH('2019-20 StepbyStep Allocations'!C126,'Baselines+Historic Spend Factor'!C$9:C$159,0))</f>
        <v>28620863.249285605</v>
      </c>
      <c r="AW126" s="149">
        <v>55086.436000000002</v>
      </c>
      <c r="AX126" s="150">
        <f t="shared" si="82"/>
        <v>519.56280579280178</v>
      </c>
      <c r="AY126" s="148">
        <f t="shared" si="83"/>
        <v>524.75843385072983</v>
      </c>
      <c r="AZ126" s="148">
        <f t="shared" si="84"/>
        <v>464.17377103357342</v>
      </c>
      <c r="BA126" s="148">
        <f t="shared" si="85"/>
        <v>524.75843385072983</v>
      </c>
      <c r="BB126" s="151">
        <f t="shared" si="86"/>
        <v>3395907.3934089085</v>
      </c>
      <c r="BC126" s="148">
        <f t="shared" si="87"/>
        <v>0</v>
      </c>
      <c r="BD126" s="144">
        <f t="shared" si="88"/>
        <v>3395907.3934089085</v>
      </c>
      <c r="BE126" s="144">
        <f t="shared" si="49"/>
        <v>29413897.220910773</v>
      </c>
      <c r="BF126" s="144">
        <f>INDEX('Hospital Education Funding'!$G$9:$G$159,MATCH(C126,'Hospital Education Funding'!$C$9:$C$158,0))</f>
        <v>10100</v>
      </c>
      <c r="BG126" s="152">
        <f>INDEX('Import|Export Adjustments Data'!$Q$9:$Q$159,MATCH('2019-20 StepbyStep Allocations'!$C126,'Import|Export Adjustments Data'!$C$9:$C$159,0))</f>
        <v>-12</v>
      </c>
      <c r="BH126" s="144">
        <f t="shared" si="89"/>
        <v>-72000</v>
      </c>
      <c r="BI126" s="153">
        <f>INDEX('Baselines+Historic Spend Factor'!$F$9:$F$159,MATCH('2019-20 StepbyStep Allocations'!C126,'Baselines+Historic Spend Factor'!C$9:C$159,0))-INDEX('Baselines+Historic Spend Factor'!$G$9:$G$159,MATCH('2019-20 StepbyStep Allocations'!C126,'Baselines+Historic Spend Factor'!C$9:C$159,0))</f>
        <v>30663177.051869016</v>
      </c>
      <c r="BJ126" s="154">
        <f t="shared" si="50"/>
        <v>31334629.549108546</v>
      </c>
      <c r="BK126" s="155">
        <f t="shared" si="90"/>
        <v>2.1897681903728428E-2</v>
      </c>
      <c r="BL126" s="156">
        <f t="shared" si="91"/>
        <v>519.56280579280178</v>
      </c>
      <c r="BM126" s="148">
        <f t="shared" si="51"/>
        <v>524.75843385072983</v>
      </c>
      <c r="BN126" s="148">
        <f t="shared" si="92"/>
        <v>524.75843385072983</v>
      </c>
      <c r="BO126" s="148">
        <f t="shared" si="52"/>
        <v>29413897.220910773</v>
      </c>
      <c r="BP126" s="144">
        <f t="shared" si="53"/>
        <v>31334629.549108546</v>
      </c>
      <c r="BQ126" s="148">
        <v>30915317.876627054</v>
      </c>
      <c r="BR126" s="157">
        <f t="shared" si="93"/>
        <v>1.3563233415707643E-2</v>
      </c>
      <c r="BT126" s="94"/>
      <c r="BU126" s="158"/>
      <c r="BX126" s="94"/>
    </row>
    <row r="127" spans="1:76" ht="15.4" x14ac:dyDescent="0.45">
      <c r="A127" s="139" t="s">
        <v>246</v>
      </c>
      <c r="B127" s="140" t="s">
        <v>222</v>
      </c>
      <c r="C127" s="102">
        <v>866</v>
      </c>
      <c r="D127" s="141" t="s">
        <v>235</v>
      </c>
      <c r="E127" s="348">
        <v>1.0107827425534024</v>
      </c>
      <c r="F127" s="142">
        <v>612</v>
      </c>
      <c r="G127" s="143">
        <f t="shared" si="54"/>
        <v>4043.1309702136095</v>
      </c>
      <c r="H127" s="144">
        <f t="shared" si="55"/>
        <v>2474396.153770729</v>
      </c>
      <c r="I127" s="144">
        <f>INDEX('Baselines+Historic Spend Factor'!$Q$9:$Q$159,MATCH(C127,'Baselines+Historic Spend Factor'!$C$9:$C$159,0))</f>
        <v>13470519.900225468</v>
      </c>
      <c r="J127" s="142">
        <v>47653.686000000009</v>
      </c>
      <c r="K127" s="145">
        <f t="shared" si="56"/>
        <v>48167.523427858687</v>
      </c>
      <c r="L127" s="144">
        <f t="shared" si="57"/>
        <v>5643957.6629116153</v>
      </c>
      <c r="M127" s="142">
        <v>4205.0000000000009</v>
      </c>
      <c r="N127" s="145">
        <f t="shared" si="58"/>
        <v>4250.3414324370578</v>
      </c>
      <c r="O127" s="144">
        <f t="shared" si="59"/>
        <v>1042755.7021778573</v>
      </c>
      <c r="P127" s="142">
        <v>2523</v>
      </c>
      <c r="Q127" s="145">
        <f t="shared" si="60"/>
        <v>2550.2048594622343</v>
      </c>
      <c r="R127" s="147">
        <f t="shared" si="61"/>
        <v>86814.332967836861</v>
      </c>
      <c r="S127" s="142">
        <v>2197</v>
      </c>
      <c r="T127" s="145">
        <f t="shared" si="62"/>
        <v>2220.6896853898252</v>
      </c>
      <c r="U127" s="147">
        <f t="shared" si="63"/>
        <v>98182.65858073633</v>
      </c>
      <c r="V127" s="142">
        <v>2857</v>
      </c>
      <c r="W127" s="145">
        <f t="shared" si="64"/>
        <v>2887.8062954750708</v>
      </c>
      <c r="X127" s="147">
        <f t="shared" si="65"/>
        <v>174141.65270105936</v>
      </c>
      <c r="Y127" s="142">
        <v>3496</v>
      </c>
      <c r="Z127" s="145">
        <f t="shared" si="66"/>
        <v>3533.6964679666949</v>
      </c>
      <c r="AA127" s="147">
        <f t="shared" si="67"/>
        <v>227926.33142741182</v>
      </c>
      <c r="AB127" s="142">
        <v>1321</v>
      </c>
      <c r="AC127" s="145">
        <f t="shared" si="68"/>
        <v>1335.2440029130446</v>
      </c>
      <c r="AD127" s="147">
        <f t="shared" si="69"/>
        <v>94309.859489050068</v>
      </c>
      <c r="AE127" s="142">
        <v>930</v>
      </c>
      <c r="AF127" s="145">
        <f t="shared" si="70"/>
        <v>940.02795057466426</v>
      </c>
      <c r="AG127" s="147">
        <f t="shared" si="71"/>
        <v>89844.04626955952</v>
      </c>
      <c r="AH127" s="144">
        <f t="shared" si="72"/>
        <v>771218.88143565401</v>
      </c>
      <c r="AI127" s="142">
        <v>197</v>
      </c>
      <c r="AJ127" s="145">
        <f t="shared" si="73"/>
        <v>199.12420028302026</v>
      </c>
      <c r="AK127" s="147">
        <f t="shared" si="74"/>
        <v>614576.38014604512</v>
      </c>
      <c r="AL127" s="142">
        <v>1780</v>
      </c>
      <c r="AM127" s="145">
        <f t="shared" si="75"/>
        <v>1799.1932817450563</v>
      </c>
      <c r="AN127" s="147">
        <f t="shared" si="76"/>
        <v>917073.71352269605</v>
      </c>
      <c r="AO127" s="142">
        <v>462</v>
      </c>
      <c r="AP127" s="145">
        <f t="shared" si="77"/>
        <v>466.98162705967189</v>
      </c>
      <c r="AQ127" s="147">
        <f t="shared" si="78"/>
        <v>822522.42734693433</v>
      </c>
      <c r="AR127" s="142">
        <v>606</v>
      </c>
      <c r="AS127" s="145">
        <f t="shared" si="79"/>
        <v>612.53434198736181</v>
      </c>
      <c r="AT127" s="147">
        <f t="shared" si="80"/>
        <v>886128.47477673565</v>
      </c>
      <c r="AU127" s="144">
        <f t="shared" si="81"/>
        <v>24168753.142543007</v>
      </c>
      <c r="AV127" s="148">
        <f>INDEX('Baselines+Historic Spend Factor'!P$9:P$159,MATCH('2019-20 StepbyStep Allocations'!C127,'Baselines+Historic Spend Factor'!C$9:C$159,0))</f>
        <v>26941039.800450936</v>
      </c>
      <c r="AW127" s="149">
        <v>46735.062999999987</v>
      </c>
      <c r="AX127" s="150">
        <f t="shared" si="82"/>
        <v>576.4631108007909</v>
      </c>
      <c r="AY127" s="148">
        <f t="shared" si="83"/>
        <v>582.22774190879886</v>
      </c>
      <c r="AZ127" s="148">
        <f t="shared" si="84"/>
        <v>507.17489393250719</v>
      </c>
      <c r="BA127" s="148">
        <f t="shared" si="85"/>
        <v>582.22774190879886</v>
      </c>
      <c r="BB127" s="151">
        <f t="shared" si="86"/>
        <v>3576544.8508679396</v>
      </c>
      <c r="BC127" s="148">
        <f t="shared" si="87"/>
        <v>0</v>
      </c>
      <c r="BD127" s="144">
        <f t="shared" si="88"/>
        <v>3576544.8508679396</v>
      </c>
      <c r="BE127" s="144">
        <f t="shared" si="49"/>
        <v>27745297.993410945</v>
      </c>
      <c r="BF127" s="144">
        <f>INDEX('Hospital Education Funding'!$G$9:$G$159,MATCH(C127,'Hospital Education Funding'!$C$9:$C$158,0))</f>
        <v>472680</v>
      </c>
      <c r="BG127" s="152">
        <f>INDEX('Import|Export Adjustments Data'!$Q$9:$Q$159,MATCH('2019-20 StepbyStep Allocations'!$C127,'Import|Export Adjustments Data'!$C$9:$C$159,0))</f>
        <v>-57.5</v>
      </c>
      <c r="BH127" s="144">
        <f t="shared" si="89"/>
        <v>-345000</v>
      </c>
      <c r="BI127" s="153">
        <f>INDEX('Baselines+Historic Spend Factor'!$F$9:$F$159,MATCH('2019-20 StepbyStep Allocations'!C127,'Baselines+Historic Spend Factor'!C$9:C$159,0))-INDEX('Baselines+Historic Spend Factor'!$G$9:$G$159,MATCH('2019-20 StepbyStep Allocations'!C127,'Baselines+Historic Spend Factor'!C$9:C$159,0))</f>
        <v>29532314.548996113</v>
      </c>
      <c r="BJ127" s="154">
        <f t="shared" si="50"/>
        <v>30347374.147181675</v>
      </c>
      <c r="BK127" s="155">
        <f t="shared" si="90"/>
        <v>2.7598906846035387E-2</v>
      </c>
      <c r="BL127" s="156">
        <f t="shared" si="91"/>
        <v>576.4631108007909</v>
      </c>
      <c r="BM127" s="148">
        <f t="shared" si="51"/>
        <v>582.22774190879886</v>
      </c>
      <c r="BN127" s="148">
        <f t="shared" si="92"/>
        <v>582.22774190879886</v>
      </c>
      <c r="BO127" s="148">
        <f t="shared" si="52"/>
        <v>27745297.993410945</v>
      </c>
      <c r="BP127" s="144">
        <f t="shared" si="53"/>
        <v>30347374.147181675</v>
      </c>
      <c r="BQ127" s="148">
        <v>29920712.249576438</v>
      </c>
      <c r="BR127" s="157">
        <f t="shared" si="93"/>
        <v>1.4259750705342134E-2</v>
      </c>
      <c r="BT127" s="94"/>
      <c r="BU127" s="158"/>
      <c r="BX127" s="94"/>
    </row>
    <row r="128" spans="1:76" ht="15.4" x14ac:dyDescent="0.45">
      <c r="A128" s="139" t="s">
        <v>176</v>
      </c>
      <c r="B128" s="140" t="s">
        <v>222</v>
      </c>
      <c r="C128" s="102">
        <v>880</v>
      </c>
      <c r="D128" s="141" t="s">
        <v>236</v>
      </c>
      <c r="E128" s="348">
        <v>1</v>
      </c>
      <c r="F128" s="142">
        <v>548</v>
      </c>
      <c r="G128" s="143">
        <f t="shared" si="54"/>
        <v>4000</v>
      </c>
      <c r="H128" s="144">
        <f t="shared" si="55"/>
        <v>2192000</v>
      </c>
      <c r="I128" s="144">
        <f>INDEX('Baselines+Historic Spend Factor'!$Q$9:$Q$159,MATCH(C128,'Baselines+Historic Spend Factor'!$C$9:$C$159,0))</f>
        <v>7179459.0448755752</v>
      </c>
      <c r="J128" s="142">
        <v>24381.571</v>
      </c>
      <c r="K128" s="145">
        <f t="shared" si="56"/>
        <v>24381.571</v>
      </c>
      <c r="L128" s="144">
        <f t="shared" si="57"/>
        <v>2856874.1900416007</v>
      </c>
      <c r="M128" s="142">
        <v>2956.4999999999991</v>
      </c>
      <c r="N128" s="145">
        <f t="shared" si="58"/>
        <v>2956.4999999999991</v>
      </c>
      <c r="O128" s="144">
        <f t="shared" si="59"/>
        <v>725331.66628949123</v>
      </c>
      <c r="P128" s="142">
        <v>3953</v>
      </c>
      <c r="Q128" s="145">
        <f t="shared" si="60"/>
        <v>3953</v>
      </c>
      <c r="R128" s="147">
        <f t="shared" si="61"/>
        <v>134568.42768867809</v>
      </c>
      <c r="S128" s="142">
        <v>3091</v>
      </c>
      <c r="T128" s="145">
        <f t="shared" si="62"/>
        <v>3091</v>
      </c>
      <c r="U128" s="147">
        <f t="shared" si="63"/>
        <v>136661.41634722907</v>
      </c>
      <c r="V128" s="142">
        <v>2762</v>
      </c>
      <c r="W128" s="145">
        <f t="shared" si="64"/>
        <v>2762</v>
      </c>
      <c r="X128" s="147">
        <f t="shared" si="65"/>
        <v>166555.23104647864</v>
      </c>
      <c r="Y128" s="142">
        <v>817</v>
      </c>
      <c r="Z128" s="145">
        <f t="shared" si="66"/>
        <v>817</v>
      </c>
      <c r="AA128" s="147">
        <f t="shared" si="67"/>
        <v>52697.172624830695</v>
      </c>
      <c r="AB128" s="142">
        <v>3524</v>
      </c>
      <c r="AC128" s="145">
        <f t="shared" si="68"/>
        <v>3524</v>
      </c>
      <c r="AD128" s="147">
        <f t="shared" si="69"/>
        <v>248904.27825501797</v>
      </c>
      <c r="AE128" s="142">
        <v>0</v>
      </c>
      <c r="AF128" s="145">
        <f t="shared" si="70"/>
        <v>0</v>
      </c>
      <c r="AG128" s="147">
        <f t="shared" si="71"/>
        <v>0</v>
      </c>
      <c r="AH128" s="144">
        <f t="shared" si="72"/>
        <v>739386.52596223447</v>
      </c>
      <c r="AI128" s="142">
        <v>154</v>
      </c>
      <c r="AJ128" s="145">
        <f t="shared" si="73"/>
        <v>154</v>
      </c>
      <c r="AK128" s="147">
        <f t="shared" si="74"/>
        <v>475305.17339414271</v>
      </c>
      <c r="AL128" s="142">
        <v>1250</v>
      </c>
      <c r="AM128" s="145">
        <f t="shared" si="75"/>
        <v>1250</v>
      </c>
      <c r="AN128" s="147">
        <f t="shared" si="76"/>
        <v>637142.29790338082</v>
      </c>
      <c r="AO128" s="142">
        <v>322</v>
      </c>
      <c r="AP128" s="145">
        <f t="shared" si="77"/>
        <v>322</v>
      </c>
      <c r="AQ128" s="147">
        <f t="shared" si="78"/>
        <v>567157.69156346167</v>
      </c>
      <c r="AR128" s="142">
        <v>430</v>
      </c>
      <c r="AS128" s="145">
        <f t="shared" si="79"/>
        <v>430</v>
      </c>
      <c r="AT128" s="147">
        <f t="shared" si="80"/>
        <v>622063.47960463923</v>
      </c>
      <c r="AU128" s="144">
        <f t="shared" si="81"/>
        <v>13802720.069634527</v>
      </c>
      <c r="AV128" s="148">
        <f>INDEX('Baselines+Historic Spend Factor'!P$9:P$159,MATCH('2019-20 StepbyStep Allocations'!C128,'Baselines+Historic Spend Factor'!C$9:C$159,0))</f>
        <v>14358918.08975115</v>
      </c>
      <c r="AW128" s="149">
        <v>24161.885000000002</v>
      </c>
      <c r="AX128" s="150">
        <f t="shared" si="82"/>
        <v>594.27971326538261</v>
      </c>
      <c r="AY128" s="148">
        <f t="shared" si="83"/>
        <v>600.22251039803643</v>
      </c>
      <c r="AZ128" s="148">
        <f t="shared" si="84"/>
        <v>566.11282634882411</v>
      </c>
      <c r="BA128" s="148">
        <f t="shared" si="85"/>
        <v>600.22251039803643</v>
      </c>
      <c r="BB128" s="151">
        <f t="shared" si="86"/>
        <v>831647.6834334376</v>
      </c>
      <c r="BC128" s="148">
        <f t="shared" si="87"/>
        <v>0</v>
      </c>
      <c r="BD128" s="144">
        <f t="shared" si="88"/>
        <v>831647.6834334376</v>
      </c>
      <c r="BE128" s="144">
        <f t="shared" si="49"/>
        <v>14634367.753067963</v>
      </c>
      <c r="BF128" s="144">
        <f>INDEX('Hospital Education Funding'!$G$9:$G$159,MATCH(C128,'Hospital Education Funding'!$C$9:$C$158,0))</f>
        <v>65650</v>
      </c>
      <c r="BG128" s="152">
        <f>INDEX('Import|Export Adjustments Data'!$Q$9:$Q$159,MATCH('2019-20 StepbyStep Allocations'!$C128,'Import|Export Adjustments Data'!$C$9:$C$159,0))</f>
        <v>89</v>
      </c>
      <c r="BH128" s="144">
        <f t="shared" si="89"/>
        <v>534000</v>
      </c>
      <c r="BI128" s="153">
        <f>INDEX('Baselines+Historic Spend Factor'!$F$9:$F$159,MATCH('2019-20 StepbyStep Allocations'!C128,'Baselines+Historic Spend Factor'!C$9:C$159,0))-INDEX('Baselines+Historic Spend Factor'!$G$9:$G$159,MATCH('2019-20 StepbyStep Allocations'!C128,'Baselines+Historic Spend Factor'!C$9:C$159,0))</f>
        <v>16971918.08975115</v>
      </c>
      <c r="BJ128" s="154">
        <f t="shared" si="50"/>
        <v>17426017.753067963</v>
      </c>
      <c r="BK128" s="155">
        <f t="shared" si="90"/>
        <v>2.6755942428866142E-2</v>
      </c>
      <c r="BL128" s="156">
        <f t="shared" si="91"/>
        <v>594.27971326538261</v>
      </c>
      <c r="BM128" s="148">
        <f t="shared" si="51"/>
        <v>600.22251039803643</v>
      </c>
      <c r="BN128" s="148">
        <f t="shared" si="92"/>
        <v>600.22251039803643</v>
      </c>
      <c r="BO128" s="148">
        <f t="shared" si="52"/>
        <v>14634367.753067963</v>
      </c>
      <c r="BP128" s="144">
        <f t="shared" si="53"/>
        <v>17426017.753067963</v>
      </c>
      <c r="BQ128" s="148">
        <v>17230539.180055566</v>
      </c>
      <c r="BR128" s="157">
        <f t="shared" si="93"/>
        <v>1.1344890079740821E-2</v>
      </c>
      <c r="BT128" s="94"/>
      <c r="BU128" s="158"/>
      <c r="BX128" s="94"/>
    </row>
    <row r="129" spans="1:76" ht="15.4" x14ac:dyDescent="0.45">
      <c r="A129" s="139" t="s">
        <v>156</v>
      </c>
      <c r="B129" s="140" t="s">
        <v>222</v>
      </c>
      <c r="C129" s="102">
        <v>865</v>
      </c>
      <c r="D129" s="141" t="s">
        <v>237</v>
      </c>
      <c r="E129" s="348">
        <v>1.0107827425534024</v>
      </c>
      <c r="F129" s="142">
        <v>726.5</v>
      </c>
      <c r="G129" s="143">
        <f t="shared" si="54"/>
        <v>4043.1309702136095</v>
      </c>
      <c r="H129" s="144">
        <f t="shared" si="55"/>
        <v>2937334.6498601874</v>
      </c>
      <c r="I129" s="144">
        <f>INDEX('Baselines+Historic Spend Factor'!$Q$9:$Q$159,MATCH(C129,'Baselines+Historic Spend Factor'!$C$9:$C$159,0))</f>
        <v>21322449.264081258</v>
      </c>
      <c r="J129" s="142">
        <v>102559.02999999998</v>
      </c>
      <c r="K129" s="145">
        <f t="shared" si="56"/>
        <v>103664.89761701666</v>
      </c>
      <c r="L129" s="144">
        <f t="shared" si="57"/>
        <v>12146779.648258099</v>
      </c>
      <c r="M129" s="142">
        <v>5043.5000000000018</v>
      </c>
      <c r="N129" s="145">
        <f t="shared" si="58"/>
        <v>5097.8827620680868</v>
      </c>
      <c r="O129" s="144">
        <f t="shared" si="59"/>
        <v>1250686.89273104</v>
      </c>
      <c r="P129" s="142">
        <v>4709</v>
      </c>
      <c r="Q129" s="145">
        <f t="shared" si="60"/>
        <v>4759.7759346839721</v>
      </c>
      <c r="R129" s="147">
        <f t="shared" si="61"/>
        <v>162032.77603866183</v>
      </c>
      <c r="S129" s="142">
        <v>2703</v>
      </c>
      <c r="T129" s="145">
        <f t="shared" si="62"/>
        <v>2732.1457531218466</v>
      </c>
      <c r="U129" s="147">
        <f t="shared" si="63"/>
        <v>120795.50575499787</v>
      </c>
      <c r="V129" s="142">
        <v>3134</v>
      </c>
      <c r="W129" s="145">
        <f t="shared" si="64"/>
        <v>3167.7931151623629</v>
      </c>
      <c r="X129" s="147">
        <f t="shared" si="65"/>
        <v>191025.53012429821</v>
      </c>
      <c r="Y129" s="142">
        <v>245</v>
      </c>
      <c r="Z129" s="145">
        <f t="shared" si="66"/>
        <v>247.64177192558358</v>
      </c>
      <c r="AA129" s="147">
        <f t="shared" si="67"/>
        <v>15973.098169255118</v>
      </c>
      <c r="AB129" s="142">
        <v>527</v>
      </c>
      <c r="AC129" s="145">
        <f t="shared" si="68"/>
        <v>532.68250532564309</v>
      </c>
      <c r="AD129" s="147">
        <f t="shared" si="69"/>
        <v>37623.993906683863</v>
      </c>
      <c r="AE129" s="142">
        <v>0</v>
      </c>
      <c r="AF129" s="145">
        <f t="shared" si="70"/>
        <v>0</v>
      </c>
      <c r="AG129" s="147">
        <f t="shared" si="71"/>
        <v>0</v>
      </c>
      <c r="AH129" s="144">
        <f t="shared" si="72"/>
        <v>527450.90399389691</v>
      </c>
      <c r="AI129" s="142">
        <v>381</v>
      </c>
      <c r="AJ129" s="145">
        <f t="shared" si="73"/>
        <v>385.10822491284631</v>
      </c>
      <c r="AK129" s="147">
        <f t="shared" si="74"/>
        <v>1188596.9585565645</v>
      </c>
      <c r="AL129" s="142">
        <v>3750</v>
      </c>
      <c r="AM129" s="145">
        <f t="shared" si="75"/>
        <v>3790.4352845752592</v>
      </c>
      <c r="AN129" s="147">
        <f t="shared" si="76"/>
        <v>1932037.3178146689</v>
      </c>
      <c r="AO129" s="142">
        <v>939</v>
      </c>
      <c r="AP129" s="145">
        <f t="shared" si="77"/>
        <v>949.12499525764485</v>
      </c>
      <c r="AQ129" s="147">
        <f t="shared" si="78"/>
        <v>1671750.1283090289</v>
      </c>
      <c r="AR129" s="142">
        <v>1332</v>
      </c>
      <c r="AS129" s="145">
        <f t="shared" si="79"/>
        <v>1346.3626130811319</v>
      </c>
      <c r="AT129" s="147">
        <f t="shared" si="80"/>
        <v>1947727.9346577758</v>
      </c>
      <c r="AU129" s="144">
        <f t="shared" si="81"/>
        <v>41987479.048402332</v>
      </c>
      <c r="AV129" s="148">
        <f>INDEX('Baselines+Historic Spend Factor'!P$9:P$159,MATCH('2019-20 StepbyStep Allocations'!C129,'Baselines+Historic Spend Factor'!C$9:C$159,0))</f>
        <v>42644898.528162517</v>
      </c>
      <c r="AW129" s="149">
        <v>101138.215</v>
      </c>
      <c r="AX129" s="150">
        <f t="shared" si="82"/>
        <v>421.64970509082565</v>
      </c>
      <c r="AY129" s="148">
        <f t="shared" si="83"/>
        <v>425.86620214173394</v>
      </c>
      <c r="AZ129" s="148">
        <f t="shared" si="84"/>
        <v>409.39816853184294</v>
      </c>
      <c r="BA129" s="148">
        <f t="shared" si="85"/>
        <v>425.86620214173394</v>
      </c>
      <c r="BB129" s="151">
        <f t="shared" si="86"/>
        <v>1688945.5530378185</v>
      </c>
      <c r="BC129" s="148">
        <f t="shared" si="87"/>
        <v>0</v>
      </c>
      <c r="BD129" s="144">
        <f t="shared" si="88"/>
        <v>1688945.5530378185</v>
      </c>
      <c r="BE129" s="144">
        <f t="shared" si="49"/>
        <v>43676424.601440147</v>
      </c>
      <c r="BF129" s="144">
        <f>INDEX('Hospital Education Funding'!$G$9:$G$159,MATCH(C129,'Hospital Education Funding'!$C$9:$C$158,0))</f>
        <v>659530</v>
      </c>
      <c r="BG129" s="152">
        <f>INDEX('Import|Export Adjustments Data'!$Q$9:$Q$159,MATCH('2019-20 StepbyStep Allocations'!$C129,'Import|Export Adjustments Data'!$C$9:$C$159,0))</f>
        <v>-244</v>
      </c>
      <c r="BH129" s="144">
        <f t="shared" si="89"/>
        <v>-1464000</v>
      </c>
      <c r="BI129" s="153">
        <f>INDEX('Baselines+Historic Spend Factor'!$F$9:$F$159,MATCH('2019-20 StepbyStep Allocations'!C129,'Baselines+Historic Spend Factor'!C$9:C$159,0))-INDEX('Baselines+Historic Spend Factor'!$G$9:$G$159,MATCH('2019-20 StepbyStep Allocations'!C129,'Baselines+Historic Spend Factor'!C$9:C$159,0))</f>
        <v>44782586.213469498</v>
      </c>
      <c r="BJ129" s="154">
        <f t="shared" si="50"/>
        <v>45809289.251300335</v>
      </c>
      <c r="BK129" s="155">
        <f t="shared" si="90"/>
        <v>2.2926390024389232E-2</v>
      </c>
      <c r="BL129" s="156">
        <f t="shared" si="91"/>
        <v>421.64970509082565</v>
      </c>
      <c r="BM129" s="148">
        <f t="shared" si="51"/>
        <v>425.86620214173394</v>
      </c>
      <c r="BN129" s="148">
        <f t="shared" si="92"/>
        <v>425.86620214173394</v>
      </c>
      <c r="BO129" s="148">
        <f t="shared" si="52"/>
        <v>43676424.601440147</v>
      </c>
      <c r="BP129" s="144">
        <f t="shared" si="53"/>
        <v>45809289.251300335</v>
      </c>
      <c r="BQ129" s="148">
        <v>45007033.427271612</v>
      </c>
      <c r="BR129" s="157">
        <f t="shared" si="93"/>
        <v>1.7825121163009161E-2</v>
      </c>
      <c r="BT129" s="94"/>
      <c r="BU129" s="158"/>
      <c r="BX129" s="94"/>
    </row>
    <row r="130" spans="1:76" ht="15.4" x14ac:dyDescent="0.45">
      <c r="A130" s="139" t="s">
        <v>247</v>
      </c>
      <c r="B130" s="140" t="s">
        <v>238</v>
      </c>
      <c r="C130" s="102">
        <v>330</v>
      </c>
      <c r="D130" s="141" t="s">
        <v>239</v>
      </c>
      <c r="E130" s="348">
        <v>1.0050794999200126</v>
      </c>
      <c r="F130" s="142">
        <v>4558.5</v>
      </c>
      <c r="G130" s="143">
        <f t="shared" si="54"/>
        <v>4020.3179996800504</v>
      </c>
      <c r="H130" s="144">
        <f t="shared" si="55"/>
        <v>18326619.601541512</v>
      </c>
      <c r="I130" s="144">
        <f>INDEX('Baselines+Historic Spend Factor'!$Q$9:$Q$159,MATCH(C130,'Baselines+Historic Spend Factor'!$C$9:$C$159,0))</f>
        <v>64002086.959733739</v>
      </c>
      <c r="J130" s="142">
        <v>274713.29399999999</v>
      </c>
      <c r="K130" s="145">
        <f t="shared" si="56"/>
        <v>276108.70015489939</v>
      </c>
      <c r="L130" s="144">
        <f t="shared" si="57"/>
        <v>32352624.821364764</v>
      </c>
      <c r="M130" s="142">
        <v>48943.500000000029</v>
      </c>
      <c r="N130" s="145">
        <f t="shared" si="58"/>
        <v>49192.108504335163</v>
      </c>
      <c r="O130" s="144">
        <f t="shared" si="59"/>
        <v>12068524.955096528</v>
      </c>
      <c r="P130" s="142">
        <v>24185</v>
      </c>
      <c r="Q130" s="145">
        <f t="shared" si="60"/>
        <v>24307.847705565502</v>
      </c>
      <c r="R130" s="147">
        <f t="shared" si="61"/>
        <v>827490.22166298772</v>
      </c>
      <c r="S130" s="142">
        <v>28482</v>
      </c>
      <c r="T130" s="145">
        <f t="shared" si="62"/>
        <v>28626.674316721797</v>
      </c>
      <c r="U130" s="147">
        <f t="shared" si="63"/>
        <v>1265662.1991051591</v>
      </c>
      <c r="V130" s="142">
        <v>44409</v>
      </c>
      <c r="W130" s="145">
        <f t="shared" si="64"/>
        <v>44634.575511947834</v>
      </c>
      <c r="X130" s="147">
        <f t="shared" si="65"/>
        <v>2691572.0626553106</v>
      </c>
      <c r="Y130" s="142">
        <v>37838</v>
      </c>
      <c r="Z130" s="145">
        <f t="shared" si="66"/>
        <v>38030.198117973436</v>
      </c>
      <c r="AA130" s="147">
        <f t="shared" si="67"/>
        <v>2452979.0883468273</v>
      </c>
      <c r="AB130" s="142">
        <v>53844</v>
      </c>
      <c r="AC130" s="145">
        <f t="shared" si="68"/>
        <v>54117.500593693156</v>
      </c>
      <c r="AD130" s="147">
        <f t="shared" si="69"/>
        <v>3822382.9245853294</v>
      </c>
      <c r="AE130" s="142">
        <v>14003</v>
      </c>
      <c r="AF130" s="145">
        <f t="shared" si="70"/>
        <v>14074.128237379935</v>
      </c>
      <c r="AG130" s="147">
        <f t="shared" si="71"/>
        <v>1345147.9052190615</v>
      </c>
      <c r="AH130" s="144">
        <f t="shared" si="72"/>
        <v>12405234.401574675</v>
      </c>
      <c r="AI130" s="142">
        <v>2453</v>
      </c>
      <c r="AJ130" s="145">
        <f t="shared" si="73"/>
        <v>2465.4600133037907</v>
      </c>
      <c r="AK130" s="147">
        <f t="shared" si="74"/>
        <v>7609388.9553226214</v>
      </c>
      <c r="AL130" s="142">
        <v>11740</v>
      </c>
      <c r="AM130" s="145">
        <f t="shared" si="75"/>
        <v>11799.633329060947</v>
      </c>
      <c r="AN130" s="147">
        <f t="shared" si="76"/>
        <v>6014436.3949561706</v>
      </c>
      <c r="AO130" s="142">
        <v>3499</v>
      </c>
      <c r="AP130" s="145">
        <f t="shared" si="77"/>
        <v>3516.773170220124</v>
      </c>
      <c r="AQ130" s="147">
        <f t="shared" si="78"/>
        <v>6194301.0961936731</v>
      </c>
      <c r="AR130" s="142">
        <v>3204</v>
      </c>
      <c r="AS130" s="145">
        <f t="shared" si="79"/>
        <v>3220.2747177437204</v>
      </c>
      <c r="AT130" s="147">
        <f t="shared" si="80"/>
        <v>4658640.2237267587</v>
      </c>
      <c r="AU130" s="144">
        <f t="shared" si="81"/>
        <v>145305237.80796891</v>
      </c>
      <c r="AV130" s="148">
        <f>INDEX('Baselines+Historic Spend Factor'!P$9:P$159,MATCH('2019-20 StepbyStep Allocations'!C130,'Baselines+Historic Spend Factor'!C$9:C$159,0))</f>
        <v>128004173.91946748</v>
      </c>
      <c r="AW130" s="149">
        <v>270236.45700000005</v>
      </c>
      <c r="AX130" s="150">
        <f t="shared" si="82"/>
        <v>473.6747045180046</v>
      </c>
      <c r="AY130" s="148">
        <f t="shared" si="83"/>
        <v>478.41145156318464</v>
      </c>
      <c r="AZ130" s="148">
        <f t="shared" si="84"/>
        <v>528.93413235388937</v>
      </c>
      <c r="BA130" s="148">
        <f t="shared" si="85"/>
        <v>528.93413235388937</v>
      </c>
      <c r="BB130" s="151">
        <f t="shared" si="86"/>
        <v>0</v>
      </c>
      <c r="BC130" s="148">
        <f t="shared" si="87"/>
        <v>0</v>
      </c>
      <c r="BD130" s="144">
        <f t="shared" si="88"/>
        <v>0</v>
      </c>
      <c r="BE130" s="144">
        <f t="shared" si="49"/>
        <v>145305237.80796891</v>
      </c>
      <c r="BF130" s="144">
        <f>INDEX('Hospital Education Funding'!$G$9:$G$159,MATCH(C130,'Hospital Education Funding'!$C$9:$C$158,0))</f>
        <v>4935870</v>
      </c>
      <c r="BG130" s="152">
        <f>INDEX('Import|Export Adjustments Data'!$Q$9:$Q$159,MATCH('2019-20 StepbyStep Allocations'!$C130,'Import|Export Adjustments Data'!$C$9:$C$159,0))</f>
        <v>-463</v>
      </c>
      <c r="BH130" s="144">
        <f t="shared" si="89"/>
        <v>-2778000</v>
      </c>
      <c r="BI130" s="153">
        <f>INDEX('Baselines+Historic Spend Factor'!$F$9:$F$159,MATCH('2019-20 StepbyStep Allocations'!C130,'Baselines+Historic Spend Factor'!C$9:C$159,0))-INDEX('Baselines+Historic Spend Factor'!$G$9:$G$159,MATCH('2019-20 StepbyStep Allocations'!C130,'Baselines+Historic Spend Factor'!C$9:C$159,0))</f>
        <v>147908455.6280773</v>
      </c>
      <c r="BJ130" s="154">
        <f t="shared" si="50"/>
        <v>165789727.40951043</v>
      </c>
      <c r="BK130" s="155">
        <f t="shared" si="90"/>
        <v>0.12089418218520542</v>
      </c>
      <c r="BL130" s="156">
        <f t="shared" si="91"/>
        <v>473.6747045180046</v>
      </c>
      <c r="BM130" s="148">
        <f t="shared" si="51"/>
        <v>528.93413235388937</v>
      </c>
      <c r="BN130" s="148">
        <f t="shared" si="92"/>
        <v>502.52149402315104</v>
      </c>
      <c r="BO130" s="148">
        <f t="shared" si="52"/>
        <v>138049334.92890114</v>
      </c>
      <c r="BP130" s="144">
        <f t="shared" si="53"/>
        <v>158533824.53044266</v>
      </c>
      <c r="BQ130" s="148">
        <v>152472895.62877017</v>
      </c>
      <c r="BR130" s="157">
        <f t="shared" si="93"/>
        <v>3.9750861139472127E-2</v>
      </c>
      <c r="BT130" s="94"/>
      <c r="BU130" s="158"/>
      <c r="BX130" s="94"/>
    </row>
    <row r="131" spans="1:76" ht="15.4" x14ac:dyDescent="0.45">
      <c r="A131" s="139" t="s">
        <v>129</v>
      </c>
      <c r="B131" s="140" t="s">
        <v>238</v>
      </c>
      <c r="C131" s="102">
        <v>331</v>
      </c>
      <c r="D131" s="141" t="s">
        <v>240</v>
      </c>
      <c r="E131" s="348">
        <v>1.0050794999200126</v>
      </c>
      <c r="F131" s="142">
        <v>913</v>
      </c>
      <c r="G131" s="143">
        <f t="shared" si="54"/>
        <v>4020.3179996800504</v>
      </c>
      <c r="H131" s="144">
        <f t="shared" si="55"/>
        <v>3670550.3337078858</v>
      </c>
      <c r="I131" s="144">
        <f>INDEX('Baselines+Historic Spend Factor'!$Q$9:$Q$159,MATCH(C131,'Baselines+Historic Spend Factor'!$C$9:$C$159,0))</f>
        <v>15160240.382533429</v>
      </c>
      <c r="J131" s="142">
        <v>75783.678</v>
      </c>
      <c r="K131" s="145">
        <f t="shared" si="56"/>
        <v>76168.621186339253</v>
      </c>
      <c r="L131" s="144">
        <f t="shared" si="57"/>
        <v>8924944.4983798806</v>
      </c>
      <c r="M131" s="142">
        <v>8866.5</v>
      </c>
      <c r="N131" s="145">
        <f t="shared" si="58"/>
        <v>8911.5373860407908</v>
      </c>
      <c r="O131" s="144">
        <f t="shared" si="59"/>
        <v>2186308.2230401034</v>
      </c>
      <c r="P131" s="142">
        <v>8059</v>
      </c>
      <c r="Q131" s="145">
        <f t="shared" si="60"/>
        <v>8099.9356898553815</v>
      </c>
      <c r="R131" s="147">
        <f t="shared" si="61"/>
        <v>275738.83383841306</v>
      </c>
      <c r="S131" s="142">
        <v>5315</v>
      </c>
      <c r="T131" s="145">
        <f t="shared" si="62"/>
        <v>5341.9975420748669</v>
      </c>
      <c r="U131" s="147">
        <f t="shared" si="63"/>
        <v>236184.06671736258</v>
      </c>
      <c r="V131" s="142">
        <v>8200</v>
      </c>
      <c r="W131" s="145">
        <f t="shared" si="64"/>
        <v>8241.6518993441023</v>
      </c>
      <c r="X131" s="147">
        <f t="shared" si="65"/>
        <v>496991.39619837306</v>
      </c>
      <c r="Y131" s="142">
        <v>7729</v>
      </c>
      <c r="Z131" s="145">
        <f t="shared" si="66"/>
        <v>7768.2594548817769</v>
      </c>
      <c r="AA131" s="147">
        <f t="shared" si="67"/>
        <v>501059.13034073223</v>
      </c>
      <c r="AB131" s="142">
        <v>6146</v>
      </c>
      <c r="AC131" s="145">
        <f t="shared" si="68"/>
        <v>6177.218606508397</v>
      </c>
      <c r="AD131" s="147">
        <f t="shared" si="69"/>
        <v>436304.23918173672</v>
      </c>
      <c r="AE131" s="142">
        <v>5782</v>
      </c>
      <c r="AF131" s="145">
        <f t="shared" si="70"/>
        <v>5811.3696685375126</v>
      </c>
      <c r="AG131" s="147">
        <f t="shared" si="71"/>
        <v>555427.06477016455</v>
      </c>
      <c r="AH131" s="144">
        <f t="shared" si="72"/>
        <v>2501704.7310467823</v>
      </c>
      <c r="AI131" s="142">
        <v>497</v>
      </c>
      <c r="AJ131" s="145">
        <f t="shared" si="73"/>
        <v>499.52451146024623</v>
      </c>
      <c r="AK131" s="147">
        <f t="shared" si="74"/>
        <v>1541731.0684041348</v>
      </c>
      <c r="AL131" s="142">
        <v>3040</v>
      </c>
      <c r="AM131" s="145">
        <f t="shared" si="75"/>
        <v>3055.4416797568383</v>
      </c>
      <c r="AN131" s="147">
        <f t="shared" si="76"/>
        <v>1557400.9063600304</v>
      </c>
      <c r="AO131" s="142">
        <v>939</v>
      </c>
      <c r="AP131" s="145">
        <f t="shared" si="77"/>
        <v>943.76965042489178</v>
      </c>
      <c r="AQ131" s="147">
        <f t="shared" si="78"/>
        <v>1662317.4419336549</v>
      </c>
      <c r="AR131" s="142">
        <v>926</v>
      </c>
      <c r="AS131" s="145">
        <f t="shared" si="79"/>
        <v>930.70361692593167</v>
      </c>
      <c r="AT131" s="147">
        <f t="shared" si="80"/>
        <v>1346411.0009896937</v>
      </c>
      <c r="AU131" s="144">
        <f t="shared" si="81"/>
        <v>34881058.252687708</v>
      </c>
      <c r="AV131" s="148">
        <f>INDEX('Baselines+Historic Spend Factor'!P$9:P$159,MATCH('2019-20 StepbyStep Allocations'!C131,'Baselines+Historic Spend Factor'!C$9:C$159,0))</f>
        <v>30320480.765066858</v>
      </c>
      <c r="AW131" s="149">
        <v>73185.39</v>
      </c>
      <c r="AX131" s="150">
        <f t="shared" si="82"/>
        <v>414.29690768972961</v>
      </c>
      <c r="AY131" s="148">
        <f t="shared" si="83"/>
        <v>418.43987676662692</v>
      </c>
      <c r="AZ131" s="148">
        <f t="shared" si="84"/>
        <v>460.2713826147064</v>
      </c>
      <c r="BA131" s="148">
        <f t="shared" si="85"/>
        <v>460.2713826147064</v>
      </c>
      <c r="BB131" s="151">
        <f t="shared" si="86"/>
        <v>0</v>
      </c>
      <c r="BC131" s="148">
        <f t="shared" si="87"/>
        <v>0</v>
      </c>
      <c r="BD131" s="144">
        <f t="shared" si="88"/>
        <v>0</v>
      </c>
      <c r="BE131" s="144">
        <f t="shared" si="49"/>
        <v>34881058.252687708</v>
      </c>
      <c r="BF131" s="144">
        <f>INDEX('Hospital Education Funding'!$G$9:$G$159,MATCH(C131,'Hospital Education Funding'!$C$9:$C$158,0))</f>
        <v>497930</v>
      </c>
      <c r="BG131" s="152">
        <f>INDEX('Import|Export Adjustments Data'!$Q$9:$Q$159,MATCH('2019-20 StepbyStep Allocations'!$C131,'Import|Export Adjustments Data'!$C$9:$C$159,0))</f>
        <v>113</v>
      </c>
      <c r="BH131" s="144">
        <f t="shared" si="89"/>
        <v>678000</v>
      </c>
      <c r="BI131" s="153">
        <f>INDEX('Baselines+Historic Spend Factor'!$F$9:$F$159,MATCH('2019-20 StepbyStep Allocations'!C131,'Baselines+Historic Spend Factor'!C$9:C$159,0))-INDEX('Baselines+Historic Spend Factor'!$G$9:$G$159,MATCH('2019-20 StepbyStep Allocations'!C131,'Baselines+Historic Spend Factor'!C$9:C$159,0))</f>
        <v>35161634.897780985</v>
      </c>
      <c r="BJ131" s="154">
        <f t="shared" si="50"/>
        <v>39727538.586395591</v>
      </c>
      <c r="BK131" s="155">
        <f t="shared" si="90"/>
        <v>0.12985470390919618</v>
      </c>
      <c r="BL131" s="156">
        <f t="shared" si="91"/>
        <v>414.29690768972961</v>
      </c>
      <c r="BM131" s="148">
        <f t="shared" si="51"/>
        <v>460.2713826147064</v>
      </c>
      <c r="BN131" s="148">
        <f t="shared" si="92"/>
        <v>439.52758936803411</v>
      </c>
      <c r="BO131" s="148">
        <f t="shared" si="52"/>
        <v>33309017.304783322</v>
      </c>
      <c r="BP131" s="144">
        <f t="shared" si="53"/>
        <v>38155497.638491206</v>
      </c>
      <c r="BQ131" s="148">
        <v>36612954.388183095</v>
      </c>
      <c r="BR131" s="157">
        <f t="shared" si="93"/>
        <v>4.2131078359684881E-2</v>
      </c>
      <c r="BT131" s="94"/>
      <c r="BU131" s="158"/>
      <c r="BX131" s="94"/>
    </row>
    <row r="132" spans="1:76" ht="15.4" x14ac:dyDescent="0.45">
      <c r="A132" s="139" t="s">
        <v>157</v>
      </c>
      <c r="B132" s="140" t="s">
        <v>238</v>
      </c>
      <c r="C132" s="102">
        <v>332</v>
      </c>
      <c r="D132" s="141" t="s">
        <v>241</v>
      </c>
      <c r="E132" s="348">
        <v>1.0050794999200126</v>
      </c>
      <c r="F132" s="142">
        <v>876</v>
      </c>
      <c r="G132" s="143">
        <f t="shared" si="54"/>
        <v>4020.3179996800504</v>
      </c>
      <c r="H132" s="144">
        <f t="shared" si="55"/>
        <v>3521798.567719724</v>
      </c>
      <c r="I132" s="144">
        <f>INDEX('Baselines+Historic Spend Factor'!$Q$9:$Q$159,MATCH(C132,'Baselines+Historic Spend Factor'!$C$9:$C$159,0))</f>
        <v>12381841.811473716</v>
      </c>
      <c r="J132" s="142">
        <v>65410.546000000002</v>
      </c>
      <c r="K132" s="145">
        <f t="shared" si="56"/>
        <v>65742.798863174976</v>
      </c>
      <c r="L132" s="144">
        <f t="shared" si="57"/>
        <v>7703314.3292243499</v>
      </c>
      <c r="M132" s="142">
        <v>6917.5000000000018</v>
      </c>
      <c r="N132" s="145">
        <f t="shared" si="58"/>
        <v>6952.6374406966888</v>
      </c>
      <c r="O132" s="144">
        <f t="shared" si="59"/>
        <v>1705722.3405943632</v>
      </c>
      <c r="P132" s="142">
        <v>7591</v>
      </c>
      <c r="Q132" s="145">
        <f t="shared" si="60"/>
        <v>7629.5584838928153</v>
      </c>
      <c r="R132" s="147">
        <f t="shared" si="61"/>
        <v>259726.20519511023</v>
      </c>
      <c r="S132" s="142">
        <v>11691</v>
      </c>
      <c r="T132" s="145">
        <f t="shared" si="62"/>
        <v>11750.384433564866</v>
      </c>
      <c r="U132" s="147">
        <f t="shared" si="63"/>
        <v>519516.07224697754</v>
      </c>
      <c r="V132" s="142">
        <v>5147</v>
      </c>
      <c r="W132" s="145">
        <f t="shared" si="64"/>
        <v>5173.1441860883042</v>
      </c>
      <c r="X132" s="147">
        <f t="shared" si="65"/>
        <v>311953.01417475927</v>
      </c>
      <c r="Y132" s="142">
        <v>5700</v>
      </c>
      <c r="Z132" s="145">
        <f t="shared" si="66"/>
        <v>5728.9531495440715</v>
      </c>
      <c r="AA132" s="147">
        <f t="shared" si="67"/>
        <v>369522.19471369829</v>
      </c>
      <c r="AB132" s="142">
        <v>5376</v>
      </c>
      <c r="AC132" s="145">
        <f t="shared" si="68"/>
        <v>5403.3073915699879</v>
      </c>
      <c r="AD132" s="147">
        <f t="shared" si="69"/>
        <v>381641.97686967405</v>
      </c>
      <c r="AE132" s="142">
        <v>1403</v>
      </c>
      <c r="AF132" s="145">
        <f t="shared" si="70"/>
        <v>1410.1265383877776</v>
      </c>
      <c r="AG132" s="147">
        <f t="shared" si="71"/>
        <v>134774.15632524056</v>
      </c>
      <c r="AH132" s="144">
        <f t="shared" si="72"/>
        <v>1977133.6195254601</v>
      </c>
      <c r="AI132" s="142">
        <v>392</v>
      </c>
      <c r="AJ132" s="145">
        <f t="shared" si="73"/>
        <v>393.99116396864491</v>
      </c>
      <c r="AK132" s="147">
        <f t="shared" si="74"/>
        <v>1216013.2370511484</v>
      </c>
      <c r="AL132" s="142">
        <v>2540</v>
      </c>
      <c r="AM132" s="145">
        <f t="shared" si="75"/>
        <v>2552.9019297968321</v>
      </c>
      <c r="AN132" s="147">
        <f t="shared" si="76"/>
        <v>1301249.4414981832</v>
      </c>
      <c r="AO132" s="142">
        <v>809</v>
      </c>
      <c r="AP132" s="145">
        <f t="shared" si="77"/>
        <v>813.10931543529011</v>
      </c>
      <c r="AQ132" s="147">
        <f t="shared" si="78"/>
        <v>1432177.6469907633</v>
      </c>
      <c r="AR132" s="142">
        <v>805</v>
      </c>
      <c r="AS132" s="145">
        <f t="shared" si="79"/>
        <v>809.08899743561005</v>
      </c>
      <c r="AT132" s="147">
        <f t="shared" si="80"/>
        <v>1170476.0861735456</v>
      </c>
      <c r="AU132" s="144">
        <f t="shared" si="81"/>
        <v>28887928.51253153</v>
      </c>
      <c r="AV132" s="148">
        <f>INDEX('Baselines+Historic Spend Factor'!P$9:P$159,MATCH('2019-20 StepbyStep Allocations'!C132,'Baselines+Historic Spend Factor'!C$9:C$159,0))</f>
        <v>24763683.622947432</v>
      </c>
      <c r="AW132" s="149">
        <v>64711.649999999994</v>
      </c>
      <c r="AX132" s="150">
        <f t="shared" si="82"/>
        <v>382.67736370417742</v>
      </c>
      <c r="AY132" s="148">
        <f t="shared" si="83"/>
        <v>386.50413734121918</v>
      </c>
      <c r="AZ132" s="148">
        <f t="shared" si="84"/>
        <v>441.64022897059334</v>
      </c>
      <c r="BA132" s="148">
        <f t="shared" si="85"/>
        <v>441.64022897059334</v>
      </c>
      <c r="BB132" s="151">
        <f t="shared" si="86"/>
        <v>0</v>
      </c>
      <c r="BC132" s="148">
        <f t="shared" si="87"/>
        <v>0</v>
      </c>
      <c r="BD132" s="144">
        <f t="shared" si="88"/>
        <v>0</v>
      </c>
      <c r="BE132" s="144">
        <f t="shared" si="49"/>
        <v>28887928.51253153</v>
      </c>
      <c r="BF132" s="144">
        <f>INDEX('Hospital Education Funding'!$G$9:$G$159,MATCH(C132,'Hospital Education Funding'!$C$9:$C$158,0))</f>
        <v>1243310</v>
      </c>
      <c r="BG132" s="152">
        <f>INDEX('Import|Export Adjustments Data'!$Q$9:$Q$159,MATCH('2019-20 StepbyStep Allocations'!$C132,'Import|Export Adjustments Data'!$C$9:$C$159,0))</f>
        <v>25</v>
      </c>
      <c r="BH132" s="144">
        <f t="shared" si="89"/>
        <v>150000</v>
      </c>
      <c r="BI132" s="153">
        <f>INDEX('Baselines+Historic Spend Factor'!$F$9:$F$159,MATCH('2019-20 StepbyStep Allocations'!C132,'Baselines+Historic Spend Factor'!C$9:C$159,0))-INDEX('Baselines+Historic Spend Factor'!$G$9:$G$159,MATCH('2019-20 StepbyStep Allocations'!C132,'Baselines+Historic Spend Factor'!C$9:C$159,0))</f>
        <v>29787669.470679954</v>
      </c>
      <c r="BJ132" s="154">
        <f t="shared" si="50"/>
        <v>33803037.080251254</v>
      </c>
      <c r="BK132" s="155">
        <f t="shared" si="90"/>
        <v>0.1347996563988878</v>
      </c>
      <c r="BL132" s="156">
        <f t="shared" si="91"/>
        <v>382.67736370417742</v>
      </c>
      <c r="BM132" s="148">
        <f t="shared" si="51"/>
        <v>441.64022897059334</v>
      </c>
      <c r="BN132" s="148">
        <f t="shared" si="92"/>
        <v>405.98241515376179</v>
      </c>
      <c r="BO132" s="148">
        <f t="shared" si="52"/>
        <v>26555531.441606235</v>
      </c>
      <c r="BP132" s="144">
        <f t="shared" si="53"/>
        <v>31470640.009325959</v>
      </c>
      <c r="BQ132" s="148">
        <v>30510827.006946739</v>
      </c>
      <c r="BR132" s="157">
        <f t="shared" si="93"/>
        <v>3.1458111645439546E-2</v>
      </c>
      <c r="BT132" s="94"/>
      <c r="BU132" s="158"/>
      <c r="BX132" s="94"/>
    </row>
    <row r="133" spans="1:76" ht="15.4" x14ac:dyDescent="0.45">
      <c r="A133" s="139" t="s">
        <v>217</v>
      </c>
      <c r="B133" s="140" t="s">
        <v>238</v>
      </c>
      <c r="C133" s="102">
        <v>884</v>
      </c>
      <c r="D133" s="141" t="s">
        <v>242</v>
      </c>
      <c r="E133" s="348">
        <v>1</v>
      </c>
      <c r="F133" s="142">
        <v>339</v>
      </c>
      <c r="G133" s="143">
        <f t="shared" si="54"/>
        <v>4000</v>
      </c>
      <c r="H133" s="144">
        <f t="shared" si="55"/>
        <v>1356000</v>
      </c>
      <c r="I133" s="144">
        <f>INDEX('Baselines+Historic Spend Factor'!$Q$9:$Q$159,MATCH(C133,'Baselines+Historic Spend Factor'!$C$9:$C$159,0))</f>
        <v>6405620.5780010112</v>
      </c>
      <c r="J133" s="142">
        <v>34571.25</v>
      </c>
      <c r="K133" s="145">
        <f t="shared" si="56"/>
        <v>34571.25</v>
      </c>
      <c r="L133" s="144">
        <f t="shared" si="57"/>
        <v>4050834.6177724018</v>
      </c>
      <c r="M133" s="142">
        <v>1923</v>
      </c>
      <c r="N133" s="145">
        <f t="shared" si="58"/>
        <v>1923</v>
      </c>
      <c r="O133" s="144">
        <f t="shared" si="59"/>
        <v>471778.38466926839</v>
      </c>
      <c r="P133" s="142">
        <v>2476</v>
      </c>
      <c r="Q133" s="145">
        <f t="shared" si="60"/>
        <v>2476</v>
      </c>
      <c r="R133" s="147">
        <f t="shared" si="61"/>
        <v>84288.243601610666</v>
      </c>
      <c r="S133" s="142">
        <v>2253</v>
      </c>
      <c r="T133" s="145">
        <f t="shared" si="62"/>
        <v>2253</v>
      </c>
      <c r="U133" s="147">
        <f t="shared" si="63"/>
        <v>99611.18441614593</v>
      </c>
      <c r="V133" s="142">
        <v>2235</v>
      </c>
      <c r="W133" s="145">
        <f t="shared" si="64"/>
        <v>2235</v>
      </c>
      <c r="X133" s="147">
        <f t="shared" si="65"/>
        <v>134775.86581784204</v>
      </c>
      <c r="Y133" s="142">
        <v>443</v>
      </c>
      <c r="Z133" s="145">
        <f t="shared" si="66"/>
        <v>443</v>
      </c>
      <c r="AA133" s="147">
        <f t="shared" si="67"/>
        <v>28573.86471578947</v>
      </c>
      <c r="AB133" s="142">
        <v>0</v>
      </c>
      <c r="AC133" s="145">
        <f t="shared" si="68"/>
        <v>0</v>
      </c>
      <c r="AD133" s="147">
        <f t="shared" si="69"/>
        <v>0</v>
      </c>
      <c r="AE133" s="142">
        <v>0</v>
      </c>
      <c r="AF133" s="145">
        <f t="shared" si="70"/>
        <v>0</v>
      </c>
      <c r="AG133" s="147">
        <f t="shared" si="71"/>
        <v>0</v>
      </c>
      <c r="AH133" s="144">
        <f t="shared" si="72"/>
        <v>347249.15855138807</v>
      </c>
      <c r="AI133" s="142">
        <v>165</v>
      </c>
      <c r="AJ133" s="145">
        <f t="shared" si="73"/>
        <v>165</v>
      </c>
      <c r="AK133" s="147">
        <f t="shared" si="74"/>
        <v>509255.54292229575</v>
      </c>
      <c r="AL133" s="142">
        <v>890</v>
      </c>
      <c r="AM133" s="145">
        <f t="shared" si="75"/>
        <v>890</v>
      </c>
      <c r="AN133" s="147">
        <f t="shared" si="76"/>
        <v>453645.31610720721</v>
      </c>
      <c r="AO133" s="142">
        <v>337</v>
      </c>
      <c r="AP133" s="145">
        <f t="shared" si="77"/>
        <v>337</v>
      </c>
      <c r="AQ133" s="147">
        <f t="shared" si="78"/>
        <v>593578.08092200803</v>
      </c>
      <c r="AR133" s="142">
        <v>396</v>
      </c>
      <c r="AS133" s="145">
        <f t="shared" si="79"/>
        <v>396</v>
      </c>
      <c r="AT133" s="147">
        <f t="shared" si="80"/>
        <v>572877.0649382259</v>
      </c>
      <c r="AU133" s="144">
        <f t="shared" si="81"/>
        <v>13404838.743883807</v>
      </c>
      <c r="AV133" s="148">
        <f>INDEX('Baselines+Historic Spend Factor'!P$9:P$159,MATCH('2019-20 StepbyStep Allocations'!C133,'Baselines+Historic Spend Factor'!C$9:C$159,0))</f>
        <v>12811241.156002022</v>
      </c>
      <c r="AW133" s="149">
        <v>34448.406999999999</v>
      </c>
      <c r="AX133" s="150">
        <f t="shared" si="82"/>
        <v>371.89647567743907</v>
      </c>
      <c r="AY133" s="148">
        <f t="shared" si="83"/>
        <v>375.61544043421344</v>
      </c>
      <c r="AZ133" s="148">
        <f t="shared" si="84"/>
        <v>387.7452722676735</v>
      </c>
      <c r="BA133" s="148">
        <f t="shared" si="85"/>
        <v>387.7452722676735</v>
      </c>
      <c r="BB133" s="151">
        <f t="shared" si="86"/>
        <v>0</v>
      </c>
      <c r="BC133" s="148">
        <f t="shared" si="87"/>
        <v>0</v>
      </c>
      <c r="BD133" s="144">
        <f t="shared" si="88"/>
        <v>0</v>
      </c>
      <c r="BE133" s="144">
        <f t="shared" si="49"/>
        <v>13404838.743883807</v>
      </c>
      <c r="BF133" s="144">
        <f>INDEX('Hospital Education Funding'!$G$9:$G$159,MATCH(C133,'Hospital Education Funding'!$C$9:$C$158,0))</f>
        <v>280780</v>
      </c>
      <c r="BG133" s="152">
        <f>INDEX('Import|Export Adjustments Data'!$Q$9:$Q$159,MATCH('2019-20 StepbyStep Allocations'!$C133,'Import|Export Adjustments Data'!$C$9:$C$159,0))</f>
        <v>-34.5</v>
      </c>
      <c r="BH133" s="144">
        <f t="shared" si="89"/>
        <v>-207000</v>
      </c>
      <c r="BI133" s="153">
        <f>INDEX('Baselines+Historic Spend Factor'!$F$9:$F$159,MATCH('2019-20 StepbyStep Allocations'!C133,'Baselines+Historic Spend Factor'!C$9:C$159,0))-INDEX('Baselines+Historic Spend Factor'!$G$9:$G$159,MATCH('2019-20 StepbyStep Allocations'!C133,'Baselines+Historic Spend Factor'!C$9:C$159,0))</f>
        <v>14201241.156002022</v>
      </c>
      <c r="BJ133" s="154">
        <f t="shared" si="50"/>
        <v>14834618.743883807</v>
      </c>
      <c r="BK133" s="155">
        <f t="shared" si="90"/>
        <v>4.4600157192182799E-2</v>
      </c>
      <c r="BL133" s="156">
        <f t="shared" si="91"/>
        <v>371.89647567743907</v>
      </c>
      <c r="BM133" s="148">
        <f t="shared" si="51"/>
        <v>387.7452722676735</v>
      </c>
      <c r="BN133" s="148">
        <f t="shared" si="92"/>
        <v>387.7452722676735</v>
      </c>
      <c r="BO133" s="148">
        <f t="shared" si="52"/>
        <v>13404838.743883807</v>
      </c>
      <c r="BP133" s="144">
        <f t="shared" si="53"/>
        <v>14834618.743883807</v>
      </c>
      <c r="BQ133" s="148">
        <v>14598665.535361364</v>
      </c>
      <c r="BR133" s="157">
        <f t="shared" si="93"/>
        <v>1.6162655959951255E-2</v>
      </c>
      <c r="BT133" s="94"/>
      <c r="BU133" s="158"/>
      <c r="BX133" s="94"/>
    </row>
    <row r="134" spans="1:76" ht="15.4" x14ac:dyDescent="0.45">
      <c r="A134" s="139" t="s">
        <v>200</v>
      </c>
      <c r="B134" s="140" t="s">
        <v>238</v>
      </c>
      <c r="C134" s="102">
        <v>333</v>
      </c>
      <c r="D134" s="141" t="s">
        <v>243</v>
      </c>
      <c r="E134" s="348">
        <v>1.0050794999200126</v>
      </c>
      <c r="F134" s="142">
        <v>586</v>
      </c>
      <c r="G134" s="143">
        <f t="shared" si="54"/>
        <v>4020.3179996800504</v>
      </c>
      <c r="H134" s="144">
        <f t="shared" si="55"/>
        <v>2355906.3478125096</v>
      </c>
      <c r="I134" s="144">
        <f>INDEX('Baselines+Historic Spend Factor'!$Q$9:$Q$159,MATCH(C134,'Baselines+Historic Spend Factor'!$C$9:$C$159,0))</f>
        <v>17549646.432445642</v>
      </c>
      <c r="J134" s="142">
        <v>77396.905000000013</v>
      </c>
      <c r="K134" s="145">
        <f t="shared" si="56"/>
        <v>77790.042572756734</v>
      </c>
      <c r="L134" s="144">
        <f t="shared" si="57"/>
        <v>9114932.1292030774</v>
      </c>
      <c r="M134" s="142">
        <v>12246.999999999996</v>
      </c>
      <c r="N134" s="145">
        <f t="shared" si="58"/>
        <v>12309.20863552039</v>
      </c>
      <c r="O134" s="144">
        <f t="shared" si="59"/>
        <v>3019874.4496218506</v>
      </c>
      <c r="P134" s="142">
        <v>8478</v>
      </c>
      <c r="Q134" s="145">
        <f t="shared" si="60"/>
        <v>8521.0640003218668</v>
      </c>
      <c r="R134" s="147">
        <f t="shared" si="61"/>
        <v>290074.92657675466</v>
      </c>
      <c r="S134" s="142">
        <v>11803</v>
      </c>
      <c r="T134" s="145">
        <f t="shared" si="62"/>
        <v>11862.953337555908</v>
      </c>
      <c r="U134" s="147">
        <f t="shared" si="63"/>
        <v>524493.04599530203</v>
      </c>
      <c r="V134" s="142">
        <v>13382</v>
      </c>
      <c r="W134" s="145">
        <f t="shared" si="64"/>
        <v>13449.973867929608</v>
      </c>
      <c r="X134" s="147">
        <f t="shared" si="65"/>
        <v>811065.71511300351</v>
      </c>
      <c r="Y134" s="142">
        <v>10303</v>
      </c>
      <c r="Z134" s="145">
        <f t="shared" si="66"/>
        <v>10355.334087675888</v>
      </c>
      <c r="AA134" s="147">
        <f t="shared" si="67"/>
        <v>667927.57405881269</v>
      </c>
      <c r="AB134" s="142">
        <v>13090</v>
      </c>
      <c r="AC134" s="145">
        <f t="shared" si="68"/>
        <v>13156.490653952964</v>
      </c>
      <c r="AD134" s="147">
        <f t="shared" si="69"/>
        <v>929258.45930506568</v>
      </c>
      <c r="AE134" s="142">
        <v>2206</v>
      </c>
      <c r="AF134" s="145">
        <f t="shared" si="70"/>
        <v>2217.2053768235478</v>
      </c>
      <c r="AG134" s="147">
        <f t="shared" si="71"/>
        <v>211911.46746506105</v>
      </c>
      <c r="AH134" s="144">
        <f t="shared" si="72"/>
        <v>3434731.1885139998</v>
      </c>
      <c r="AI134" s="142">
        <v>543</v>
      </c>
      <c r="AJ134" s="145">
        <f t="shared" si="73"/>
        <v>545.75816845656686</v>
      </c>
      <c r="AK134" s="147">
        <f t="shared" si="74"/>
        <v>1684426.4992825862</v>
      </c>
      <c r="AL134" s="142">
        <v>2350</v>
      </c>
      <c r="AM134" s="145">
        <f t="shared" si="75"/>
        <v>2361.9368248120295</v>
      </c>
      <c r="AN134" s="147">
        <f t="shared" si="76"/>
        <v>1203911.8848506813</v>
      </c>
      <c r="AO134" s="142">
        <v>901</v>
      </c>
      <c r="AP134" s="145">
        <f t="shared" si="77"/>
        <v>905.57662942793127</v>
      </c>
      <c r="AQ134" s="147">
        <f t="shared" si="78"/>
        <v>1595045.8095657327</v>
      </c>
      <c r="AR134" s="142">
        <v>1026</v>
      </c>
      <c r="AS134" s="145">
        <f t="shared" si="79"/>
        <v>1031.2115669179329</v>
      </c>
      <c r="AT134" s="147">
        <f t="shared" si="80"/>
        <v>1491811.7570360969</v>
      </c>
      <c r="AU134" s="144">
        <f t="shared" si="81"/>
        <v>39094380.150519662</v>
      </c>
      <c r="AV134" s="148">
        <f>INDEX('Baselines+Historic Spend Factor'!P$9:P$159,MATCH('2019-20 StepbyStep Allocations'!C134,'Baselines+Historic Spend Factor'!C$9:C$159,0))</f>
        <v>35099292.864891283</v>
      </c>
      <c r="AW134" s="149">
        <v>75357.285999999993</v>
      </c>
      <c r="AX134" s="150">
        <f t="shared" si="82"/>
        <v>465.77172199236696</v>
      </c>
      <c r="AY134" s="148">
        <f t="shared" si="83"/>
        <v>470.42943921229062</v>
      </c>
      <c r="AZ134" s="148">
        <f t="shared" si="84"/>
        <v>505.11554887782211</v>
      </c>
      <c r="BA134" s="148">
        <f t="shared" si="85"/>
        <v>505.11554887782211</v>
      </c>
      <c r="BB134" s="151">
        <f t="shared" si="86"/>
        <v>0</v>
      </c>
      <c r="BC134" s="148">
        <f t="shared" si="87"/>
        <v>0</v>
      </c>
      <c r="BD134" s="144">
        <f t="shared" si="88"/>
        <v>0</v>
      </c>
      <c r="BE134" s="144">
        <f t="shared" si="49"/>
        <v>39094380.150519662</v>
      </c>
      <c r="BF134" s="144">
        <f>INDEX('Hospital Education Funding'!$G$9:$G$159,MATCH(C134,'Hospital Education Funding'!$C$9:$C$158,0))</f>
        <v>993840</v>
      </c>
      <c r="BG134" s="152">
        <f>INDEX('Import|Export Adjustments Data'!$Q$9:$Q$159,MATCH('2019-20 StepbyStep Allocations'!$C134,'Import|Export Adjustments Data'!$C$9:$C$159,0))</f>
        <v>-96</v>
      </c>
      <c r="BH134" s="144">
        <f t="shared" si="89"/>
        <v>-576000</v>
      </c>
      <c r="BI134" s="153">
        <f>INDEX('Baselines+Historic Spend Factor'!$F$9:$F$159,MATCH('2019-20 StepbyStep Allocations'!C134,'Baselines+Historic Spend Factor'!C$9:C$159,0))-INDEX('Baselines+Historic Spend Factor'!$G$9:$G$159,MATCH('2019-20 StepbyStep Allocations'!C134,'Baselines+Historic Spend Factor'!C$9:C$159,0))</f>
        <v>37710731.898711152</v>
      </c>
      <c r="BJ134" s="154">
        <f t="shared" si="50"/>
        <v>41868126.498332173</v>
      </c>
      <c r="BK134" s="155">
        <f t="shared" si="90"/>
        <v>0.11024433603642447</v>
      </c>
      <c r="BL134" s="156">
        <f t="shared" si="91"/>
        <v>465.77172199236696</v>
      </c>
      <c r="BM134" s="148">
        <f t="shared" si="51"/>
        <v>505.11554887782211</v>
      </c>
      <c r="BN134" s="148">
        <f t="shared" si="92"/>
        <v>494.13721986170208</v>
      </c>
      <c r="BO134" s="148">
        <f t="shared" si="52"/>
        <v>38244691.462600276</v>
      </c>
      <c r="BP134" s="144">
        <f t="shared" si="53"/>
        <v>41018437.810412787</v>
      </c>
      <c r="BQ134" s="148">
        <v>39334087.753556803</v>
      </c>
      <c r="BR134" s="157">
        <f t="shared" si="93"/>
        <v>4.2821637746096597E-2</v>
      </c>
      <c r="BT134" s="94"/>
      <c r="BU134" s="158"/>
      <c r="BX134" s="94"/>
    </row>
    <row r="135" spans="1:76" ht="15.4" x14ac:dyDescent="0.45">
      <c r="A135" s="139" t="s">
        <v>235</v>
      </c>
      <c r="B135" s="140" t="s">
        <v>238</v>
      </c>
      <c r="C135" s="102">
        <v>893</v>
      </c>
      <c r="D135" s="141" t="s">
        <v>244</v>
      </c>
      <c r="E135" s="348">
        <v>1</v>
      </c>
      <c r="F135" s="142">
        <v>463</v>
      </c>
      <c r="G135" s="143">
        <f t="shared" si="54"/>
        <v>4000</v>
      </c>
      <c r="H135" s="144">
        <f t="shared" si="55"/>
        <v>1852000</v>
      </c>
      <c r="I135" s="144">
        <f>INDEX('Baselines+Historic Spend Factor'!$Q$9:$Q$159,MATCH(C135,'Baselines+Historic Spend Factor'!$C$9:$C$159,0))</f>
        <v>11933200.237546183</v>
      </c>
      <c r="J135" s="142">
        <v>56999.861000000004</v>
      </c>
      <c r="K135" s="145">
        <f t="shared" si="56"/>
        <v>56999.861000000004</v>
      </c>
      <c r="L135" s="144">
        <f t="shared" si="57"/>
        <v>6678873.6347981356</v>
      </c>
      <c r="M135" s="142">
        <v>3224</v>
      </c>
      <c r="N135" s="145">
        <f t="shared" si="58"/>
        <v>3224</v>
      </c>
      <c r="O135" s="144">
        <f t="shared" si="59"/>
        <v>790958.66467692214</v>
      </c>
      <c r="P135" s="142">
        <v>3660</v>
      </c>
      <c r="Q135" s="145">
        <f t="shared" si="60"/>
        <v>3660</v>
      </c>
      <c r="R135" s="147">
        <f t="shared" si="61"/>
        <v>124594.09191514339</v>
      </c>
      <c r="S135" s="142">
        <v>2527</v>
      </c>
      <c r="T135" s="145">
        <f t="shared" si="62"/>
        <v>2527</v>
      </c>
      <c r="U135" s="147">
        <f t="shared" si="63"/>
        <v>111725.46072774114</v>
      </c>
      <c r="V135" s="142">
        <v>1915</v>
      </c>
      <c r="W135" s="145">
        <f t="shared" si="64"/>
        <v>1915</v>
      </c>
      <c r="X135" s="147">
        <f t="shared" si="65"/>
        <v>115479.09755756936</v>
      </c>
      <c r="Y135" s="142">
        <v>880</v>
      </c>
      <c r="Z135" s="145">
        <f t="shared" si="66"/>
        <v>880</v>
      </c>
      <c r="AA135" s="147">
        <f t="shared" si="67"/>
        <v>56760.724491861707</v>
      </c>
      <c r="AB135" s="142">
        <v>245</v>
      </c>
      <c r="AC135" s="145">
        <f t="shared" si="68"/>
        <v>245</v>
      </c>
      <c r="AD135" s="147">
        <f t="shared" si="69"/>
        <v>17304.639095482235</v>
      </c>
      <c r="AE135" s="142">
        <v>452</v>
      </c>
      <c r="AF135" s="145">
        <f t="shared" si="70"/>
        <v>452</v>
      </c>
      <c r="AG135" s="147">
        <f t="shared" si="71"/>
        <v>43200.320680906589</v>
      </c>
      <c r="AH135" s="144">
        <f t="shared" si="72"/>
        <v>469064.33446870442</v>
      </c>
      <c r="AI135" s="142">
        <v>266</v>
      </c>
      <c r="AJ135" s="145">
        <f t="shared" si="73"/>
        <v>266</v>
      </c>
      <c r="AK135" s="147">
        <f t="shared" si="74"/>
        <v>820981.66313533753</v>
      </c>
      <c r="AL135" s="142">
        <v>1670</v>
      </c>
      <c r="AM135" s="145">
        <f t="shared" si="75"/>
        <v>1670</v>
      </c>
      <c r="AN135" s="147">
        <f t="shared" si="76"/>
        <v>851222.10999891697</v>
      </c>
      <c r="AO135" s="142">
        <v>529</v>
      </c>
      <c r="AP135" s="145">
        <f t="shared" si="77"/>
        <v>529</v>
      </c>
      <c r="AQ135" s="147">
        <f t="shared" si="78"/>
        <v>931759.06471140136</v>
      </c>
      <c r="AR135" s="142">
        <v>510</v>
      </c>
      <c r="AS135" s="145">
        <f t="shared" si="79"/>
        <v>510</v>
      </c>
      <c r="AT135" s="147">
        <f t="shared" si="80"/>
        <v>737796.21999620006</v>
      </c>
      <c r="AU135" s="144">
        <f t="shared" si="81"/>
        <v>23213855.929331802</v>
      </c>
      <c r="AV135" s="148">
        <f>INDEX('Baselines+Historic Spend Factor'!P$9:P$159,MATCH('2019-20 StepbyStep Allocations'!C135,'Baselines+Historic Spend Factor'!C$9:C$159,0))</f>
        <v>23866400.475092366</v>
      </c>
      <c r="AW135" s="149">
        <v>57127.152000000009</v>
      </c>
      <c r="AX135" s="150">
        <f t="shared" si="82"/>
        <v>417.7768300981005</v>
      </c>
      <c r="AY135" s="148">
        <f t="shared" si="83"/>
        <v>421.95459839908153</v>
      </c>
      <c r="AZ135" s="148">
        <f t="shared" si="84"/>
        <v>407.26162348592044</v>
      </c>
      <c r="BA135" s="148">
        <f t="shared" si="85"/>
        <v>421.95459839908153</v>
      </c>
      <c r="BB135" s="151">
        <f t="shared" si="86"/>
        <v>837497.52772666956</v>
      </c>
      <c r="BC135" s="148">
        <f t="shared" si="87"/>
        <v>0</v>
      </c>
      <c r="BD135" s="144">
        <f t="shared" si="88"/>
        <v>837497.52772666956</v>
      </c>
      <c r="BE135" s="144">
        <f t="shared" si="49"/>
        <v>24051353.457058471</v>
      </c>
      <c r="BF135" s="144">
        <f>INDEX('Hospital Education Funding'!$G$9:$G$159,MATCH(C135,'Hospital Education Funding'!$C$9:$C$158,0))</f>
        <v>106050</v>
      </c>
      <c r="BG135" s="152">
        <f>INDEX('Import|Export Adjustments Data'!$Q$9:$Q$159,MATCH('2019-20 StepbyStep Allocations'!$C135,'Import|Export Adjustments Data'!$C$9:$C$159,0))</f>
        <v>-134</v>
      </c>
      <c r="BH135" s="144">
        <f t="shared" si="89"/>
        <v>-804000</v>
      </c>
      <c r="BI135" s="153">
        <f>INDEX('Baselines+Historic Spend Factor'!$F$9:$F$159,MATCH('2019-20 StepbyStep Allocations'!C135,'Baselines+Historic Spend Factor'!C$9:C$159,0))-INDEX('Baselines+Historic Spend Factor'!$G$9:$G$159,MATCH('2019-20 StepbyStep Allocations'!C135,'Baselines+Historic Spend Factor'!C$9:C$159,0))</f>
        <v>25027400.475092366</v>
      </c>
      <c r="BJ135" s="154">
        <f t="shared" si="50"/>
        <v>25205403.457058471</v>
      </c>
      <c r="BK135" s="155">
        <f t="shared" si="90"/>
        <v>7.1123240363399898E-3</v>
      </c>
      <c r="BL135" s="156">
        <f t="shared" si="91"/>
        <v>417.7768300981005</v>
      </c>
      <c r="BM135" s="148">
        <f t="shared" si="51"/>
        <v>421.95459839908153</v>
      </c>
      <c r="BN135" s="148">
        <f t="shared" si="92"/>
        <v>421.95459839908153</v>
      </c>
      <c r="BO135" s="148">
        <f t="shared" si="52"/>
        <v>24051353.457058471</v>
      </c>
      <c r="BP135" s="144">
        <f t="shared" si="53"/>
        <v>25205403.457058471</v>
      </c>
      <c r="BQ135" s="148">
        <v>25089033.507262077</v>
      </c>
      <c r="BR135" s="157">
        <f t="shared" si="93"/>
        <v>4.6382795001931321E-3</v>
      </c>
      <c r="BT135" s="94"/>
      <c r="BU135" s="158"/>
      <c r="BX135" s="94"/>
    </row>
    <row r="136" spans="1:76" ht="15.4" x14ac:dyDescent="0.45">
      <c r="A136" s="139" t="s">
        <v>177</v>
      </c>
      <c r="B136" s="140" t="s">
        <v>238</v>
      </c>
      <c r="C136" s="102">
        <v>334</v>
      </c>
      <c r="D136" s="141" t="s">
        <v>245</v>
      </c>
      <c r="E136" s="348">
        <v>1.0050794999200126</v>
      </c>
      <c r="F136" s="142">
        <v>732</v>
      </c>
      <c r="G136" s="143">
        <f t="shared" si="54"/>
        <v>4020.3179996800504</v>
      </c>
      <c r="H136" s="144">
        <f t="shared" si="55"/>
        <v>2942872.7757657971</v>
      </c>
      <c r="I136" s="144">
        <f>INDEX('Baselines+Historic Spend Factor'!$Q$9:$Q$159,MATCH(C136,'Baselines+Historic Spend Factor'!$C$9:$C$159,0))</f>
        <v>11670480.318496289</v>
      </c>
      <c r="J136" s="142">
        <v>45024.193000000007</v>
      </c>
      <c r="K136" s="145">
        <f t="shared" si="56"/>
        <v>45252.893384742136</v>
      </c>
      <c r="L136" s="144">
        <f t="shared" si="57"/>
        <v>5302440.2379803201</v>
      </c>
      <c r="M136" s="142">
        <v>4225.0000000000009</v>
      </c>
      <c r="N136" s="145">
        <f t="shared" si="58"/>
        <v>4246.460887162054</v>
      </c>
      <c r="O136" s="144">
        <f t="shared" si="59"/>
        <v>1041803.6702582124</v>
      </c>
      <c r="P136" s="142">
        <v>1489</v>
      </c>
      <c r="Q136" s="145">
        <f t="shared" si="60"/>
        <v>1496.5633753808986</v>
      </c>
      <c r="R136" s="147">
        <f t="shared" si="61"/>
        <v>50946.162499739054</v>
      </c>
      <c r="S136" s="142">
        <v>1789</v>
      </c>
      <c r="T136" s="145">
        <f t="shared" si="62"/>
        <v>1798.0872253569025</v>
      </c>
      <c r="U136" s="147">
        <f t="shared" si="63"/>
        <v>79498.268176361555</v>
      </c>
      <c r="V136" s="142">
        <v>899</v>
      </c>
      <c r="W136" s="145">
        <f t="shared" si="64"/>
        <v>903.56647042809129</v>
      </c>
      <c r="X136" s="147">
        <f t="shared" si="65"/>
        <v>54487.227461260663</v>
      </c>
      <c r="Y136" s="142">
        <v>1581</v>
      </c>
      <c r="Z136" s="145">
        <f t="shared" si="66"/>
        <v>1589.0306893735399</v>
      </c>
      <c r="AA136" s="147">
        <f t="shared" si="67"/>
        <v>102493.78769164156</v>
      </c>
      <c r="AB136" s="142">
        <v>4600</v>
      </c>
      <c r="AC136" s="145">
        <f t="shared" si="68"/>
        <v>4623.3656996320578</v>
      </c>
      <c r="AD136" s="147">
        <f t="shared" si="69"/>
        <v>326553.77485128358</v>
      </c>
      <c r="AE136" s="142">
        <v>1267</v>
      </c>
      <c r="AF136" s="145">
        <f t="shared" si="70"/>
        <v>1273.435726398656</v>
      </c>
      <c r="AG136" s="147">
        <f t="shared" si="71"/>
        <v>121709.80474987869</v>
      </c>
      <c r="AH136" s="144">
        <f t="shared" si="72"/>
        <v>735689.02543016511</v>
      </c>
      <c r="AI136" s="142">
        <v>219</v>
      </c>
      <c r="AJ136" s="145">
        <f t="shared" si="73"/>
        <v>220.11241048248274</v>
      </c>
      <c r="AK136" s="147">
        <f t="shared" si="74"/>
        <v>679354.33396479988</v>
      </c>
      <c r="AL136" s="142">
        <v>2150</v>
      </c>
      <c r="AM136" s="145">
        <f t="shared" si="75"/>
        <v>2160.9209248280272</v>
      </c>
      <c r="AN136" s="147">
        <f t="shared" si="76"/>
        <v>1101451.2989059426</v>
      </c>
      <c r="AO136" s="142">
        <v>369</v>
      </c>
      <c r="AP136" s="145">
        <f t="shared" si="77"/>
        <v>370.87433547048465</v>
      </c>
      <c r="AQ136" s="147">
        <f t="shared" si="78"/>
        <v>653242.95641482284</v>
      </c>
      <c r="AR136" s="142">
        <v>510</v>
      </c>
      <c r="AS136" s="145">
        <f t="shared" si="79"/>
        <v>512.59054495920645</v>
      </c>
      <c r="AT136" s="147">
        <f t="shared" si="80"/>
        <v>741543.85583665641</v>
      </c>
      <c r="AU136" s="144">
        <f t="shared" si="81"/>
        <v>21926005.697287206</v>
      </c>
      <c r="AV136" s="148">
        <f>INDEX('Baselines+Historic Spend Factor'!P$9:P$159,MATCH('2019-20 StepbyStep Allocations'!C136,'Baselines+Historic Spend Factor'!C$9:C$159,0))</f>
        <v>23340960.636992577</v>
      </c>
      <c r="AW136" s="149">
        <v>44256.229999999996</v>
      </c>
      <c r="AX136" s="150">
        <f t="shared" si="82"/>
        <v>527.40508256108978</v>
      </c>
      <c r="AY136" s="148">
        <f t="shared" si="83"/>
        <v>532.67913338670064</v>
      </c>
      <c r="AZ136" s="148">
        <f t="shared" si="84"/>
        <v>486.98275829812656</v>
      </c>
      <c r="BA136" s="148">
        <f t="shared" si="85"/>
        <v>532.67913338670064</v>
      </c>
      <c r="BB136" s="151">
        <f t="shared" si="86"/>
        <v>2057442.411388352</v>
      </c>
      <c r="BC136" s="148">
        <f t="shared" si="87"/>
        <v>0</v>
      </c>
      <c r="BD136" s="144">
        <f t="shared" si="88"/>
        <v>2057442.411388352</v>
      </c>
      <c r="BE136" s="144">
        <f t="shared" si="49"/>
        <v>23983448.108675558</v>
      </c>
      <c r="BF136" s="144">
        <f>INDEX('Hospital Education Funding'!$G$9:$G$159,MATCH(C136,'Hospital Education Funding'!$C$9:$C$158,0))</f>
        <v>0</v>
      </c>
      <c r="BG136" s="152">
        <f>INDEX('Import|Export Adjustments Data'!$Q$9:$Q$159,MATCH('2019-20 StepbyStep Allocations'!$C136,'Import|Export Adjustments Data'!$C$9:$C$159,0))</f>
        <v>31</v>
      </c>
      <c r="BH136" s="144">
        <f t="shared" si="89"/>
        <v>186000</v>
      </c>
      <c r="BI136" s="153">
        <f>INDEX('Baselines+Historic Spend Factor'!$F$9:$F$159,MATCH('2019-20 StepbyStep Allocations'!C136,'Baselines+Historic Spend Factor'!C$9:C$159,0))-INDEX('Baselines+Historic Spend Factor'!$G$9:$G$159,MATCH('2019-20 StepbyStep Allocations'!C136,'Baselines+Historic Spend Factor'!C$9:C$159,0))</f>
        <v>26363447.370764453</v>
      </c>
      <c r="BJ136" s="154">
        <f t="shared" si="50"/>
        <v>27112320.884441353</v>
      </c>
      <c r="BK136" s="155">
        <f t="shared" si="90"/>
        <v>2.8405750702670263E-2</v>
      </c>
      <c r="BL136" s="156">
        <f t="shared" si="91"/>
        <v>527.40508256108978</v>
      </c>
      <c r="BM136" s="148">
        <f t="shared" si="51"/>
        <v>532.67913338670064</v>
      </c>
      <c r="BN136" s="148">
        <f t="shared" si="92"/>
        <v>532.67913338670064</v>
      </c>
      <c r="BO136" s="148">
        <f t="shared" si="52"/>
        <v>23983448.108675558</v>
      </c>
      <c r="BP136" s="144">
        <f t="shared" si="53"/>
        <v>27112320.884441353</v>
      </c>
      <c r="BQ136" s="148">
        <v>26747917.839662708</v>
      </c>
      <c r="BR136" s="157">
        <f t="shared" ref="BR136:BR159" si="94">BP136/BQ136-1</f>
        <v>1.3623604161004943E-2</v>
      </c>
      <c r="BT136" s="94"/>
      <c r="BU136" s="158"/>
      <c r="BX136" s="94"/>
    </row>
    <row r="137" spans="1:76" ht="15.4" x14ac:dyDescent="0.45">
      <c r="A137" s="139" t="s">
        <v>248</v>
      </c>
      <c r="B137" s="140" t="s">
        <v>238</v>
      </c>
      <c r="C137" s="102">
        <v>860</v>
      </c>
      <c r="D137" s="141" t="s">
        <v>246</v>
      </c>
      <c r="E137" s="348">
        <v>1</v>
      </c>
      <c r="F137" s="142">
        <v>2588</v>
      </c>
      <c r="G137" s="143">
        <f t="shared" si="54"/>
        <v>4000</v>
      </c>
      <c r="H137" s="144">
        <f t="shared" si="55"/>
        <v>10352000</v>
      </c>
      <c r="I137" s="144">
        <f>INDEX('Baselines+Historic Spend Factor'!$Q$9:$Q$159,MATCH(C137,'Baselines+Historic Spend Factor'!$C$9:$C$159,0))</f>
        <v>30027599.02906616</v>
      </c>
      <c r="J137" s="142">
        <v>161215.78</v>
      </c>
      <c r="K137" s="145">
        <f t="shared" si="56"/>
        <v>161215.78</v>
      </c>
      <c r="L137" s="144">
        <f t="shared" si="57"/>
        <v>18890218.391153913</v>
      </c>
      <c r="M137" s="142">
        <v>10865.000000000005</v>
      </c>
      <c r="N137" s="145">
        <f t="shared" si="58"/>
        <v>10865.000000000005</v>
      </c>
      <c r="O137" s="144">
        <f t="shared" si="59"/>
        <v>2665560.1401100387</v>
      </c>
      <c r="P137" s="142">
        <v>16340</v>
      </c>
      <c r="Q137" s="145">
        <f t="shared" si="60"/>
        <v>16340</v>
      </c>
      <c r="R137" s="147">
        <f t="shared" si="61"/>
        <v>556247.94040804449</v>
      </c>
      <c r="S137" s="142">
        <v>12172</v>
      </c>
      <c r="T137" s="145">
        <f t="shared" si="62"/>
        <v>12172</v>
      </c>
      <c r="U137" s="147">
        <f t="shared" si="63"/>
        <v>538156.82943334593</v>
      </c>
      <c r="V137" s="142">
        <v>9075</v>
      </c>
      <c r="W137" s="145">
        <f t="shared" si="64"/>
        <v>9075</v>
      </c>
      <c r="X137" s="147">
        <f t="shared" si="65"/>
        <v>547244.28738117078</v>
      </c>
      <c r="Y137" s="142">
        <v>4568</v>
      </c>
      <c r="Z137" s="145">
        <f t="shared" si="66"/>
        <v>4568</v>
      </c>
      <c r="AA137" s="147">
        <f t="shared" si="67"/>
        <v>294639.76077139121</v>
      </c>
      <c r="AB137" s="142">
        <v>3324</v>
      </c>
      <c r="AC137" s="145">
        <f t="shared" si="68"/>
        <v>3324</v>
      </c>
      <c r="AD137" s="147">
        <f t="shared" si="69"/>
        <v>234778.04225870591</v>
      </c>
      <c r="AE137" s="142">
        <v>716</v>
      </c>
      <c r="AF137" s="145">
        <f t="shared" si="70"/>
        <v>716</v>
      </c>
      <c r="AG137" s="147">
        <f t="shared" si="71"/>
        <v>68432.366388338749</v>
      </c>
      <c r="AH137" s="144">
        <f t="shared" si="72"/>
        <v>2239499.2266409975</v>
      </c>
      <c r="AI137" s="142">
        <v>823</v>
      </c>
      <c r="AJ137" s="145">
        <f t="shared" si="73"/>
        <v>823</v>
      </c>
      <c r="AK137" s="147">
        <f t="shared" si="74"/>
        <v>2540104.9201518148</v>
      </c>
      <c r="AL137" s="142">
        <v>5310</v>
      </c>
      <c r="AM137" s="145">
        <f t="shared" si="75"/>
        <v>5310</v>
      </c>
      <c r="AN137" s="147">
        <f t="shared" si="76"/>
        <v>2706580.481493562</v>
      </c>
      <c r="AO137" s="142">
        <v>1751</v>
      </c>
      <c r="AP137" s="145">
        <f t="shared" si="77"/>
        <v>1751</v>
      </c>
      <c r="AQ137" s="147">
        <f t="shared" si="78"/>
        <v>3084140.1177876443</v>
      </c>
      <c r="AR137" s="142">
        <v>2042</v>
      </c>
      <c r="AS137" s="145">
        <f t="shared" si="79"/>
        <v>2042</v>
      </c>
      <c r="AT137" s="147">
        <f t="shared" si="80"/>
        <v>2954078.1984945894</v>
      </c>
      <c r="AU137" s="144">
        <f t="shared" si="81"/>
        <v>65107780.504898727</v>
      </c>
      <c r="AV137" s="148">
        <f>INDEX('Baselines+Historic Spend Factor'!P$9:P$159,MATCH('2019-20 StepbyStep Allocations'!C137,'Baselines+Historic Spend Factor'!C$9:C$159,0))</f>
        <v>60055198.058132321</v>
      </c>
      <c r="AW137" s="149">
        <v>161165.679</v>
      </c>
      <c r="AX137" s="150">
        <f t="shared" si="82"/>
        <v>372.63019292173442</v>
      </c>
      <c r="AY137" s="148">
        <f t="shared" si="83"/>
        <v>376.35649485095178</v>
      </c>
      <c r="AZ137" s="148">
        <f t="shared" si="84"/>
        <v>403.85488632005331</v>
      </c>
      <c r="BA137" s="148">
        <f t="shared" si="85"/>
        <v>403.85488632005331</v>
      </c>
      <c r="BB137" s="151">
        <f t="shared" si="86"/>
        <v>0</v>
      </c>
      <c r="BC137" s="148">
        <f t="shared" si="87"/>
        <v>0</v>
      </c>
      <c r="BD137" s="144">
        <f t="shared" si="88"/>
        <v>0</v>
      </c>
      <c r="BE137" s="144">
        <f t="shared" ref="BE137:BE159" si="95">BA137*J137+BC137</f>
        <v>65107780.504898727</v>
      </c>
      <c r="BF137" s="144">
        <f>INDEX('Hospital Education Funding'!$G$9:$G$159,MATCH(C137,'Hospital Education Funding'!$C$9:$C$158,0))</f>
        <v>337339.99999999994</v>
      </c>
      <c r="BG137" s="152">
        <f>INDEX('Import|Export Adjustments Data'!$Q$9:$Q$159,MATCH('2019-20 StepbyStep Allocations'!$C137,'Import|Export Adjustments Data'!$C$9:$C$159,0))</f>
        <v>207</v>
      </c>
      <c r="BH137" s="144">
        <f t="shared" si="89"/>
        <v>1242000</v>
      </c>
      <c r="BI137" s="153">
        <f>INDEX('Baselines+Historic Spend Factor'!$F$9:$F$159,MATCH('2019-20 StepbyStep Allocations'!C137,'Baselines+Historic Spend Factor'!C$9:C$159,0))-INDEX('Baselines+Historic Spend Factor'!$G$9:$G$159,MATCH('2019-20 StepbyStep Allocations'!C137,'Baselines+Historic Spend Factor'!C$9:C$159,0))</f>
        <v>71313198.058132321</v>
      </c>
      <c r="BJ137" s="154">
        <f t="shared" ref="BJ137:BJ159" si="96">H137 + BE137 + BF137 + BH137</f>
        <v>77039120.504898727</v>
      </c>
      <c r="BK137" s="155">
        <f t="shared" si="90"/>
        <v>8.0292605053258415E-2</v>
      </c>
      <c r="BL137" s="156">
        <f t="shared" si="91"/>
        <v>372.63019292173442</v>
      </c>
      <c r="BM137" s="148">
        <f t="shared" ref="BM137:BM158" si="97">BA137</f>
        <v>403.85488632005331</v>
      </c>
      <c r="BN137" s="148">
        <f t="shared" si="92"/>
        <v>395.32337167066805</v>
      </c>
      <c r="BO137" s="148">
        <f t="shared" ref="BO137:BO158" si="98">BN137*J137+BC137</f>
        <v>63732365.716116652</v>
      </c>
      <c r="BP137" s="144">
        <f t="shared" ref="BP137:BP159" si="99">H137 + BF137 + BH137 + BO137</f>
        <v>75663705.716116652</v>
      </c>
      <c r="BQ137" s="148">
        <v>73724236.062213063</v>
      </c>
      <c r="BR137" s="157">
        <f t="shared" si="94"/>
        <v>2.6307083769127715E-2</v>
      </c>
      <c r="BT137" s="94"/>
      <c r="BU137" s="158"/>
      <c r="BX137" s="94"/>
    </row>
    <row r="138" spans="1:76" ht="15.4" x14ac:dyDescent="0.45">
      <c r="A138" s="139" t="s">
        <v>130</v>
      </c>
      <c r="B138" s="140" t="s">
        <v>238</v>
      </c>
      <c r="C138" s="102">
        <v>861</v>
      </c>
      <c r="D138" s="141" t="s">
        <v>247</v>
      </c>
      <c r="E138" s="348">
        <v>1</v>
      </c>
      <c r="F138" s="142">
        <v>765</v>
      </c>
      <c r="G138" s="143">
        <f t="shared" ref="G138:G159" si="100">E138*4000</f>
        <v>4000</v>
      </c>
      <c r="H138" s="144">
        <f t="shared" ref="H138:H159" si="101">F138*G138</f>
        <v>3060000</v>
      </c>
      <c r="I138" s="144">
        <f>INDEX('Baselines+Historic Spend Factor'!$Q$9:$Q$159,MATCH(C138,'Baselines+Historic Spend Factor'!$C$9:$C$159,0))</f>
        <v>13774243.499306515</v>
      </c>
      <c r="J138" s="142">
        <v>53853.129000000001</v>
      </c>
      <c r="K138" s="145">
        <f t="shared" ref="K138:K159" si="102">E138*J138</f>
        <v>53853.129000000001</v>
      </c>
      <c r="L138" s="144">
        <f t="shared" ref="L138:L159" si="103">K138/K$8*L$8</f>
        <v>6310160.0095039327</v>
      </c>
      <c r="M138" s="142">
        <v>7600</v>
      </c>
      <c r="N138" s="145">
        <f t="shared" ref="N138:N159" si="104">M138*$E138</f>
        <v>7600</v>
      </c>
      <c r="O138" s="144">
        <f t="shared" ref="O138:O159" si="105">N138/N$8*O$8</f>
        <v>1864542.7579232657</v>
      </c>
      <c r="P138" s="142">
        <v>3956</v>
      </c>
      <c r="Q138" s="145">
        <f t="shared" ref="Q138:Q159" si="106">P138*$E138</f>
        <v>3956</v>
      </c>
      <c r="R138" s="147">
        <f t="shared" ref="R138:R159" si="107">Q138/Q$8*R$8</f>
        <v>134670.55399352656</v>
      </c>
      <c r="S138" s="142">
        <v>4833</v>
      </c>
      <c r="T138" s="145">
        <f t="shared" ref="T138:T159" si="108">S138*$E138</f>
        <v>4833</v>
      </c>
      <c r="U138" s="147">
        <f t="shared" ref="U138:U159" si="109">T138/T$8*U$8</f>
        <v>213679.91756912266</v>
      </c>
      <c r="V138" s="142">
        <v>8186</v>
      </c>
      <c r="W138" s="145">
        <f t="shared" ref="W138:W159" si="110">V138*$E138</f>
        <v>8186</v>
      </c>
      <c r="X138" s="147">
        <f t="shared" ref="X138:X159" si="111">W138/W$8*X$8</f>
        <v>493635.45305810065</v>
      </c>
      <c r="Y138" s="142">
        <v>7601</v>
      </c>
      <c r="Z138" s="145">
        <f t="shared" ref="Z138:Z159" si="112">Y138*$E138</f>
        <v>7601</v>
      </c>
      <c r="AA138" s="147">
        <f t="shared" ref="AA138:AA159" si="113">Z138/Z$8*AA$8</f>
        <v>490270.75779845548</v>
      </c>
      <c r="AB138" s="142">
        <v>5720</v>
      </c>
      <c r="AC138" s="145">
        <f t="shared" ref="AC138:AC159" si="114">AB138*$E138</f>
        <v>5720</v>
      </c>
      <c r="AD138" s="147">
        <f t="shared" ref="AD138:AD159" si="115">AC138/AC$8*AD$8</f>
        <v>404010.34949452401</v>
      </c>
      <c r="AE138" s="142">
        <v>5608</v>
      </c>
      <c r="AF138" s="145">
        <f t="shared" ref="AF138:AF159" si="116">AE138*$E138</f>
        <v>5608</v>
      </c>
      <c r="AG138" s="147">
        <f t="shared" ref="AG138:AG159" si="117">AF138/AF$8*AG$8</f>
        <v>535989.81942151359</v>
      </c>
      <c r="AH138" s="144">
        <f t="shared" ref="AH138:AH159" si="118">AG138+AD138+AA138+X138+U138+R138</f>
        <v>2272256.8513352429</v>
      </c>
      <c r="AI138" s="142">
        <v>361</v>
      </c>
      <c r="AJ138" s="145">
        <f t="shared" ref="AJ138:AJ159" si="119">AI138*$E138</f>
        <v>361</v>
      </c>
      <c r="AK138" s="147">
        <f t="shared" ref="AK138:AK159" si="120">AJ138/AJ$8*AK$8</f>
        <v>1114189.3999693866</v>
      </c>
      <c r="AL138" s="142">
        <v>2090</v>
      </c>
      <c r="AM138" s="145">
        <f t="shared" ref="AM138:AM159" si="121">AL138*$E138</f>
        <v>2090</v>
      </c>
      <c r="AN138" s="147">
        <f t="shared" ref="AN138:AN159" si="122">AM138/AM$8*AN$8</f>
        <v>1065301.9220944529</v>
      </c>
      <c r="AO138" s="142">
        <v>769</v>
      </c>
      <c r="AP138" s="145">
        <f t="shared" ref="AP138:AP159" si="123">AO138*$E138</f>
        <v>769</v>
      </c>
      <c r="AQ138" s="147">
        <f t="shared" ref="AQ138:AQ159" si="124">(AP138/AP$8)*AQ$8</f>
        <v>1354485.2944481431</v>
      </c>
      <c r="AR138" s="142">
        <v>801</v>
      </c>
      <c r="AS138" s="145">
        <f t="shared" ref="AS138:AS159" si="125">AR138*$E138</f>
        <v>801</v>
      </c>
      <c r="AT138" s="147">
        <f t="shared" ref="AT138:AT159" si="126">(AS138/AS$8)*AT$8</f>
        <v>1158774.0631705024</v>
      </c>
      <c r="AU138" s="144">
        <f t="shared" ref="AU138:AU159" si="127">I138+L138+O138+AH138+AK138+AN138+AQ138+AT138</f>
        <v>28913953.797751442</v>
      </c>
      <c r="AV138" s="148">
        <f>INDEX('Baselines+Historic Spend Factor'!P$9:P$159,MATCH('2019-20 StepbyStep Allocations'!C138,'Baselines+Historic Spend Factor'!C$9:C$159,0))</f>
        <v>27548486.99861303</v>
      </c>
      <c r="AW138" s="149">
        <v>53130.959000000017</v>
      </c>
      <c r="AX138" s="150">
        <f t="shared" ref="AX138:AX158" si="128">AV138/AW138</f>
        <v>518.50159524907167</v>
      </c>
      <c r="AY138" s="148">
        <f t="shared" ref="AY138:AY159" si="129">AX138*(100%+1%)</f>
        <v>523.68661120156241</v>
      </c>
      <c r="AZ138" s="148">
        <f t="shared" ref="AZ138:AZ158" si="130">AU138/J138</f>
        <v>536.90387791118769</v>
      </c>
      <c r="BA138" s="148">
        <f t="shared" ref="BA138:BA158" si="131">MAX(AY138,AZ138)</f>
        <v>536.90387791118769</v>
      </c>
      <c r="BB138" s="151">
        <f t="shared" ref="BB138:BB158" si="132">(BA138-AZ138)*J138</f>
        <v>0</v>
      </c>
      <c r="BC138" s="148">
        <f t="shared" ref="BC138:BC159" si="133">MAX(AV138-BA138*J138,0)</f>
        <v>0</v>
      </c>
      <c r="BD138" s="144">
        <f t="shared" ref="BD138:BD159" si="134">BB138+BC138</f>
        <v>0</v>
      </c>
      <c r="BE138" s="144">
        <f t="shared" si="95"/>
        <v>28913953.797751442</v>
      </c>
      <c r="BF138" s="144">
        <f>INDEX('Hospital Education Funding'!$G$9:$G$159,MATCH(C138,'Hospital Education Funding'!$C$9:$C$158,0))</f>
        <v>184375.5</v>
      </c>
      <c r="BG138" s="152">
        <f>INDEX('Import|Export Adjustments Data'!$Q$9:$Q$159,MATCH('2019-20 StepbyStep Allocations'!$C138,'Import|Export Adjustments Data'!$C$9:$C$159,0))</f>
        <v>-168</v>
      </c>
      <c r="BH138" s="144">
        <f t="shared" ref="BH138:BH159" si="135">BG138*6000</f>
        <v>-1008000</v>
      </c>
      <c r="BI138" s="153">
        <f>INDEX('Baselines+Historic Spend Factor'!$F$9:$F$159,MATCH('2019-20 StepbyStep Allocations'!C138,'Baselines+Historic Spend Factor'!C$9:C$159,0))-INDEX('Baselines+Historic Spend Factor'!$G$9:$G$159,MATCH('2019-20 StepbyStep Allocations'!C138,'Baselines+Historic Spend Factor'!C$9:C$159,0))</f>
        <v>29493036.99861303</v>
      </c>
      <c r="BJ138" s="154">
        <f t="shared" si="96"/>
        <v>31150329.297751442</v>
      </c>
      <c r="BK138" s="155">
        <f t="shared" ref="BK138:BK159" si="136">BJ138/BI138-1</f>
        <v>5.6192663346821492E-2</v>
      </c>
      <c r="BL138" s="156">
        <f t="shared" ref="BL138:BL158" si="137">AX138</f>
        <v>518.50159524907167</v>
      </c>
      <c r="BM138" s="148">
        <f t="shared" si="97"/>
        <v>536.90387791118769</v>
      </c>
      <c r="BN138" s="148">
        <f t="shared" ref="BN138:BN158" si="138">MIN(BL138*(100% + 6.09%), BM138)</f>
        <v>536.90387791118769</v>
      </c>
      <c r="BO138" s="148">
        <f t="shared" si="98"/>
        <v>28913953.797751442</v>
      </c>
      <c r="BP138" s="144">
        <f t="shared" si="99"/>
        <v>31150329.297751442</v>
      </c>
      <c r="BQ138" s="148">
        <v>30753984.619834319</v>
      </c>
      <c r="BR138" s="157">
        <f t="shared" si="94"/>
        <v>1.2887587830212599E-2</v>
      </c>
      <c r="BT138" s="94"/>
      <c r="BU138" s="158"/>
      <c r="BX138" s="94"/>
    </row>
    <row r="139" spans="1:76" ht="15.4" x14ac:dyDescent="0.45">
      <c r="A139" s="139" t="s">
        <v>236</v>
      </c>
      <c r="B139" s="140" t="s">
        <v>238</v>
      </c>
      <c r="C139" s="102">
        <v>894</v>
      </c>
      <c r="D139" s="141" t="s">
        <v>248</v>
      </c>
      <c r="E139" s="348">
        <v>1</v>
      </c>
      <c r="F139" s="142">
        <v>582</v>
      </c>
      <c r="G139" s="143">
        <f t="shared" si="100"/>
        <v>4000</v>
      </c>
      <c r="H139" s="144">
        <f t="shared" si="101"/>
        <v>2328000</v>
      </c>
      <c r="I139" s="144">
        <f>INDEX('Baselines+Historic Spend Factor'!$Q$9:$Q$159,MATCH(C139,'Baselines+Historic Spend Factor'!$C$9:$C$159,0))</f>
        <v>9156063.4364382438</v>
      </c>
      <c r="J139" s="142">
        <v>38012.051999999996</v>
      </c>
      <c r="K139" s="145">
        <f t="shared" si="102"/>
        <v>38012.051999999996</v>
      </c>
      <c r="L139" s="144">
        <f t="shared" si="103"/>
        <v>4454005.4563883189</v>
      </c>
      <c r="M139" s="142">
        <v>4330.5000000000018</v>
      </c>
      <c r="N139" s="145">
        <f t="shared" si="104"/>
        <v>4330.5000000000018</v>
      </c>
      <c r="O139" s="144">
        <f t="shared" si="105"/>
        <v>1062421.3701561454</v>
      </c>
      <c r="P139" s="142">
        <v>4819</v>
      </c>
      <c r="Q139" s="145">
        <f t="shared" si="106"/>
        <v>4819</v>
      </c>
      <c r="R139" s="147">
        <f t="shared" si="107"/>
        <v>164048.88768827214</v>
      </c>
      <c r="S139" s="142">
        <v>2940</v>
      </c>
      <c r="T139" s="145">
        <f t="shared" si="108"/>
        <v>2940</v>
      </c>
      <c r="U139" s="147">
        <f t="shared" si="109"/>
        <v>129985.30056967112</v>
      </c>
      <c r="V139" s="142">
        <v>5280</v>
      </c>
      <c r="W139" s="145">
        <f t="shared" si="110"/>
        <v>5280</v>
      </c>
      <c r="X139" s="147">
        <f t="shared" si="111"/>
        <v>318396.67629449937</v>
      </c>
      <c r="Y139" s="142">
        <v>2628</v>
      </c>
      <c r="Z139" s="145">
        <f t="shared" si="112"/>
        <v>2628</v>
      </c>
      <c r="AA139" s="147">
        <f t="shared" si="113"/>
        <v>169508.16359615064</v>
      </c>
      <c r="AB139" s="142">
        <v>1255</v>
      </c>
      <c r="AC139" s="145">
        <f t="shared" si="114"/>
        <v>1255</v>
      </c>
      <c r="AD139" s="147">
        <f t="shared" si="115"/>
        <v>88642.130876857977</v>
      </c>
      <c r="AE139" s="142">
        <v>3911</v>
      </c>
      <c r="AF139" s="145">
        <f t="shared" si="116"/>
        <v>3911</v>
      </c>
      <c r="AG139" s="147">
        <f t="shared" si="117"/>
        <v>373797.46500669396</v>
      </c>
      <c r="AH139" s="144">
        <f t="shared" si="118"/>
        <v>1244378.6240321454</v>
      </c>
      <c r="AI139" s="142">
        <v>248</v>
      </c>
      <c r="AJ139" s="145">
        <f t="shared" si="119"/>
        <v>248</v>
      </c>
      <c r="AK139" s="147">
        <f t="shared" si="120"/>
        <v>765426.51299835974</v>
      </c>
      <c r="AL139" s="142">
        <v>1680</v>
      </c>
      <c r="AM139" s="145">
        <f t="shared" si="121"/>
        <v>1680</v>
      </c>
      <c r="AN139" s="147">
        <f t="shared" si="122"/>
        <v>856319.24838214391</v>
      </c>
      <c r="AO139" s="142">
        <v>435</v>
      </c>
      <c r="AP139" s="145">
        <f t="shared" si="123"/>
        <v>435</v>
      </c>
      <c r="AQ139" s="147">
        <f t="shared" si="124"/>
        <v>766191.29139784421</v>
      </c>
      <c r="AR139" s="142">
        <v>601</v>
      </c>
      <c r="AS139" s="145">
        <f t="shared" si="125"/>
        <v>601</v>
      </c>
      <c r="AT139" s="147">
        <f t="shared" si="126"/>
        <v>869442.21219160047</v>
      </c>
      <c r="AU139" s="144">
        <f t="shared" si="127"/>
        <v>19174248.1519848</v>
      </c>
      <c r="AV139" s="148">
        <f>INDEX('Baselines+Historic Spend Factor'!P$9:P$159,MATCH('2019-20 StepbyStep Allocations'!C139,'Baselines+Historic Spend Factor'!C$9:C$159,0))</f>
        <v>18312126.872876488</v>
      </c>
      <c r="AW139" s="149">
        <v>37641.775999999991</v>
      </c>
      <c r="AX139" s="150">
        <f t="shared" si="128"/>
        <v>486.48413594715862</v>
      </c>
      <c r="AY139" s="148">
        <f t="shared" si="129"/>
        <v>491.34897730663022</v>
      </c>
      <c r="AZ139" s="148">
        <f t="shared" si="130"/>
        <v>504.4254951557154</v>
      </c>
      <c r="BA139" s="148">
        <f t="shared" si="131"/>
        <v>504.4254951557154</v>
      </c>
      <c r="BB139" s="151">
        <f t="shared" si="132"/>
        <v>0</v>
      </c>
      <c r="BC139" s="148">
        <f t="shared" si="133"/>
        <v>0</v>
      </c>
      <c r="BD139" s="144">
        <f t="shared" si="134"/>
        <v>0</v>
      </c>
      <c r="BE139" s="144">
        <f t="shared" si="95"/>
        <v>19174248.1519848</v>
      </c>
      <c r="BF139" s="144">
        <f>INDEX('Hospital Education Funding'!$G$9:$G$159,MATCH(C139,'Hospital Education Funding'!$C$9:$C$158,0))</f>
        <v>20266.66</v>
      </c>
      <c r="BG139" s="152">
        <f>INDEX('Import|Export Adjustments Data'!$Q$9:$Q$159,MATCH('2019-20 StepbyStep Allocations'!$C139,'Import|Export Adjustments Data'!$C$9:$C$159,0))</f>
        <v>-3</v>
      </c>
      <c r="BH139" s="144">
        <f t="shared" si="135"/>
        <v>-18000</v>
      </c>
      <c r="BI139" s="153">
        <f>INDEX('Baselines+Historic Spend Factor'!$F$9:$F$159,MATCH('2019-20 StepbyStep Allocations'!C139,'Baselines+Historic Spend Factor'!C$9:C$159,0))-INDEX('Baselines+Historic Spend Factor'!$G$9:$G$159,MATCH('2019-20 StepbyStep Allocations'!C139,'Baselines+Historic Spend Factor'!C$9:C$159,0))</f>
        <v>20526192.872876488</v>
      </c>
      <c r="BJ139" s="154">
        <f t="shared" si="96"/>
        <v>21504514.8119848</v>
      </c>
      <c r="BK139" s="155">
        <f t="shared" si="136"/>
        <v>4.7662123471570617E-2</v>
      </c>
      <c r="BL139" s="156">
        <f t="shared" si="137"/>
        <v>486.48413594715862</v>
      </c>
      <c r="BM139" s="148">
        <f t="shared" si="97"/>
        <v>504.4254951557154</v>
      </c>
      <c r="BN139" s="148">
        <f t="shared" si="138"/>
        <v>504.4254951557154</v>
      </c>
      <c r="BO139" s="148">
        <f t="shared" si="98"/>
        <v>19174248.1519848</v>
      </c>
      <c r="BP139" s="144">
        <f t="shared" si="99"/>
        <v>21504514.8119848</v>
      </c>
      <c r="BQ139" s="148">
        <v>21224047.956614062</v>
      </c>
      <c r="BR139" s="157">
        <f t="shared" si="94"/>
        <v>1.3214578856213688E-2</v>
      </c>
      <c r="BT139" s="94"/>
      <c r="BU139" s="158"/>
      <c r="BX139" s="94"/>
    </row>
    <row r="140" spans="1:76" ht="15.4" x14ac:dyDescent="0.45">
      <c r="A140" s="139" t="s">
        <v>142</v>
      </c>
      <c r="B140" s="140" t="s">
        <v>238</v>
      </c>
      <c r="C140" s="102">
        <v>335</v>
      </c>
      <c r="D140" s="141" t="s">
        <v>249</v>
      </c>
      <c r="E140" s="348">
        <v>1.0050794999200126</v>
      </c>
      <c r="F140" s="142">
        <v>675</v>
      </c>
      <c r="G140" s="143">
        <f t="shared" si="100"/>
        <v>4020.3179996800504</v>
      </c>
      <c r="H140" s="144">
        <f t="shared" si="101"/>
        <v>2713714.6497840341</v>
      </c>
      <c r="I140" s="144">
        <f>INDEX('Baselines+Historic Spend Factor'!$Q$9:$Q$159,MATCH(C140,'Baselines+Historic Spend Factor'!$C$9:$C$159,0))</f>
        <v>13562164.911601396</v>
      </c>
      <c r="J140" s="142">
        <v>63911.391000000011</v>
      </c>
      <c r="K140" s="145">
        <f t="shared" si="102"/>
        <v>64236.028905472398</v>
      </c>
      <c r="L140" s="144">
        <f t="shared" si="103"/>
        <v>7526760.8084323322</v>
      </c>
      <c r="M140" s="142">
        <v>9704</v>
      </c>
      <c r="N140" s="145">
        <f t="shared" si="104"/>
        <v>9753.2914672238021</v>
      </c>
      <c r="O140" s="144">
        <f t="shared" si="105"/>
        <v>2392819.601464069</v>
      </c>
      <c r="P140" s="142">
        <v>5481</v>
      </c>
      <c r="Q140" s="145">
        <f t="shared" si="106"/>
        <v>5508.8407390615885</v>
      </c>
      <c r="R140" s="147">
        <f t="shared" si="107"/>
        <v>187532.51622637321</v>
      </c>
      <c r="S140" s="142">
        <v>5409</v>
      </c>
      <c r="T140" s="145">
        <f t="shared" si="108"/>
        <v>5436.4750150673481</v>
      </c>
      <c r="U140" s="147">
        <f t="shared" si="109"/>
        <v>240361.16968470634</v>
      </c>
      <c r="V140" s="142">
        <v>8784</v>
      </c>
      <c r="W140" s="145">
        <f t="shared" si="110"/>
        <v>8828.6183272973904</v>
      </c>
      <c r="X140" s="147">
        <f t="shared" si="111"/>
        <v>532386.88100079389</v>
      </c>
      <c r="Y140" s="142">
        <v>8119</v>
      </c>
      <c r="Z140" s="145">
        <f t="shared" si="112"/>
        <v>8160.2404598505818</v>
      </c>
      <c r="AA140" s="147">
        <f t="shared" si="113"/>
        <v>526342.22787377471</v>
      </c>
      <c r="AB140" s="142">
        <v>11171</v>
      </c>
      <c r="AC140" s="145">
        <f t="shared" si="114"/>
        <v>11227.743093606461</v>
      </c>
      <c r="AD140" s="147">
        <f t="shared" si="115"/>
        <v>793028.74323123682</v>
      </c>
      <c r="AE140" s="142">
        <v>3900</v>
      </c>
      <c r="AF140" s="145">
        <f t="shared" si="116"/>
        <v>3919.8100496880488</v>
      </c>
      <c r="AG140" s="147">
        <f t="shared" si="117"/>
        <v>374639.4937052303</v>
      </c>
      <c r="AH140" s="144">
        <f t="shared" si="118"/>
        <v>2654291.0317221154</v>
      </c>
      <c r="AI140" s="142">
        <v>439</v>
      </c>
      <c r="AJ140" s="145">
        <f t="shared" si="119"/>
        <v>441.22990046488553</v>
      </c>
      <c r="AK140" s="147">
        <f t="shared" si="120"/>
        <v>1361810.7425139139</v>
      </c>
      <c r="AL140" s="142">
        <v>2380</v>
      </c>
      <c r="AM140" s="145">
        <f t="shared" si="121"/>
        <v>2392.0892098096297</v>
      </c>
      <c r="AN140" s="147">
        <f t="shared" si="122"/>
        <v>1219280.972742392</v>
      </c>
      <c r="AO140" s="142">
        <v>744</v>
      </c>
      <c r="AP140" s="145">
        <f t="shared" si="123"/>
        <v>747.77914794048934</v>
      </c>
      <c r="AQ140" s="147">
        <f t="shared" si="124"/>
        <v>1317107.7495193174</v>
      </c>
      <c r="AR140" s="142">
        <v>1139</v>
      </c>
      <c r="AS140" s="145">
        <f t="shared" si="125"/>
        <v>1144.7855504088943</v>
      </c>
      <c r="AT140" s="147">
        <f t="shared" si="126"/>
        <v>1656114.6113685325</v>
      </c>
      <c r="AU140" s="144">
        <f t="shared" si="127"/>
        <v>31690350.42936407</v>
      </c>
      <c r="AV140" s="148">
        <f>INDEX('Baselines+Historic Spend Factor'!P$9:P$159,MATCH('2019-20 StepbyStep Allocations'!C140,'Baselines+Historic Spend Factor'!C$9:C$159,0))</f>
        <v>27124329.823202793</v>
      </c>
      <c r="AW140" s="149">
        <v>62672.562999999995</v>
      </c>
      <c r="AX140" s="150">
        <f t="shared" si="128"/>
        <v>432.79432856771462</v>
      </c>
      <c r="AY140" s="148">
        <f t="shared" si="129"/>
        <v>437.12227185339174</v>
      </c>
      <c r="AZ140" s="148">
        <f t="shared" si="130"/>
        <v>495.84823508792141</v>
      </c>
      <c r="BA140" s="148">
        <f t="shared" si="131"/>
        <v>495.84823508792141</v>
      </c>
      <c r="BB140" s="151">
        <f t="shared" si="132"/>
        <v>0</v>
      </c>
      <c r="BC140" s="148">
        <f t="shared" si="133"/>
        <v>0</v>
      </c>
      <c r="BD140" s="144">
        <f t="shared" si="134"/>
        <v>0</v>
      </c>
      <c r="BE140" s="144">
        <f t="shared" si="95"/>
        <v>31690350.42936407</v>
      </c>
      <c r="BF140" s="144">
        <f>INDEX('Hospital Education Funding'!$G$9:$G$159,MATCH(C140,'Hospital Education Funding'!$C$9:$C$158,0))</f>
        <v>0</v>
      </c>
      <c r="BG140" s="152">
        <f>INDEX('Import|Export Adjustments Data'!$Q$9:$Q$159,MATCH('2019-20 StepbyStep Allocations'!$C140,'Import|Export Adjustments Data'!$C$9:$C$159,0))</f>
        <v>3</v>
      </c>
      <c r="BH140" s="144">
        <f t="shared" si="135"/>
        <v>18000</v>
      </c>
      <c r="BI140" s="153">
        <f>INDEX('Baselines+Historic Spend Factor'!$F$9:$F$159,MATCH('2019-20 StepbyStep Allocations'!C140,'Baselines+Historic Spend Factor'!C$9:C$159,0))-INDEX('Baselines+Historic Spend Factor'!$G$9:$G$159,MATCH('2019-20 StepbyStep Allocations'!C140,'Baselines+Historic Spend Factor'!C$9:C$159,0))</f>
        <v>29533109.845001545</v>
      </c>
      <c r="BJ140" s="154">
        <f t="shared" si="96"/>
        <v>34422065.079148106</v>
      </c>
      <c r="BK140" s="155">
        <f t="shared" si="136"/>
        <v>0.16554149765484349</v>
      </c>
      <c r="BL140" s="156">
        <f t="shared" si="137"/>
        <v>432.79432856771462</v>
      </c>
      <c r="BM140" s="148">
        <f t="shared" si="97"/>
        <v>495.84823508792141</v>
      </c>
      <c r="BN140" s="148">
        <f t="shared" si="138"/>
        <v>459.15150317748839</v>
      </c>
      <c r="BO140" s="148">
        <f t="shared" si="98"/>
        <v>29345011.247814208</v>
      </c>
      <c r="BP140" s="144">
        <f t="shared" si="99"/>
        <v>32076725.897598244</v>
      </c>
      <c r="BQ140" s="148">
        <v>30840195.961825989</v>
      </c>
      <c r="BR140" s="157">
        <f t="shared" si="94"/>
        <v>4.0094749634627336E-2</v>
      </c>
      <c r="BT140" s="94"/>
      <c r="BU140" s="158"/>
      <c r="BX140" s="94"/>
    </row>
    <row r="141" spans="1:76" ht="15.4" x14ac:dyDescent="0.45">
      <c r="A141" s="139" t="s">
        <v>178</v>
      </c>
      <c r="B141" s="140" t="s">
        <v>238</v>
      </c>
      <c r="C141" s="102">
        <v>937</v>
      </c>
      <c r="D141" s="141" t="s">
        <v>250</v>
      </c>
      <c r="E141" s="348">
        <v>1.0105351699887246</v>
      </c>
      <c r="F141" s="142">
        <v>1596</v>
      </c>
      <c r="G141" s="143">
        <f t="shared" si="100"/>
        <v>4042.1406799548986</v>
      </c>
      <c r="H141" s="144">
        <f t="shared" si="101"/>
        <v>6451256.5252080178</v>
      </c>
      <c r="I141" s="144">
        <f>INDEX('Baselines+Historic Spend Factor'!$Q$9:$Q$159,MATCH(C141,'Baselines+Historic Spend Factor'!$C$9:$C$159,0))</f>
        <v>26627878.731615312</v>
      </c>
      <c r="J141" s="142">
        <v>108805.32400000001</v>
      </c>
      <c r="K141" s="145">
        <f t="shared" si="102"/>
        <v>109951.60658401827</v>
      </c>
      <c r="L141" s="144">
        <f t="shared" si="103"/>
        <v>12883415.387937468</v>
      </c>
      <c r="M141" s="142">
        <v>7378</v>
      </c>
      <c r="N141" s="145">
        <f t="shared" si="104"/>
        <v>7455.7284841768105</v>
      </c>
      <c r="O141" s="144">
        <f t="shared" si="105"/>
        <v>1829147.9671334315</v>
      </c>
      <c r="P141" s="142">
        <v>12497</v>
      </c>
      <c r="Q141" s="145">
        <f t="shared" si="106"/>
        <v>12628.658019349092</v>
      </c>
      <c r="R141" s="147">
        <f t="shared" si="107"/>
        <v>429906.05957040802</v>
      </c>
      <c r="S141" s="142">
        <v>5780</v>
      </c>
      <c r="T141" s="145">
        <f t="shared" si="108"/>
        <v>5840.8932825348284</v>
      </c>
      <c r="U141" s="147">
        <f t="shared" si="109"/>
        <v>258241.58806995332</v>
      </c>
      <c r="V141" s="142">
        <v>4316</v>
      </c>
      <c r="W141" s="145">
        <f t="shared" si="110"/>
        <v>4361.4697936713355</v>
      </c>
      <c r="X141" s="147">
        <f t="shared" si="111"/>
        <v>263007.09963329718</v>
      </c>
      <c r="Y141" s="142">
        <v>0</v>
      </c>
      <c r="Z141" s="145">
        <f t="shared" si="112"/>
        <v>0</v>
      </c>
      <c r="AA141" s="147">
        <f t="shared" si="113"/>
        <v>0</v>
      </c>
      <c r="AB141" s="142">
        <v>1598</v>
      </c>
      <c r="AC141" s="145">
        <f t="shared" si="114"/>
        <v>1614.8352016419819</v>
      </c>
      <c r="AD141" s="147">
        <f t="shared" si="115"/>
        <v>114057.7157677338</v>
      </c>
      <c r="AE141" s="142">
        <v>1533</v>
      </c>
      <c r="AF141" s="145">
        <f t="shared" si="116"/>
        <v>1549.1504155927148</v>
      </c>
      <c r="AG141" s="147">
        <f t="shared" si="117"/>
        <v>148061.49278001106</v>
      </c>
      <c r="AH141" s="144">
        <f t="shared" si="118"/>
        <v>1213273.9558214033</v>
      </c>
      <c r="AI141" s="142">
        <v>456</v>
      </c>
      <c r="AJ141" s="145">
        <f t="shared" si="119"/>
        <v>460.80403751485841</v>
      </c>
      <c r="AK141" s="147">
        <f t="shared" si="120"/>
        <v>1422224.304881304</v>
      </c>
      <c r="AL141" s="142">
        <v>3630</v>
      </c>
      <c r="AM141" s="145">
        <f t="shared" si="121"/>
        <v>3668.2426670590703</v>
      </c>
      <c r="AN141" s="147">
        <f t="shared" si="122"/>
        <v>1869754.0497257942</v>
      </c>
      <c r="AO141" s="142">
        <v>1039</v>
      </c>
      <c r="AP141" s="145">
        <f t="shared" si="123"/>
        <v>1049.9460416182849</v>
      </c>
      <c r="AQ141" s="147">
        <f t="shared" si="124"/>
        <v>1849332.2150013067</v>
      </c>
      <c r="AR141" s="142">
        <v>1123</v>
      </c>
      <c r="AS141" s="145">
        <f t="shared" si="125"/>
        <v>1134.8309958973377</v>
      </c>
      <c r="AT141" s="147">
        <f t="shared" si="126"/>
        <v>1641713.7629560374</v>
      </c>
      <c r="AU141" s="144">
        <f t="shared" si="127"/>
        <v>49336740.375072055</v>
      </c>
      <c r="AV141" s="148">
        <f>INDEX('Baselines+Historic Spend Factor'!P$9:P$159,MATCH('2019-20 StepbyStep Allocations'!C141,'Baselines+Historic Spend Factor'!C$9:C$159,0))</f>
        <v>53255757.463230625</v>
      </c>
      <c r="AW141" s="149">
        <v>107687.442</v>
      </c>
      <c r="AX141" s="150">
        <f t="shared" si="128"/>
        <v>494.54009190069377</v>
      </c>
      <c r="AY141" s="148">
        <f t="shared" si="129"/>
        <v>499.48549281970071</v>
      </c>
      <c r="AZ141" s="148">
        <f t="shared" si="130"/>
        <v>453.44049869353864</v>
      </c>
      <c r="BA141" s="148">
        <f t="shared" si="131"/>
        <v>499.48549281970071</v>
      </c>
      <c r="BB141" s="151">
        <f t="shared" si="132"/>
        <v>5009940.5044751605</v>
      </c>
      <c r="BC141" s="148">
        <f t="shared" si="133"/>
        <v>0</v>
      </c>
      <c r="BD141" s="144">
        <f t="shared" si="134"/>
        <v>5009940.5044751605</v>
      </c>
      <c r="BE141" s="144">
        <f t="shared" si="95"/>
        <v>54346680.879547216</v>
      </c>
      <c r="BF141" s="144">
        <f>INDEX('Hospital Education Funding'!$G$9:$G$159,MATCH(C141,'Hospital Education Funding'!$C$9:$C$158,0))</f>
        <v>104305.65454335875</v>
      </c>
      <c r="BG141" s="152">
        <f>INDEX('Import|Export Adjustments Data'!$Q$9:$Q$159,MATCH('2019-20 StepbyStep Allocations'!$C141,'Import|Export Adjustments Data'!$C$9:$C$159,0))</f>
        <v>-34</v>
      </c>
      <c r="BH141" s="144">
        <f t="shared" si="135"/>
        <v>-204000</v>
      </c>
      <c r="BI141" s="153">
        <f>INDEX('Baselines+Historic Spend Factor'!$F$9:$F$159,MATCH('2019-20 StepbyStep Allocations'!C141,'Baselines+Historic Spend Factor'!C$9:C$159,0))-INDEX('Baselines+Historic Spend Factor'!$G$9:$G$159,MATCH('2019-20 StepbyStep Allocations'!C141,'Baselines+Historic Spend Factor'!C$9:C$159,0))</f>
        <v>59151547.769532032</v>
      </c>
      <c r="BJ141" s="154">
        <f t="shared" si="96"/>
        <v>60698243.05929859</v>
      </c>
      <c r="BK141" s="155">
        <f t="shared" si="136"/>
        <v>2.6148010459385418E-2</v>
      </c>
      <c r="BL141" s="156">
        <f t="shared" si="137"/>
        <v>494.54009190069377</v>
      </c>
      <c r="BM141" s="148">
        <f t="shared" si="97"/>
        <v>499.48549281970071</v>
      </c>
      <c r="BN141" s="148">
        <f t="shared" si="138"/>
        <v>499.48549281970071</v>
      </c>
      <c r="BO141" s="148">
        <f t="shared" si="98"/>
        <v>54346680.879547216</v>
      </c>
      <c r="BP141" s="144">
        <f t="shared" si="99"/>
        <v>60698243.05929859</v>
      </c>
      <c r="BQ141" s="148">
        <v>60102879.473596923</v>
      </c>
      <c r="BR141" s="157">
        <f t="shared" si="94"/>
        <v>9.9057414705598923E-3</v>
      </c>
      <c r="BT141" s="94"/>
      <c r="BU141" s="158"/>
      <c r="BX141" s="94"/>
    </row>
    <row r="142" spans="1:76" ht="15.4" x14ac:dyDescent="0.45">
      <c r="A142" s="139" t="s">
        <v>267</v>
      </c>
      <c r="B142" s="140" t="s">
        <v>238</v>
      </c>
      <c r="C142" s="102">
        <v>336</v>
      </c>
      <c r="D142" s="141" t="s">
        <v>251</v>
      </c>
      <c r="E142" s="348">
        <v>1.0050794999200126</v>
      </c>
      <c r="F142" s="142">
        <v>824</v>
      </c>
      <c r="G142" s="143">
        <f t="shared" si="100"/>
        <v>4020.3179996800504</v>
      </c>
      <c r="H142" s="144">
        <f t="shared" si="101"/>
        <v>3312742.0317363613</v>
      </c>
      <c r="I142" s="144">
        <f>INDEX('Baselines+Historic Spend Factor'!$Q$9:$Q$159,MATCH(C142,'Baselines+Historic Spend Factor'!$C$9:$C$159,0))</f>
        <v>14420808.509229552</v>
      </c>
      <c r="J142" s="142">
        <v>57464.643999999993</v>
      </c>
      <c r="K142" s="145">
        <f t="shared" si="102"/>
        <v>57756.535654601546</v>
      </c>
      <c r="L142" s="144">
        <f t="shared" si="103"/>
        <v>6767535.858040018</v>
      </c>
      <c r="M142" s="142">
        <v>9086.5000000000036</v>
      </c>
      <c r="N142" s="145">
        <f t="shared" si="104"/>
        <v>9132.6548760231981</v>
      </c>
      <c r="O142" s="144">
        <f t="shared" si="105"/>
        <v>2240555.9881186388</v>
      </c>
      <c r="P142" s="142">
        <v>5496</v>
      </c>
      <c r="Q142" s="145">
        <f t="shared" si="106"/>
        <v>5523.9169315603885</v>
      </c>
      <c r="R142" s="147">
        <f t="shared" si="107"/>
        <v>188045.74150340215</v>
      </c>
      <c r="S142" s="142">
        <v>3184</v>
      </c>
      <c r="T142" s="145">
        <f t="shared" si="108"/>
        <v>3200.17312774532</v>
      </c>
      <c r="U142" s="147">
        <f t="shared" si="109"/>
        <v>141488.25370236734</v>
      </c>
      <c r="V142" s="142">
        <v>8419</v>
      </c>
      <c r="W142" s="145">
        <f t="shared" si="110"/>
        <v>8461.7643098265853</v>
      </c>
      <c r="X142" s="147">
        <f t="shared" si="111"/>
        <v>510264.70299928088</v>
      </c>
      <c r="Y142" s="142">
        <v>9385</v>
      </c>
      <c r="Z142" s="145">
        <f t="shared" si="112"/>
        <v>9432.6711067493179</v>
      </c>
      <c r="AA142" s="147">
        <f t="shared" si="113"/>
        <v>608415.05217334349</v>
      </c>
      <c r="AB142" s="142">
        <v>11544</v>
      </c>
      <c r="AC142" s="145">
        <f t="shared" si="114"/>
        <v>11602.637747076626</v>
      </c>
      <c r="AD142" s="147">
        <f t="shared" si="115"/>
        <v>819507.99497461261</v>
      </c>
      <c r="AE142" s="142">
        <v>4495</v>
      </c>
      <c r="AF142" s="145">
        <f t="shared" si="116"/>
        <v>4517.8323521404564</v>
      </c>
      <c r="AG142" s="147">
        <f t="shared" si="117"/>
        <v>431796.03184743854</v>
      </c>
      <c r="AH142" s="144">
        <f t="shared" si="118"/>
        <v>2699517.7772004446</v>
      </c>
      <c r="AI142" s="142">
        <v>392</v>
      </c>
      <c r="AJ142" s="145">
        <f t="shared" si="119"/>
        <v>393.99116396864491</v>
      </c>
      <c r="AK142" s="147">
        <f t="shared" si="120"/>
        <v>1216013.2370511484</v>
      </c>
      <c r="AL142" s="142">
        <v>1990</v>
      </c>
      <c r="AM142" s="145">
        <f t="shared" si="121"/>
        <v>2000.108204840825</v>
      </c>
      <c r="AN142" s="147">
        <f t="shared" si="122"/>
        <v>1019482.8301501515</v>
      </c>
      <c r="AO142" s="142">
        <v>706</v>
      </c>
      <c r="AP142" s="145">
        <f t="shared" si="123"/>
        <v>709.58612694352882</v>
      </c>
      <c r="AQ142" s="147">
        <f t="shared" si="124"/>
        <v>1249836.1171513954</v>
      </c>
      <c r="AR142" s="142">
        <v>1027</v>
      </c>
      <c r="AS142" s="145">
        <f t="shared" si="125"/>
        <v>1032.2166464178529</v>
      </c>
      <c r="AT142" s="147">
        <f t="shared" si="126"/>
        <v>1493265.7645965607</v>
      </c>
      <c r="AU142" s="144">
        <f t="shared" si="127"/>
        <v>31107016.081537902</v>
      </c>
      <c r="AV142" s="148">
        <f>INDEX('Baselines+Historic Spend Factor'!P$9:P$159,MATCH('2019-20 StepbyStep Allocations'!C142,'Baselines+Historic Spend Factor'!C$9:C$159,0))</f>
        <v>28841617.018459104</v>
      </c>
      <c r="AW142" s="149">
        <v>56035.665000000001</v>
      </c>
      <c r="AX142" s="150">
        <f t="shared" si="128"/>
        <v>514.7010750824337</v>
      </c>
      <c r="AY142" s="148">
        <f t="shared" si="129"/>
        <v>519.8480858332581</v>
      </c>
      <c r="AZ142" s="148">
        <f t="shared" si="130"/>
        <v>541.32443736252685</v>
      </c>
      <c r="BA142" s="148">
        <f t="shared" si="131"/>
        <v>541.32443736252685</v>
      </c>
      <c r="BB142" s="151">
        <f t="shared" si="132"/>
        <v>0</v>
      </c>
      <c r="BC142" s="148">
        <f t="shared" si="133"/>
        <v>0</v>
      </c>
      <c r="BD142" s="144">
        <f t="shared" si="134"/>
        <v>0</v>
      </c>
      <c r="BE142" s="144">
        <f t="shared" si="95"/>
        <v>31107016.081537902</v>
      </c>
      <c r="BF142" s="144">
        <f>INDEX('Hospital Education Funding'!$G$9:$G$159,MATCH(C142,'Hospital Education Funding'!$C$9:$C$158,0))</f>
        <v>441370</v>
      </c>
      <c r="BG142" s="152">
        <f>INDEX('Import|Export Adjustments Data'!$Q$9:$Q$159,MATCH('2019-20 StepbyStep Allocations'!$C142,'Import|Export Adjustments Data'!$C$9:$C$159,0))</f>
        <v>41</v>
      </c>
      <c r="BH142" s="144">
        <f t="shared" si="135"/>
        <v>246000</v>
      </c>
      <c r="BI142" s="153">
        <f>INDEX('Baselines+Historic Spend Factor'!$F$9:$F$159,MATCH('2019-20 StepbyStep Allocations'!C142,'Baselines+Historic Spend Factor'!C$9:C$159,0))-INDEX('Baselines+Historic Spend Factor'!$G$9:$G$159,MATCH('2019-20 StepbyStep Allocations'!C142,'Baselines+Historic Spend Factor'!C$9:C$159,0))</f>
        <v>32534647.920206662</v>
      </c>
      <c r="BJ142" s="154">
        <f t="shared" si="96"/>
        <v>35107128.113274261</v>
      </c>
      <c r="BK142" s="155">
        <f t="shared" si="136"/>
        <v>7.9068942112936691E-2</v>
      </c>
      <c r="BL142" s="156">
        <f t="shared" si="137"/>
        <v>514.7010750824337</v>
      </c>
      <c r="BM142" s="148">
        <f t="shared" si="97"/>
        <v>541.32443736252685</v>
      </c>
      <c r="BN142" s="148">
        <f t="shared" si="138"/>
        <v>541.32443736252685</v>
      </c>
      <c r="BO142" s="148">
        <f t="shared" si="98"/>
        <v>31107016.081537902</v>
      </c>
      <c r="BP142" s="144">
        <f t="shared" si="99"/>
        <v>35107128.113274261</v>
      </c>
      <c r="BQ142" s="148">
        <v>33917166.66461987</v>
      </c>
      <c r="BR142" s="157">
        <f t="shared" si="94"/>
        <v>3.508434122522619E-2</v>
      </c>
      <c r="BT142" s="94"/>
      <c r="BU142" s="158"/>
      <c r="BX142" s="94"/>
    </row>
    <row r="143" spans="1:76" ht="15.4" x14ac:dyDescent="0.45">
      <c r="A143" s="139" t="s">
        <v>249</v>
      </c>
      <c r="B143" s="140" t="s">
        <v>238</v>
      </c>
      <c r="C143" s="102">
        <v>885</v>
      </c>
      <c r="D143" s="141" t="s">
        <v>252</v>
      </c>
      <c r="E143" s="348">
        <v>1</v>
      </c>
      <c r="F143" s="142">
        <v>1449.5</v>
      </c>
      <c r="G143" s="143">
        <f t="shared" si="100"/>
        <v>4000</v>
      </c>
      <c r="H143" s="144">
        <f t="shared" si="101"/>
        <v>5798000</v>
      </c>
      <c r="I143" s="144">
        <f>INDEX('Baselines+Historic Spend Factor'!$Q$9:$Q$159,MATCH(C143,'Baselines+Historic Spend Factor'!$C$9:$C$159,0))</f>
        <v>21006015.023500308</v>
      </c>
      <c r="J143" s="142">
        <v>111985.62099999998</v>
      </c>
      <c r="K143" s="145">
        <f t="shared" si="102"/>
        <v>111985.62099999998</v>
      </c>
      <c r="L143" s="144">
        <f t="shared" si="103"/>
        <v>13121747.991164334</v>
      </c>
      <c r="M143" s="142">
        <v>8206</v>
      </c>
      <c r="N143" s="145">
        <f t="shared" si="104"/>
        <v>8206</v>
      </c>
      <c r="O143" s="144">
        <f t="shared" si="105"/>
        <v>2013215.5094103049</v>
      </c>
      <c r="P143" s="142">
        <v>8645</v>
      </c>
      <c r="Q143" s="145">
        <f t="shared" si="106"/>
        <v>8645</v>
      </c>
      <c r="R143" s="147">
        <f t="shared" si="107"/>
        <v>294293.96847169794</v>
      </c>
      <c r="S143" s="142">
        <v>4792</v>
      </c>
      <c r="T143" s="145">
        <f t="shared" si="108"/>
        <v>4792</v>
      </c>
      <c r="U143" s="147">
        <f t="shared" si="109"/>
        <v>211867.19739111021</v>
      </c>
      <c r="V143" s="142">
        <v>5831</v>
      </c>
      <c r="W143" s="145">
        <f t="shared" si="110"/>
        <v>5831</v>
      </c>
      <c r="X143" s="147">
        <f t="shared" si="111"/>
        <v>351623.29914265638</v>
      </c>
      <c r="Y143" s="142">
        <v>4306</v>
      </c>
      <c r="Z143" s="145">
        <f t="shared" si="112"/>
        <v>4306</v>
      </c>
      <c r="AA143" s="147">
        <f t="shared" si="113"/>
        <v>277740.54507040512</v>
      </c>
      <c r="AB143" s="142">
        <v>4566</v>
      </c>
      <c r="AC143" s="145">
        <f t="shared" si="114"/>
        <v>4566</v>
      </c>
      <c r="AD143" s="147">
        <f t="shared" si="115"/>
        <v>322501.96779580362</v>
      </c>
      <c r="AE143" s="142">
        <v>1719</v>
      </c>
      <c r="AF143" s="145">
        <f t="shared" si="116"/>
        <v>1719</v>
      </c>
      <c r="AG143" s="147">
        <f t="shared" si="117"/>
        <v>164295.024890439</v>
      </c>
      <c r="AH143" s="144">
        <f t="shared" si="118"/>
        <v>1622322.0027621123</v>
      </c>
      <c r="AI143" s="142">
        <v>537</v>
      </c>
      <c r="AJ143" s="145">
        <f t="shared" si="119"/>
        <v>537</v>
      </c>
      <c r="AK143" s="147">
        <f t="shared" si="120"/>
        <v>1657395.3124198355</v>
      </c>
      <c r="AL143" s="142">
        <v>4080</v>
      </c>
      <c r="AM143" s="145">
        <f t="shared" si="121"/>
        <v>4080</v>
      </c>
      <c r="AN143" s="147">
        <f t="shared" si="122"/>
        <v>2079632.4603566353</v>
      </c>
      <c r="AO143" s="142">
        <v>1342</v>
      </c>
      <c r="AP143" s="145">
        <f t="shared" si="123"/>
        <v>1342</v>
      </c>
      <c r="AQ143" s="147">
        <f t="shared" si="124"/>
        <v>2363744.1679446138</v>
      </c>
      <c r="AR143" s="142">
        <v>1333</v>
      </c>
      <c r="AS143" s="145">
        <f t="shared" si="125"/>
        <v>1333</v>
      </c>
      <c r="AT143" s="147">
        <f t="shared" si="126"/>
        <v>1928396.7867743815</v>
      </c>
      <c r="AU143" s="144">
        <f t="shared" si="127"/>
        <v>45792469.254332528</v>
      </c>
      <c r="AV143" s="148">
        <f>INDEX('Baselines+Historic Spend Factor'!P$9:P$159,MATCH('2019-20 StepbyStep Allocations'!C143,'Baselines+Historic Spend Factor'!C$9:C$159,0))</f>
        <v>42012030.047000617</v>
      </c>
      <c r="AW143" s="149">
        <v>110836.435</v>
      </c>
      <c r="AX143" s="150">
        <f t="shared" si="128"/>
        <v>379.04530262995752</v>
      </c>
      <c r="AY143" s="148">
        <f t="shared" si="129"/>
        <v>382.83575565625711</v>
      </c>
      <c r="AZ143" s="148">
        <f t="shared" si="130"/>
        <v>408.91383059198762</v>
      </c>
      <c r="BA143" s="148">
        <f t="shared" si="131"/>
        <v>408.91383059198762</v>
      </c>
      <c r="BB143" s="151">
        <f t="shared" si="132"/>
        <v>0</v>
      </c>
      <c r="BC143" s="148">
        <f t="shared" si="133"/>
        <v>0</v>
      </c>
      <c r="BD143" s="144">
        <f t="shared" si="134"/>
        <v>0</v>
      </c>
      <c r="BE143" s="144">
        <f t="shared" si="95"/>
        <v>45792469.254332528</v>
      </c>
      <c r="BF143" s="144">
        <f>INDEX('Hospital Education Funding'!$G$9:$G$159,MATCH(C143,'Hospital Education Funding'!$C$9:$C$158,0))</f>
        <v>564590</v>
      </c>
      <c r="BG143" s="152">
        <f>INDEX('Import|Export Adjustments Data'!$Q$9:$Q$159,MATCH('2019-20 StepbyStep Allocations'!$C143,'Import|Export Adjustments Data'!$C$9:$C$159,0))</f>
        <v>-174</v>
      </c>
      <c r="BH143" s="144">
        <f t="shared" si="135"/>
        <v>-1044000</v>
      </c>
      <c r="BI143" s="153">
        <f>INDEX('Baselines+Historic Spend Factor'!$F$9:$F$159,MATCH('2019-20 StepbyStep Allocations'!C143,'Baselines+Historic Spend Factor'!C$9:C$159,0))-INDEX('Baselines+Historic Spend Factor'!$G$9:$G$159,MATCH('2019-20 StepbyStep Allocations'!C143,'Baselines+Historic Spend Factor'!C$9:C$159,0))</f>
        <v>47353030.047000617</v>
      </c>
      <c r="BJ143" s="154">
        <f t="shared" si="96"/>
        <v>51111059.254332528</v>
      </c>
      <c r="BK143" s="155">
        <f t="shared" si="136"/>
        <v>7.9361958539967858E-2</v>
      </c>
      <c r="BL143" s="156">
        <f t="shared" si="137"/>
        <v>379.04530262995752</v>
      </c>
      <c r="BM143" s="148">
        <f t="shared" si="97"/>
        <v>408.91383059198762</v>
      </c>
      <c r="BN143" s="148">
        <f t="shared" si="138"/>
        <v>402.12916156012193</v>
      </c>
      <c r="BO143" s="148">
        <f t="shared" si="98"/>
        <v>45032683.879519574</v>
      </c>
      <c r="BP143" s="144">
        <f t="shared" si="99"/>
        <v>50351273.879519574</v>
      </c>
      <c r="BQ143" s="148">
        <v>48619770.312857278</v>
      </c>
      <c r="BR143" s="157">
        <f t="shared" si="94"/>
        <v>3.561315809434018E-2</v>
      </c>
      <c r="BT143" s="94"/>
      <c r="BU143" s="158"/>
      <c r="BX143" s="94"/>
    </row>
    <row r="144" spans="1:76" ht="15.4" x14ac:dyDescent="0.45">
      <c r="A144" s="139" t="s">
        <v>201</v>
      </c>
      <c r="B144" s="140" t="s">
        <v>253</v>
      </c>
      <c r="C144" s="102">
        <v>370</v>
      </c>
      <c r="D144" s="141" t="s">
        <v>254</v>
      </c>
      <c r="E144" s="348">
        <v>1</v>
      </c>
      <c r="F144" s="142">
        <v>459</v>
      </c>
      <c r="G144" s="143">
        <f t="shared" si="100"/>
        <v>4000</v>
      </c>
      <c r="H144" s="144">
        <f t="shared" si="101"/>
        <v>1836000</v>
      </c>
      <c r="I144" s="144">
        <f>INDEX('Baselines+Historic Spend Factor'!$Q$9:$Q$159,MATCH(C144,'Baselines+Historic Spend Factor'!$C$9:$C$159,0))</f>
        <v>9790872.6542681213</v>
      </c>
      <c r="J144" s="142">
        <v>47999.452000000005</v>
      </c>
      <c r="K144" s="145">
        <f t="shared" si="102"/>
        <v>47999.452000000005</v>
      </c>
      <c r="L144" s="144">
        <f t="shared" si="103"/>
        <v>5624264.1442153454</v>
      </c>
      <c r="M144" s="142">
        <v>6014</v>
      </c>
      <c r="N144" s="145">
        <f t="shared" si="104"/>
        <v>6014</v>
      </c>
      <c r="O144" s="144">
        <f t="shared" si="105"/>
        <v>1475442.1244934895</v>
      </c>
      <c r="P144" s="142">
        <v>5402</v>
      </c>
      <c r="Q144" s="145">
        <f t="shared" si="106"/>
        <v>5402</v>
      </c>
      <c r="R144" s="147">
        <f t="shared" si="107"/>
        <v>183895.43293049306</v>
      </c>
      <c r="S144" s="142">
        <v>5438</v>
      </c>
      <c r="T144" s="145">
        <f t="shared" si="108"/>
        <v>5438</v>
      </c>
      <c r="U144" s="147">
        <f t="shared" si="109"/>
        <v>240428.59336662298</v>
      </c>
      <c r="V144" s="142">
        <v>5032</v>
      </c>
      <c r="W144" s="145">
        <f t="shared" si="110"/>
        <v>5032</v>
      </c>
      <c r="X144" s="147">
        <f t="shared" si="111"/>
        <v>303441.68089278799</v>
      </c>
      <c r="Y144" s="142">
        <v>2797</v>
      </c>
      <c r="Z144" s="145">
        <f t="shared" si="112"/>
        <v>2797</v>
      </c>
      <c r="AA144" s="147">
        <f t="shared" si="113"/>
        <v>180408.80273151954</v>
      </c>
      <c r="AB144" s="142">
        <v>7810</v>
      </c>
      <c r="AC144" s="145">
        <f t="shared" si="114"/>
        <v>7810</v>
      </c>
      <c r="AD144" s="147">
        <f t="shared" si="115"/>
        <v>551629.51565598464</v>
      </c>
      <c r="AE144" s="142">
        <v>1162</v>
      </c>
      <c r="AF144" s="145">
        <f t="shared" si="116"/>
        <v>1162</v>
      </c>
      <c r="AG144" s="147">
        <f t="shared" si="117"/>
        <v>111059.23148498553</v>
      </c>
      <c r="AH144" s="144">
        <f t="shared" si="118"/>
        <v>1570863.2570623937</v>
      </c>
      <c r="AI144" s="142">
        <v>308</v>
      </c>
      <c r="AJ144" s="145">
        <f t="shared" si="119"/>
        <v>308</v>
      </c>
      <c r="AK144" s="147">
        <f t="shared" si="120"/>
        <v>950610.34678828542</v>
      </c>
      <c r="AL144" s="142">
        <v>2210</v>
      </c>
      <c r="AM144" s="145">
        <f t="shared" si="121"/>
        <v>2210</v>
      </c>
      <c r="AN144" s="147">
        <f t="shared" si="122"/>
        <v>1126467.5826931773</v>
      </c>
      <c r="AO144" s="142">
        <v>581</v>
      </c>
      <c r="AP144" s="145">
        <f t="shared" si="123"/>
        <v>581</v>
      </c>
      <c r="AQ144" s="147">
        <f t="shared" si="124"/>
        <v>1023349.7478210287</v>
      </c>
      <c r="AR144" s="142">
        <v>732</v>
      </c>
      <c r="AS144" s="145">
        <f t="shared" si="125"/>
        <v>732</v>
      </c>
      <c r="AT144" s="147">
        <f t="shared" si="126"/>
        <v>1058954.5745827814</v>
      </c>
      <c r="AU144" s="144">
        <f t="shared" si="127"/>
        <v>22620824.431924626</v>
      </c>
      <c r="AV144" s="148">
        <f>INDEX('Baselines+Historic Spend Factor'!P$9:P$159,MATCH('2019-20 StepbyStep Allocations'!C144,'Baselines+Historic Spend Factor'!C$9:C$159,0))</f>
        <v>19581745.308536243</v>
      </c>
      <c r="AW144" s="149">
        <v>47288.775000000001</v>
      </c>
      <c r="AX144" s="150">
        <f t="shared" si="128"/>
        <v>414.08865652654868</v>
      </c>
      <c r="AY144" s="148">
        <f t="shared" si="129"/>
        <v>418.22954309181415</v>
      </c>
      <c r="AZ144" s="148">
        <f t="shared" si="130"/>
        <v>471.27255602677764</v>
      </c>
      <c r="BA144" s="148">
        <f t="shared" si="131"/>
        <v>471.27255602677764</v>
      </c>
      <c r="BB144" s="151">
        <f t="shared" si="132"/>
        <v>0</v>
      </c>
      <c r="BC144" s="148">
        <f t="shared" si="133"/>
        <v>0</v>
      </c>
      <c r="BD144" s="144">
        <f t="shared" si="134"/>
        <v>0</v>
      </c>
      <c r="BE144" s="144">
        <f t="shared" si="95"/>
        <v>22620824.431924626</v>
      </c>
      <c r="BF144" s="144">
        <f>INDEX('Hospital Education Funding'!$G$9:$G$159,MATCH(C144,'Hospital Education Funding'!$C$9:$C$158,0))</f>
        <v>0</v>
      </c>
      <c r="BG144" s="152">
        <f>INDEX('Import|Export Adjustments Data'!$Q$9:$Q$159,MATCH('2019-20 StepbyStep Allocations'!$C144,'Import|Export Adjustments Data'!$C$9:$C$159,0))</f>
        <v>-65.5</v>
      </c>
      <c r="BH144" s="144">
        <f t="shared" si="135"/>
        <v>-393000</v>
      </c>
      <c r="BI144" s="153">
        <f>INDEX('Baselines+Historic Spend Factor'!$F$9:$F$159,MATCH('2019-20 StepbyStep Allocations'!C144,'Baselines+Historic Spend Factor'!C$9:C$159,0))-INDEX('Baselines+Historic Spend Factor'!$G$9:$G$159,MATCH('2019-20 StepbyStep Allocations'!C144,'Baselines+Historic Spend Factor'!C$9:C$159,0))</f>
        <v>21199745.308536243</v>
      </c>
      <c r="BJ144" s="154">
        <f t="shared" si="96"/>
        <v>24063824.431924626</v>
      </c>
      <c r="BK144" s="155">
        <f t="shared" si="136"/>
        <v>0.1350996949116714</v>
      </c>
      <c r="BL144" s="156">
        <f t="shared" si="137"/>
        <v>414.08865652654868</v>
      </c>
      <c r="BM144" s="148">
        <f t="shared" si="97"/>
        <v>471.27255602677764</v>
      </c>
      <c r="BN144" s="148">
        <f t="shared" si="138"/>
        <v>439.30665570901544</v>
      </c>
      <c r="BO144" s="148">
        <f t="shared" si="98"/>
        <v>21086478.733985417</v>
      </c>
      <c r="BP144" s="144">
        <f t="shared" si="99"/>
        <v>22529478.733985417</v>
      </c>
      <c r="BQ144" s="148">
        <v>21703948.797085032</v>
      </c>
      <c r="BR144" s="157">
        <f t="shared" si="94"/>
        <v>3.8035932752074064E-2</v>
      </c>
      <c r="BT144" s="94"/>
      <c r="BU144" s="158"/>
      <c r="BX144" s="94"/>
    </row>
    <row r="145" spans="1:76" ht="15.4" x14ac:dyDescent="0.45">
      <c r="A145" s="139" t="s">
        <v>143</v>
      </c>
      <c r="B145" s="140" t="s">
        <v>253</v>
      </c>
      <c r="C145" s="102">
        <v>380</v>
      </c>
      <c r="D145" s="141" t="s">
        <v>255</v>
      </c>
      <c r="E145" s="348">
        <v>1.0002429734488885</v>
      </c>
      <c r="F145" s="142">
        <v>1164</v>
      </c>
      <c r="G145" s="143">
        <f t="shared" si="100"/>
        <v>4000.971893795554</v>
      </c>
      <c r="H145" s="144">
        <f t="shared" si="101"/>
        <v>4657131.2843780247</v>
      </c>
      <c r="I145" s="144">
        <f>INDEX('Baselines+Historic Spend Factor'!$Q$9:$Q$159,MATCH(C145,'Baselines+Historic Spend Factor'!$C$9:$C$159,0))</f>
        <v>29371530.833876763</v>
      </c>
      <c r="J145" s="142">
        <v>133638.103</v>
      </c>
      <c r="K145" s="145">
        <f t="shared" si="102"/>
        <v>133670.57351078882</v>
      </c>
      <c r="L145" s="144">
        <f t="shared" si="103"/>
        <v>15662649.934699902</v>
      </c>
      <c r="M145" s="142">
        <v>18009</v>
      </c>
      <c r="N145" s="145">
        <f t="shared" si="104"/>
        <v>18013.375708841031</v>
      </c>
      <c r="O145" s="144">
        <f t="shared" si="105"/>
        <v>4419303.8452197909</v>
      </c>
      <c r="P145" s="142">
        <v>17301</v>
      </c>
      <c r="Q145" s="145">
        <f t="shared" si="106"/>
        <v>17305.203683639218</v>
      </c>
      <c r="R145" s="147">
        <f t="shared" si="107"/>
        <v>589105.50228678214</v>
      </c>
      <c r="S145" s="142">
        <v>22179</v>
      </c>
      <c r="T145" s="145">
        <f t="shared" si="108"/>
        <v>22184.388908122895</v>
      </c>
      <c r="U145" s="147">
        <f t="shared" si="109"/>
        <v>980831.44903973897</v>
      </c>
      <c r="V145" s="142">
        <v>17553</v>
      </c>
      <c r="W145" s="145">
        <f t="shared" si="110"/>
        <v>17557.26491294834</v>
      </c>
      <c r="X145" s="147">
        <f t="shared" si="111"/>
        <v>1058745.2259668151</v>
      </c>
      <c r="Y145" s="142">
        <v>8140</v>
      </c>
      <c r="Z145" s="145">
        <f t="shared" si="112"/>
        <v>8141.9778038739523</v>
      </c>
      <c r="AA145" s="147">
        <f t="shared" si="113"/>
        <v>525164.27152788942</v>
      </c>
      <c r="AB145" s="142">
        <v>15809</v>
      </c>
      <c r="AC145" s="145">
        <f t="shared" si="114"/>
        <v>15812.841167253478</v>
      </c>
      <c r="AD145" s="147">
        <f t="shared" si="115"/>
        <v>1116879.6305041041</v>
      </c>
      <c r="AE145" s="142">
        <v>4417</v>
      </c>
      <c r="AF145" s="145">
        <f t="shared" si="116"/>
        <v>4418.0732137237401</v>
      </c>
      <c r="AG145" s="147">
        <f t="shared" si="117"/>
        <v>422261.45934643614</v>
      </c>
      <c r="AH145" s="144">
        <f t="shared" si="118"/>
        <v>4692987.5386717664</v>
      </c>
      <c r="AI145" s="142">
        <v>1133</v>
      </c>
      <c r="AJ145" s="145">
        <f t="shared" si="119"/>
        <v>1133.2752889175906</v>
      </c>
      <c r="AK145" s="147">
        <f t="shared" si="120"/>
        <v>3497737.7123524193</v>
      </c>
      <c r="AL145" s="142">
        <v>4670</v>
      </c>
      <c r="AM145" s="145">
        <f t="shared" si="121"/>
        <v>4671.1346860063095</v>
      </c>
      <c r="AN145" s="147">
        <f t="shared" si="122"/>
        <v>2380941.9901265982</v>
      </c>
      <c r="AO145" s="142">
        <v>2072</v>
      </c>
      <c r="AP145" s="145">
        <f t="shared" si="123"/>
        <v>2072.5034409860968</v>
      </c>
      <c r="AQ145" s="147">
        <f t="shared" si="124"/>
        <v>3650423.1905186516</v>
      </c>
      <c r="AR145" s="142">
        <v>2251</v>
      </c>
      <c r="AS145" s="145">
        <f t="shared" si="125"/>
        <v>2251.5469332334478</v>
      </c>
      <c r="AT145" s="147">
        <f t="shared" si="126"/>
        <v>3257221.2087915186</v>
      </c>
      <c r="AU145" s="144">
        <f t="shared" si="127"/>
        <v>66932796.254257411</v>
      </c>
      <c r="AV145" s="148">
        <f>INDEX('Baselines+Historic Spend Factor'!P$9:P$159,MATCH('2019-20 StepbyStep Allocations'!C145,'Baselines+Historic Spend Factor'!C$9:C$159,0))</f>
        <v>58743061.667753525</v>
      </c>
      <c r="AW145" s="149">
        <v>132796.64099999997</v>
      </c>
      <c r="AX145" s="150">
        <f t="shared" si="128"/>
        <v>442.35352058154496</v>
      </c>
      <c r="AY145" s="148">
        <f t="shared" si="129"/>
        <v>446.77705578736038</v>
      </c>
      <c r="AZ145" s="148">
        <f t="shared" si="130"/>
        <v>500.85114014419531</v>
      </c>
      <c r="BA145" s="148">
        <f t="shared" si="131"/>
        <v>500.85114014419531</v>
      </c>
      <c r="BB145" s="151">
        <f t="shared" si="132"/>
        <v>0</v>
      </c>
      <c r="BC145" s="148">
        <f t="shared" si="133"/>
        <v>0</v>
      </c>
      <c r="BD145" s="144">
        <f t="shared" si="134"/>
        <v>0</v>
      </c>
      <c r="BE145" s="144">
        <f t="shared" si="95"/>
        <v>66932796.254257411</v>
      </c>
      <c r="BF145" s="144">
        <f>INDEX('Hospital Education Funding'!$G$9:$G$159,MATCH(C145,'Hospital Education Funding'!$C$9:$C$158,0))</f>
        <v>1660440</v>
      </c>
      <c r="BG145" s="152">
        <f>INDEX('Import|Export Adjustments Data'!$Q$9:$Q$159,MATCH('2019-20 StepbyStep Allocations'!$C145,'Import|Export Adjustments Data'!$C$9:$C$159,0))</f>
        <v>-161</v>
      </c>
      <c r="BH145" s="144">
        <f t="shared" si="135"/>
        <v>-966000</v>
      </c>
      <c r="BI145" s="153">
        <f>INDEX('Baselines+Historic Spend Factor'!$F$9:$F$159,MATCH('2019-20 StepbyStep Allocations'!C145,'Baselines+Historic Spend Factor'!C$9:C$159,0))-INDEX('Baselines+Historic Spend Factor'!$G$9:$G$159,MATCH('2019-20 StepbyStep Allocations'!C145,'Baselines+Historic Spend Factor'!C$9:C$159,0))</f>
        <v>63840110.341158926</v>
      </c>
      <c r="BJ145" s="154">
        <f t="shared" si="96"/>
        <v>72284367.538635433</v>
      </c>
      <c r="BK145" s="155">
        <f t="shared" si="136"/>
        <v>0.13227197058950457</v>
      </c>
      <c r="BL145" s="156">
        <f t="shared" si="137"/>
        <v>442.35352058154496</v>
      </c>
      <c r="BM145" s="148">
        <f t="shared" si="97"/>
        <v>500.85114014419531</v>
      </c>
      <c r="BN145" s="148">
        <f t="shared" si="138"/>
        <v>469.29284998496104</v>
      </c>
      <c r="BO145" s="148">
        <f t="shared" si="98"/>
        <v>62715406.223453775</v>
      </c>
      <c r="BP145" s="144">
        <f t="shared" si="99"/>
        <v>68066977.507831797</v>
      </c>
      <c r="BQ145" s="148">
        <v>65877074.529594406</v>
      </c>
      <c r="BR145" s="157">
        <f t="shared" si="94"/>
        <v>3.3242262105212417E-2</v>
      </c>
      <c r="BT145" s="94"/>
      <c r="BU145" s="158"/>
      <c r="BX145" s="94"/>
    </row>
    <row r="146" spans="1:76" ht="15.4" x14ac:dyDescent="0.45">
      <c r="A146" s="139" t="s">
        <v>179</v>
      </c>
      <c r="B146" s="140" t="s">
        <v>253</v>
      </c>
      <c r="C146" s="102">
        <v>381</v>
      </c>
      <c r="D146" s="141" t="s">
        <v>256</v>
      </c>
      <c r="E146" s="348">
        <v>1.0002429734488885</v>
      </c>
      <c r="F146" s="142">
        <v>346</v>
      </c>
      <c r="G146" s="143">
        <f t="shared" si="100"/>
        <v>4000.971893795554</v>
      </c>
      <c r="H146" s="144">
        <f t="shared" si="101"/>
        <v>1384336.2752532617</v>
      </c>
      <c r="I146" s="144">
        <f>INDEX('Baselines+Historic Spend Factor'!$Q$9:$Q$159,MATCH(C146,'Baselines+Historic Spend Factor'!$C$9:$C$159,0))</f>
        <v>8241303.5069487244</v>
      </c>
      <c r="J146" s="142">
        <v>43946.24500000001</v>
      </c>
      <c r="K146" s="145">
        <f t="shared" si="102"/>
        <v>43956.922770713354</v>
      </c>
      <c r="L146" s="144">
        <f t="shared" si="103"/>
        <v>5150586.8156446069</v>
      </c>
      <c r="M146" s="142">
        <v>4896</v>
      </c>
      <c r="N146" s="145">
        <f t="shared" si="104"/>
        <v>4897.1895980057579</v>
      </c>
      <c r="O146" s="144">
        <f t="shared" si="105"/>
        <v>1201449.9209393137</v>
      </c>
      <c r="P146" s="142">
        <v>5491</v>
      </c>
      <c r="Q146" s="145">
        <f t="shared" si="106"/>
        <v>5492.3341672078468</v>
      </c>
      <c r="R146" s="147">
        <f t="shared" si="107"/>
        <v>186970.5978299937</v>
      </c>
      <c r="S146" s="142">
        <v>3287</v>
      </c>
      <c r="T146" s="145">
        <f t="shared" si="108"/>
        <v>3287.7986537264965</v>
      </c>
      <c r="U146" s="147">
        <f t="shared" si="109"/>
        <v>145362.41367931929</v>
      </c>
      <c r="V146" s="142">
        <v>5325</v>
      </c>
      <c r="W146" s="145">
        <f t="shared" si="110"/>
        <v>5326.2938336153311</v>
      </c>
      <c r="X146" s="147">
        <f t="shared" si="111"/>
        <v>321188.30560435768</v>
      </c>
      <c r="Y146" s="142">
        <v>2321</v>
      </c>
      <c r="Z146" s="145">
        <f t="shared" si="112"/>
        <v>2321.56394137487</v>
      </c>
      <c r="AA146" s="147">
        <f t="shared" si="113"/>
        <v>149742.78553024953</v>
      </c>
      <c r="AB146" s="142">
        <v>3296</v>
      </c>
      <c r="AC146" s="145">
        <f t="shared" si="114"/>
        <v>3296.8008404875363</v>
      </c>
      <c r="AD146" s="147">
        <f t="shared" si="115"/>
        <v>232856.93352783393</v>
      </c>
      <c r="AE146" s="142">
        <v>1772</v>
      </c>
      <c r="AF146" s="145">
        <f t="shared" si="116"/>
        <v>1772.4305489514304</v>
      </c>
      <c r="AG146" s="147">
        <f t="shared" si="117"/>
        <v>169401.6993348166</v>
      </c>
      <c r="AH146" s="144">
        <f t="shared" si="118"/>
        <v>1205522.7355065709</v>
      </c>
      <c r="AI146" s="142">
        <v>247</v>
      </c>
      <c r="AJ146" s="145">
        <f t="shared" si="119"/>
        <v>247.06001444187544</v>
      </c>
      <c r="AK146" s="147">
        <f t="shared" si="120"/>
        <v>762525.34417568182</v>
      </c>
      <c r="AL146" s="142">
        <v>1360</v>
      </c>
      <c r="AM146" s="145">
        <f t="shared" si="121"/>
        <v>1360.3304438904884</v>
      </c>
      <c r="AN146" s="147">
        <f t="shared" si="122"/>
        <v>693379.2519426496</v>
      </c>
      <c r="AO146" s="142">
        <v>472</v>
      </c>
      <c r="AP146" s="145">
        <f t="shared" si="123"/>
        <v>472.11468346787535</v>
      </c>
      <c r="AQ146" s="147">
        <f t="shared" si="124"/>
        <v>831563.5839405423</v>
      </c>
      <c r="AR146" s="142">
        <v>458</v>
      </c>
      <c r="AS146" s="145">
        <f t="shared" si="125"/>
        <v>458.1112818395909</v>
      </c>
      <c r="AT146" s="147">
        <f t="shared" si="126"/>
        <v>662730.92564483138</v>
      </c>
      <c r="AU146" s="144">
        <f t="shared" si="127"/>
        <v>18749062.084742919</v>
      </c>
      <c r="AV146" s="148">
        <f>INDEX('Baselines+Historic Spend Factor'!P$9:P$159,MATCH('2019-20 StepbyStep Allocations'!C146,'Baselines+Historic Spend Factor'!C$9:C$159,0))</f>
        <v>16482607.013897449</v>
      </c>
      <c r="AW146" s="149">
        <v>43752.070999999996</v>
      </c>
      <c r="AX146" s="150">
        <f t="shared" si="128"/>
        <v>376.72746997273453</v>
      </c>
      <c r="AY146" s="148">
        <f t="shared" si="129"/>
        <v>380.49474467246188</v>
      </c>
      <c r="AZ146" s="148">
        <f t="shared" si="130"/>
        <v>426.6362708518763</v>
      </c>
      <c r="BA146" s="148">
        <f t="shared" si="131"/>
        <v>426.6362708518763</v>
      </c>
      <c r="BB146" s="151">
        <f t="shared" si="132"/>
        <v>0</v>
      </c>
      <c r="BC146" s="148">
        <f t="shared" si="133"/>
        <v>0</v>
      </c>
      <c r="BD146" s="144">
        <f t="shared" si="134"/>
        <v>0</v>
      </c>
      <c r="BE146" s="144">
        <f t="shared" si="95"/>
        <v>18749062.084742919</v>
      </c>
      <c r="BF146" s="144">
        <f>INDEX('Hospital Education Funding'!$G$9:$G$159,MATCH(C146,'Hospital Education Funding'!$C$9:$C$158,0))</f>
        <v>0</v>
      </c>
      <c r="BG146" s="152">
        <f>INDEX('Import|Export Adjustments Data'!$Q$9:$Q$159,MATCH('2019-20 StepbyStep Allocations'!$C146,'Import|Export Adjustments Data'!$C$9:$C$159,0))</f>
        <v>-30</v>
      </c>
      <c r="BH146" s="144">
        <f t="shared" si="135"/>
        <v>-180000</v>
      </c>
      <c r="BI146" s="153">
        <f>INDEX('Baselines+Historic Spend Factor'!$F$9:$F$159,MATCH('2019-20 StepbyStep Allocations'!C146,'Baselines+Historic Spend Factor'!C$9:C$159,0))-INDEX('Baselines+Historic Spend Factor'!$G$9:$G$159,MATCH('2019-20 StepbyStep Allocations'!C146,'Baselines+Historic Spend Factor'!C$9:C$159,0))</f>
        <v>17576929.682637572</v>
      </c>
      <c r="BJ146" s="154">
        <f t="shared" si="96"/>
        <v>19953398.359996181</v>
      </c>
      <c r="BK146" s="155">
        <f t="shared" si="136"/>
        <v>0.13520385643381605</v>
      </c>
      <c r="BL146" s="156">
        <f t="shared" si="137"/>
        <v>376.72746997273453</v>
      </c>
      <c r="BM146" s="148">
        <f t="shared" si="97"/>
        <v>426.6362708518763</v>
      </c>
      <c r="BN146" s="148">
        <f t="shared" si="138"/>
        <v>399.67017289407403</v>
      </c>
      <c r="BO146" s="148">
        <f t="shared" si="98"/>
        <v>17564003.337195341</v>
      </c>
      <c r="BP146" s="144">
        <f t="shared" si="99"/>
        <v>18768339.612448603</v>
      </c>
      <c r="BQ146" s="148">
        <v>18215070.430559047</v>
      </c>
      <c r="BR146" s="157">
        <f t="shared" si="94"/>
        <v>3.037425432960994E-2</v>
      </c>
      <c r="BT146" s="94"/>
      <c r="BU146" s="158"/>
      <c r="BX146" s="94"/>
    </row>
    <row r="147" spans="1:76" ht="15.4" x14ac:dyDescent="0.45">
      <c r="A147" s="139" t="s">
        <v>250</v>
      </c>
      <c r="B147" s="140" t="s">
        <v>253</v>
      </c>
      <c r="C147" s="102">
        <v>371</v>
      </c>
      <c r="D147" s="141" t="s">
        <v>257</v>
      </c>
      <c r="E147" s="348">
        <v>1</v>
      </c>
      <c r="F147" s="142">
        <v>614</v>
      </c>
      <c r="G147" s="143">
        <f t="shared" si="100"/>
        <v>4000</v>
      </c>
      <c r="H147" s="144">
        <f t="shared" si="101"/>
        <v>2456000</v>
      </c>
      <c r="I147" s="144">
        <f>INDEX('Baselines+Historic Spend Factor'!$Q$9:$Q$159,MATCH(C147,'Baselines+Historic Spend Factor'!$C$9:$C$159,0))</f>
        <v>13370279.488845488</v>
      </c>
      <c r="J147" s="142">
        <v>62616.125</v>
      </c>
      <c r="K147" s="145">
        <f t="shared" si="102"/>
        <v>62616.125</v>
      </c>
      <c r="L147" s="144">
        <f t="shared" si="103"/>
        <v>7336950.9861738859</v>
      </c>
      <c r="M147" s="142">
        <v>7207.4999999999982</v>
      </c>
      <c r="N147" s="145">
        <f t="shared" si="104"/>
        <v>7207.4999999999982</v>
      </c>
      <c r="O147" s="144">
        <f t="shared" si="105"/>
        <v>1768248.9378594649</v>
      </c>
      <c r="P147" s="142">
        <v>8707</v>
      </c>
      <c r="Q147" s="145">
        <f t="shared" si="106"/>
        <v>8707</v>
      </c>
      <c r="R147" s="147">
        <f t="shared" si="107"/>
        <v>296404.57877189986</v>
      </c>
      <c r="S147" s="142">
        <v>2711</v>
      </c>
      <c r="T147" s="145">
        <f t="shared" si="108"/>
        <v>2711</v>
      </c>
      <c r="U147" s="147">
        <f t="shared" si="109"/>
        <v>119860.59518516273</v>
      </c>
      <c r="V147" s="142">
        <v>10168</v>
      </c>
      <c r="W147" s="145">
        <f t="shared" si="110"/>
        <v>10168</v>
      </c>
      <c r="X147" s="147">
        <f t="shared" si="111"/>
        <v>613154.81147016457</v>
      </c>
      <c r="Y147" s="142">
        <v>4865</v>
      </c>
      <c r="Z147" s="145">
        <f t="shared" si="112"/>
        <v>4865</v>
      </c>
      <c r="AA147" s="147">
        <f t="shared" si="113"/>
        <v>313796.50528739457</v>
      </c>
      <c r="AB147" s="142">
        <v>8337</v>
      </c>
      <c r="AC147" s="145">
        <f t="shared" si="114"/>
        <v>8337</v>
      </c>
      <c r="AD147" s="147">
        <f t="shared" si="115"/>
        <v>588852.14750626695</v>
      </c>
      <c r="AE147" s="142">
        <v>1958</v>
      </c>
      <c r="AF147" s="145">
        <f t="shared" si="116"/>
        <v>1958</v>
      </c>
      <c r="AG147" s="147">
        <f t="shared" si="117"/>
        <v>187137.67233012189</v>
      </c>
      <c r="AH147" s="144">
        <f t="shared" si="118"/>
        <v>2119206.3105510105</v>
      </c>
      <c r="AI147" s="142">
        <v>372</v>
      </c>
      <c r="AJ147" s="145">
        <f t="shared" si="119"/>
        <v>372</v>
      </c>
      <c r="AK147" s="147">
        <f t="shared" si="120"/>
        <v>1148139.7694975394</v>
      </c>
      <c r="AL147" s="142">
        <v>2370</v>
      </c>
      <c r="AM147" s="145">
        <f t="shared" si="121"/>
        <v>2370</v>
      </c>
      <c r="AN147" s="147">
        <f t="shared" si="122"/>
        <v>1208021.7968248103</v>
      </c>
      <c r="AO147" s="142">
        <v>815</v>
      </c>
      <c r="AP147" s="145">
        <f t="shared" si="123"/>
        <v>815</v>
      </c>
      <c r="AQ147" s="147">
        <f t="shared" si="124"/>
        <v>1435507.8218143519</v>
      </c>
      <c r="AR147" s="142">
        <v>1029</v>
      </c>
      <c r="AS147" s="145">
        <f t="shared" si="125"/>
        <v>1029</v>
      </c>
      <c r="AT147" s="147">
        <f t="shared" si="126"/>
        <v>1488612.3732864505</v>
      </c>
      <c r="AU147" s="144">
        <f t="shared" si="127"/>
        <v>29874967.484852999</v>
      </c>
      <c r="AV147" s="148">
        <f>INDEX('Baselines+Historic Spend Factor'!P$9:P$159,MATCH('2019-20 StepbyStep Allocations'!C147,'Baselines+Historic Spend Factor'!C$9:C$159,0))</f>
        <v>26740558.977690976</v>
      </c>
      <c r="AW147" s="149">
        <v>62091.608</v>
      </c>
      <c r="AX147" s="150">
        <f t="shared" si="128"/>
        <v>430.66301290974741</v>
      </c>
      <c r="AY147" s="148">
        <f t="shared" si="129"/>
        <v>434.96964303884488</v>
      </c>
      <c r="AZ147" s="148">
        <f t="shared" si="130"/>
        <v>477.11300379659394</v>
      </c>
      <c r="BA147" s="148">
        <f t="shared" si="131"/>
        <v>477.11300379659394</v>
      </c>
      <c r="BB147" s="151">
        <f t="shared" si="132"/>
        <v>0</v>
      </c>
      <c r="BC147" s="148">
        <f t="shared" si="133"/>
        <v>0</v>
      </c>
      <c r="BD147" s="144">
        <f t="shared" si="134"/>
        <v>0</v>
      </c>
      <c r="BE147" s="144">
        <f t="shared" si="95"/>
        <v>29874967.484852999</v>
      </c>
      <c r="BF147" s="144">
        <f>INDEX('Hospital Education Funding'!$G$9:$G$159,MATCH(C147,'Hospital Education Funding'!$C$9:$C$158,0))</f>
        <v>258560</v>
      </c>
      <c r="BG147" s="152">
        <f>INDEX('Import|Export Adjustments Data'!$Q$9:$Q$159,MATCH('2019-20 StepbyStep Allocations'!$C147,'Import|Export Adjustments Data'!$C$9:$C$159,0))</f>
        <v>-43.5</v>
      </c>
      <c r="BH147" s="144">
        <f t="shared" si="135"/>
        <v>-261000</v>
      </c>
      <c r="BI147" s="153">
        <f>INDEX('Baselines+Historic Spend Factor'!$F$9:$F$159,MATCH('2019-20 StepbyStep Allocations'!C147,'Baselines+Historic Spend Factor'!C$9:C$159,0))-INDEX('Baselines+Historic Spend Factor'!$G$9:$G$159,MATCH('2019-20 StepbyStep Allocations'!C147,'Baselines+Historic Spend Factor'!C$9:C$159,0))</f>
        <v>28872558.977690976</v>
      </c>
      <c r="BJ147" s="154">
        <f t="shared" si="96"/>
        <v>32328527.484852999</v>
      </c>
      <c r="BK147" s="155">
        <f t="shared" si="136"/>
        <v>0.11969733994940857</v>
      </c>
      <c r="BL147" s="156">
        <f t="shared" si="137"/>
        <v>430.66301290974741</v>
      </c>
      <c r="BM147" s="148">
        <f t="shared" si="97"/>
        <v>477.11300379659394</v>
      </c>
      <c r="BN147" s="148">
        <f t="shared" si="138"/>
        <v>456.89039039595099</v>
      </c>
      <c r="BO147" s="148">
        <f t="shared" si="98"/>
        <v>28608705.796331666</v>
      </c>
      <c r="BP147" s="144">
        <f t="shared" si="99"/>
        <v>31062265.796331666</v>
      </c>
      <c r="BQ147" s="148">
        <v>30008575.706280474</v>
      </c>
      <c r="BR147" s="157">
        <f t="shared" si="94"/>
        <v>3.5112965719018341E-2</v>
      </c>
      <c r="BT147" s="94"/>
      <c r="BU147" s="158"/>
      <c r="BX147" s="94"/>
    </row>
    <row r="148" spans="1:76" ht="15.4" x14ac:dyDescent="0.45">
      <c r="A148" s="139" t="s">
        <v>218</v>
      </c>
      <c r="B148" s="140" t="s">
        <v>253</v>
      </c>
      <c r="C148" s="102">
        <v>811</v>
      </c>
      <c r="D148" s="141" t="s">
        <v>258</v>
      </c>
      <c r="E148" s="348">
        <v>1</v>
      </c>
      <c r="F148" s="142">
        <v>397</v>
      </c>
      <c r="G148" s="143">
        <f t="shared" si="100"/>
        <v>4000</v>
      </c>
      <c r="H148" s="144">
        <f t="shared" si="101"/>
        <v>1588000</v>
      </c>
      <c r="I148" s="144">
        <f>INDEX('Baselines+Historic Spend Factor'!$Q$9:$Q$159,MATCH(C148,'Baselines+Historic Spend Factor'!$C$9:$C$159,0))</f>
        <v>10156248</v>
      </c>
      <c r="J148" s="142">
        <v>60521.923000000003</v>
      </c>
      <c r="K148" s="145">
        <f t="shared" si="102"/>
        <v>60521.923000000003</v>
      </c>
      <c r="L148" s="144">
        <f t="shared" si="103"/>
        <v>7091565.9926255411</v>
      </c>
      <c r="M148" s="142">
        <v>5029.5000000000027</v>
      </c>
      <c r="N148" s="145">
        <f t="shared" si="104"/>
        <v>5029.5000000000027</v>
      </c>
      <c r="O148" s="144">
        <f t="shared" si="105"/>
        <v>1233910.2369704039</v>
      </c>
      <c r="P148" s="142">
        <v>5599</v>
      </c>
      <c r="Q148" s="145">
        <f t="shared" si="106"/>
        <v>5599</v>
      </c>
      <c r="R148" s="147">
        <f t="shared" si="107"/>
        <v>190601.72694887646</v>
      </c>
      <c r="S148" s="142">
        <v>2313</v>
      </c>
      <c r="T148" s="145">
        <f t="shared" si="108"/>
        <v>2313</v>
      </c>
      <c r="U148" s="147">
        <f t="shared" si="109"/>
        <v>102263.94565226168</v>
      </c>
      <c r="V148" s="142">
        <v>1906</v>
      </c>
      <c r="W148" s="145">
        <f t="shared" si="110"/>
        <v>1906</v>
      </c>
      <c r="X148" s="147">
        <f t="shared" si="111"/>
        <v>114936.3759502492</v>
      </c>
      <c r="Y148" s="142">
        <v>2062</v>
      </c>
      <c r="Z148" s="145">
        <f t="shared" si="112"/>
        <v>2062</v>
      </c>
      <c r="AA148" s="147">
        <f t="shared" si="113"/>
        <v>133000.69761615776</v>
      </c>
      <c r="AB148" s="142">
        <v>1470</v>
      </c>
      <c r="AC148" s="145">
        <f t="shared" si="114"/>
        <v>1470</v>
      </c>
      <c r="AD148" s="147">
        <f t="shared" si="115"/>
        <v>103827.83457289341</v>
      </c>
      <c r="AE148" s="142">
        <v>226</v>
      </c>
      <c r="AF148" s="145">
        <f t="shared" si="116"/>
        <v>226</v>
      </c>
      <c r="AG148" s="147">
        <f t="shared" si="117"/>
        <v>21600.160340453294</v>
      </c>
      <c r="AH148" s="144">
        <f t="shared" si="118"/>
        <v>666230.74108089181</v>
      </c>
      <c r="AI148" s="142">
        <v>254</v>
      </c>
      <c r="AJ148" s="145">
        <f t="shared" si="119"/>
        <v>254</v>
      </c>
      <c r="AK148" s="147">
        <f t="shared" si="120"/>
        <v>783944.8963773523</v>
      </c>
      <c r="AL148" s="142">
        <v>1700</v>
      </c>
      <c r="AM148" s="145">
        <f t="shared" si="121"/>
        <v>1700</v>
      </c>
      <c r="AN148" s="147">
        <f t="shared" si="122"/>
        <v>866513.52514859801</v>
      </c>
      <c r="AO148" s="142">
        <v>511</v>
      </c>
      <c r="AP148" s="145">
        <f t="shared" si="123"/>
        <v>511</v>
      </c>
      <c r="AQ148" s="147">
        <f t="shared" si="124"/>
        <v>900054.59748114576</v>
      </c>
      <c r="AR148" s="142">
        <v>662</v>
      </c>
      <c r="AS148" s="145">
        <f t="shared" si="125"/>
        <v>662</v>
      </c>
      <c r="AT148" s="147">
        <f t="shared" si="126"/>
        <v>957688.42674016557</v>
      </c>
      <c r="AU148" s="144">
        <f t="shared" si="127"/>
        <v>22656156.416424096</v>
      </c>
      <c r="AV148" s="148">
        <f>INDEX('Baselines+Historic Spend Factor'!P$9:P$159,MATCH('2019-20 StepbyStep Allocations'!C148,'Baselines+Historic Spend Factor'!C$9:C$159,0))</f>
        <v>20312496</v>
      </c>
      <c r="AW148" s="149">
        <v>60639.392999999996</v>
      </c>
      <c r="AX148" s="150">
        <f t="shared" si="128"/>
        <v>334.97195461702597</v>
      </c>
      <c r="AY148" s="148">
        <f t="shared" si="129"/>
        <v>338.32167416319623</v>
      </c>
      <c r="AZ148" s="148">
        <f t="shared" si="130"/>
        <v>374.34627476103321</v>
      </c>
      <c r="BA148" s="148">
        <f t="shared" si="131"/>
        <v>374.34627476103321</v>
      </c>
      <c r="BB148" s="151">
        <f t="shared" si="132"/>
        <v>0</v>
      </c>
      <c r="BC148" s="148">
        <f t="shared" si="133"/>
        <v>0</v>
      </c>
      <c r="BD148" s="144">
        <f t="shared" si="134"/>
        <v>0</v>
      </c>
      <c r="BE148" s="144">
        <f t="shared" si="95"/>
        <v>22656156.416424096</v>
      </c>
      <c r="BF148" s="144">
        <f>INDEX('Hospital Education Funding'!$G$9:$G$159,MATCH(C148,'Hospital Education Funding'!$C$9:$C$158,0))</f>
        <v>0</v>
      </c>
      <c r="BG148" s="152">
        <f>INDEX('Import|Export Adjustments Data'!$Q$9:$Q$159,MATCH('2019-20 StepbyStep Allocations'!$C148,'Import|Export Adjustments Data'!$C$9:$C$159,0))</f>
        <v>-71.5</v>
      </c>
      <c r="BH148" s="144">
        <f t="shared" si="135"/>
        <v>-429000</v>
      </c>
      <c r="BI148" s="153">
        <f>INDEX('Baselines+Historic Spend Factor'!$F$9:$F$159,MATCH('2019-20 StepbyStep Allocations'!C148,'Baselines+Historic Spend Factor'!C$9:C$159,0))-INDEX('Baselines+Historic Spend Factor'!$G$9:$G$159,MATCH('2019-20 StepbyStep Allocations'!C148,'Baselines+Historic Spend Factor'!C$9:C$159,0))</f>
        <v>21526496</v>
      </c>
      <c r="BJ148" s="154">
        <f t="shared" si="96"/>
        <v>23815156.416424096</v>
      </c>
      <c r="BK148" s="155">
        <f t="shared" si="136"/>
        <v>0.10631829799072245</v>
      </c>
      <c r="BL148" s="156">
        <f t="shared" si="137"/>
        <v>334.97195461702597</v>
      </c>
      <c r="BM148" s="148">
        <f t="shared" si="97"/>
        <v>374.34627476103321</v>
      </c>
      <c r="BN148" s="148">
        <f t="shared" si="138"/>
        <v>355.37174665320282</v>
      </c>
      <c r="BO148" s="148">
        <f t="shared" si="98"/>
        <v>21507781.48732065</v>
      </c>
      <c r="BP148" s="144">
        <f t="shared" si="99"/>
        <v>22666781.48732065</v>
      </c>
      <c r="BQ148" s="148">
        <v>22065372.716564544</v>
      </c>
      <c r="BR148" s="157">
        <f t="shared" si="94"/>
        <v>2.7255772131355327E-2</v>
      </c>
      <c r="BT148" s="94"/>
      <c r="BU148" s="158"/>
      <c r="BX148" s="94"/>
    </row>
    <row r="149" spans="1:76" ht="15.4" x14ac:dyDescent="0.45">
      <c r="A149" s="139" t="s">
        <v>219</v>
      </c>
      <c r="B149" s="140" t="s">
        <v>253</v>
      </c>
      <c r="C149" s="102">
        <v>810</v>
      </c>
      <c r="D149" s="141" t="s">
        <v>259</v>
      </c>
      <c r="E149" s="348">
        <v>1</v>
      </c>
      <c r="F149" s="142">
        <v>625</v>
      </c>
      <c r="G149" s="143">
        <f t="shared" si="100"/>
        <v>4000</v>
      </c>
      <c r="H149" s="144">
        <f t="shared" si="101"/>
        <v>2500000</v>
      </c>
      <c r="I149" s="144">
        <f>INDEX('Baselines+Historic Spend Factor'!$Q$9:$Q$159,MATCH(C149,'Baselines+Historic Spend Factor'!$C$9:$C$159,0))</f>
        <v>12464500</v>
      </c>
      <c r="J149" s="142">
        <v>53226.142000000007</v>
      </c>
      <c r="K149" s="145">
        <f t="shared" si="102"/>
        <v>53226.142000000007</v>
      </c>
      <c r="L149" s="144">
        <f t="shared" si="103"/>
        <v>6236693.7436184585</v>
      </c>
      <c r="M149" s="142">
        <v>9237.5000000000036</v>
      </c>
      <c r="N149" s="145">
        <f t="shared" si="104"/>
        <v>9237.5000000000036</v>
      </c>
      <c r="O149" s="144">
        <f t="shared" si="105"/>
        <v>2266278.1218837071</v>
      </c>
      <c r="P149" s="142">
        <v>3529</v>
      </c>
      <c r="Q149" s="145">
        <f t="shared" si="106"/>
        <v>3529</v>
      </c>
      <c r="R149" s="147">
        <f t="shared" si="107"/>
        <v>120134.57660342651</v>
      </c>
      <c r="S149" s="142">
        <v>3446</v>
      </c>
      <c r="T149" s="145">
        <f t="shared" si="108"/>
        <v>3446</v>
      </c>
      <c r="U149" s="147">
        <f t="shared" si="109"/>
        <v>152356.92032758053</v>
      </c>
      <c r="V149" s="142">
        <v>3476</v>
      </c>
      <c r="W149" s="145">
        <f t="shared" si="110"/>
        <v>3476</v>
      </c>
      <c r="X149" s="147">
        <f t="shared" si="111"/>
        <v>209611.14522721208</v>
      </c>
      <c r="Y149" s="142">
        <v>3649</v>
      </c>
      <c r="Z149" s="145">
        <f t="shared" si="112"/>
        <v>3649</v>
      </c>
      <c r="AA149" s="147">
        <f t="shared" si="113"/>
        <v>235363.50417136744</v>
      </c>
      <c r="AB149" s="142">
        <v>9424</v>
      </c>
      <c r="AC149" s="145">
        <f t="shared" si="114"/>
        <v>9424</v>
      </c>
      <c r="AD149" s="147">
        <f t="shared" si="115"/>
        <v>665628.24014622276</v>
      </c>
      <c r="AE149" s="142">
        <v>13126</v>
      </c>
      <c r="AF149" s="145">
        <f t="shared" si="116"/>
        <v>13126</v>
      </c>
      <c r="AG149" s="147">
        <f t="shared" si="117"/>
        <v>1254529.6664990706</v>
      </c>
      <c r="AH149" s="144">
        <f t="shared" si="118"/>
        <v>2637624.0529748797</v>
      </c>
      <c r="AI149" s="142">
        <v>355</v>
      </c>
      <c r="AJ149" s="145">
        <f t="shared" si="119"/>
        <v>355</v>
      </c>
      <c r="AK149" s="147">
        <f t="shared" si="120"/>
        <v>1095671.0165903938</v>
      </c>
      <c r="AL149" s="142">
        <v>2120</v>
      </c>
      <c r="AM149" s="145">
        <f t="shared" si="121"/>
        <v>2120</v>
      </c>
      <c r="AN149" s="147">
        <f t="shared" si="122"/>
        <v>1080593.3372441339</v>
      </c>
      <c r="AO149" s="142">
        <v>604</v>
      </c>
      <c r="AP149" s="145">
        <f t="shared" si="123"/>
        <v>604</v>
      </c>
      <c r="AQ149" s="147">
        <f t="shared" si="124"/>
        <v>1063861.0115041332</v>
      </c>
      <c r="AR149" s="142">
        <v>691</v>
      </c>
      <c r="AS149" s="145">
        <f t="shared" si="125"/>
        <v>691</v>
      </c>
      <c r="AT149" s="147">
        <f t="shared" si="126"/>
        <v>999641.54513210629</v>
      </c>
      <c r="AU149" s="144">
        <f t="shared" si="127"/>
        <v>27844862.828947812</v>
      </c>
      <c r="AV149" s="148">
        <f>INDEX('Baselines+Historic Spend Factor'!P$9:P$159,MATCH('2019-20 StepbyStep Allocations'!C149,'Baselines+Historic Spend Factor'!C$9:C$159,0))</f>
        <v>24929000</v>
      </c>
      <c r="AW149" s="149">
        <v>52232.373</v>
      </c>
      <c r="AX149" s="150">
        <f t="shared" si="128"/>
        <v>477.27105946344807</v>
      </c>
      <c r="AY149" s="148">
        <f t="shared" si="129"/>
        <v>482.04377005808254</v>
      </c>
      <c r="AZ149" s="148">
        <f t="shared" si="130"/>
        <v>523.14260967754922</v>
      </c>
      <c r="BA149" s="148">
        <f t="shared" si="131"/>
        <v>523.14260967754922</v>
      </c>
      <c r="BB149" s="151">
        <f t="shared" si="132"/>
        <v>0</v>
      </c>
      <c r="BC149" s="148">
        <f t="shared" si="133"/>
        <v>0</v>
      </c>
      <c r="BD149" s="144">
        <f t="shared" si="134"/>
        <v>0</v>
      </c>
      <c r="BE149" s="144">
        <f t="shared" si="95"/>
        <v>27844862.828947812</v>
      </c>
      <c r="BF149" s="144">
        <f>INDEX('Hospital Education Funding'!$G$9:$G$159,MATCH(C149,'Hospital Education Funding'!$C$9:$C$158,0))</f>
        <v>0</v>
      </c>
      <c r="BG149" s="152">
        <f>INDEX('Import|Export Adjustments Data'!$Q$9:$Q$159,MATCH('2019-20 StepbyStep Allocations'!$C149,'Import|Export Adjustments Data'!$C$9:$C$159,0))</f>
        <v>28</v>
      </c>
      <c r="BH149" s="144">
        <f t="shared" si="135"/>
        <v>168000</v>
      </c>
      <c r="BI149" s="153">
        <f>INDEX('Baselines+Historic Spend Factor'!$F$9:$F$159,MATCH('2019-20 StepbyStep Allocations'!C149,'Baselines+Historic Spend Factor'!C$9:C$159,0))-INDEX('Baselines+Historic Spend Factor'!$G$9:$G$159,MATCH('2019-20 StepbyStep Allocations'!C149,'Baselines+Historic Spend Factor'!C$9:C$159,0))</f>
        <v>27369000</v>
      </c>
      <c r="BJ149" s="154">
        <f t="shared" si="96"/>
        <v>30512862.828947812</v>
      </c>
      <c r="BK149" s="155">
        <f t="shared" si="136"/>
        <v>0.11486948112637707</v>
      </c>
      <c r="BL149" s="156">
        <f t="shared" si="137"/>
        <v>477.27105946344807</v>
      </c>
      <c r="BM149" s="148">
        <f t="shared" si="97"/>
        <v>523.14260967754922</v>
      </c>
      <c r="BN149" s="148">
        <f t="shared" si="138"/>
        <v>506.33686698477203</v>
      </c>
      <c r="BO149" s="148">
        <f t="shared" si="98"/>
        <v>26950357.981966592</v>
      </c>
      <c r="BP149" s="144">
        <f t="shared" si="99"/>
        <v>29618357.981966592</v>
      </c>
      <c r="BQ149" s="148">
        <v>28472768.872592997</v>
      </c>
      <c r="BR149" s="157">
        <f t="shared" si="94"/>
        <v>4.0234552336646967E-2</v>
      </c>
      <c r="BT149" s="94"/>
      <c r="BU149" s="158"/>
      <c r="BX149" s="94"/>
    </row>
    <row r="150" spans="1:76" ht="15.4" x14ac:dyDescent="0.45">
      <c r="A150" s="139" t="s">
        <v>144</v>
      </c>
      <c r="B150" s="140" t="s">
        <v>253</v>
      </c>
      <c r="C150" s="102">
        <v>382</v>
      </c>
      <c r="D150" s="141" t="s">
        <v>260</v>
      </c>
      <c r="E150" s="348">
        <v>1.0002429734488885</v>
      </c>
      <c r="F150" s="142">
        <v>778</v>
      </c>
      <c r="G150" s="143">
        <f t="shared" si="100"/>
        <v>4000.971893795554</v>
      </c>
      <c r="H150" s="144">
        <f t="shared" si="101"/>
        <v>3112756.1333729411</v>
      </c>
      <c r="I150" s="144">
        <f>INDEX('Baselines+Historic Spend Factor'!$Q$9:$Q$159,MATCH(C150,'Baselines+Historic Spend Factor'!$C$9:$C$159,0))</f>
        <v>15415901.418451075</v>
      </c>
      <c r="J150" s="142">
        <v>94863.204000000012</v>
      </c>
      <c r="K150" s="145">
        <f t="shared" si="102"/>
        <v>94886.253239848505</v>
      </c>
      <c r="L150" s="144">
        <f t="shared" si="103"/>
        <v>11118155.096350206</v>
      </c>
      <c r="M150" s="142">
        <v>13000</v>
      </c>
      <c r="N150" s="145">
        <f t="shared" si="104"/>
        <v>13003.15865483555</v>
      </c>
      <c r="O150" s="144">
        <f t="shared" si="105"/>
        <v>3190124.3815790601</v>
      </c>
      <c r="P150" s="142">
        <v>14663</v>
      </c>
      <c r="Q150" s="145">
        <f t="shared" si="106"/>
        <v>14666.562719681051</v>
      </c>
      <c r="R150" s="147">
        <f t="shared" si="107"/>
        <v>499280.61846315744</v>
      </c>
      <c r="S150" s="142">
        <v>9073</v>
      </c>
      <c r="T150" s="145">
        <f t="shared" si="108"/>
        <v>9075.2044981017643</v>
      </c>
      <c r="U150" s="147">
        <f t="shared" si="109"/>
        <v>401239.17837312556</v>
      </c>
      <c r="V150" s="142">
        <v>5558</v>
      </c>
      <c r="W150" s="145">
        <f t="shared" si="110"/>
        <v>5559.3504464289217</v>
      </c>
      <c r="X150" s="147">
        <f t="shared" si="111"/>
        <v>335242.17888244503</v>
      </c>
      <c r="Y150" s="142">
        <v>4761</v>
      </c>
      <c r="Z150" s="145">
        <f t="shared" si="112"/>
        <v>4762.1567965901577</v>
      </c>
      <c r="AA150" s="147">
        <f t="shared" si="113"/>
        <v>307163.03399806889</v>
      </c>
      <c r="AB150" s="142">
        <v>4813</v>
      </c>
      <c r="AC150" s="145">
        <f t="shared" si="114"/>
        <v>4814.1694312095005</v>
      </c>
      <c r="AD150" s="147">
        <f t="shared" si="115"/>
        <v>340030.46755748324</v>
      </c>
      <c r="AE150" s="142">
        <v>911</v>
      </c>
      <c r="AF150" s="145">
        <f t="shared" si="116"/>
        <v>911.22134881193733</v>
      </c>
      <c r="AG150" s="147">
        <f t="shared" si="117"/>
        <v>87090.828495495429</v>
      </c>
      <c r="AH150" s="144">
        <f t="shared" si="118"/>
        <v>1970046.3057697755</v>
      </c>
      <c r="AI150" s="142">
        <v>604</v>
      </c>
      <c r="AJ150" s="145">
        <f t="shared" si="119"/>
        <v>604.14675596312861</v>
      </c>
      <c r="AK150" s="147">
        <f t="shared" si="120"/>
        <v>1864636.8740166472</v>
      </c>
      <c r="AL150" s="142">
        <v>2550</v>
      </c>
      <c r="AM150" s="145">
        <f t="shared" si="121"/>
        <v>2550.6195822946656</v>
      </c>
      <c r="AN150" s="147">
        <f t="shared" si="122"/>
        <v>1300086.0973924678</v>
      </c>
      <c r="AO150" s="142">
        <v>1148</v>
      </c>
      <c r="AP150" s="145">
        <f t="shared" si="123"/>
        <v>1148.278933519324</v>
      </c>
      <c r="AQ150" s="147">
        <f t="shared" si="124"/>
        <v>2022531.7677197936</v>
      </c>
      <c r="AR150" s="142">
        <v>986</v>
      </c>
      <c r="AS150" s="145">
        <f t="shared" si="125"/>
        <v>986.23957182060406</v>
      </c>
      <c r="AT150" s="147">
        <f t="shared" si="126"/>
        <v>1426752.6041174755</v>
      </c>
      <c r="AU150" s="144">
        <f t="shared" si="127"/>
        <v>38308234.545396499</v>
      </c>
      <c r="AV150" s="148">
        <f>INDEX('Baselines+Historic Spend Factor'!P$9:P$159,MATCH('2019-20 StepbyStep Allocations'!C150,'Baselines+Historic Spend Factor'!C$9:C$159,0))</f>
        <v>30831802.836902149</v>
      </c>
      <c r="AW150" s="149">
        <v>94018.171000000017</v>
      </c>
      <c r="AX150" s="150">
        <f t="shared" si="128"/>
        <v>327.93450998852279</v>
      </c>
      <c r="AY150" s="148">
        <f t="shared" si="129"/>
        <v>331.21385508840802</v>
      </c>
      <c r="AZ150" s="148">
        <f t="shared" si="130"/>
        <v>403.82606669490622</v>
      </c>
      <c r="BA150" s="148">
        <f t="shared" si="131"/>
        <v>403.82606669490622</v>
      </c>
      <c r="BB150" s="151">
        <f t="shared" si="132"/>
        <v>0</v>
      </c>
      <c r="BC150" s="148">
        <f t="shared" si="133"/>
        <v>0</v>
      </c>
      <c r="BD150" s="144">
        <f t="shared" si="134"/>
        <v>0</v>
      </c>
      <c r="BE150" s="144">
        <f t="shared" si="95"/>
        <v>38308234.545396499</v>
      </c>
      <c r="BF150" s="144">
        <f>INDEX('Hospital Education Funding'!$G$9:$G$159,MATCH(C150,'Hospital Education Funding'!$C$9:$C$158,0))</f>
        <v>0</v>
      </c>
      <c r="BG150" s="152">
        <f>INDEX('Import|Export Adjustments Data'!$Q$9:$Q$159,MATCH('2019-20 StepbyStep Allocations'!$C150,'Import|Export Adjustments Data'!$C$9:$C$159,0))</f>
        <v>-65</v>
      </c>
      <c r="BH150" s="144">
        <f t="shared" si="135"/>
        <v>-390000</v>
      </c>
      <c r="BI150" s="153">
        <f>INDEX('Baselines+Historic Spend Factor'!$F$9:$F$159,MATCH('2019-20 StepbyStep Allocations'!C150,'Baselines+Historic Spend Factor'!C$9:C$159,0))-INDEX('Baselines+Historic Spend Factor'!$G$9:$G$159,MATCH('2019-20 StepbyStep Allocations'!C150,'Baselines+Historic Spend Factor'!C$9:C$159,0))</f>
        <v>33624536.616717793</v>
      </c>
      <c r="BJ150" s="154">
        <f t="shared" si="96"/>
        <v>41030990.678769439</v>
      </c>
      <c r="BK150" s="155">
        <f t="shared" si="136"/>
        <v>0.22026932732120486</v>
      </c>
      <c r="BL150" s="156">
        <f t="shared" si="137"/>
        <v>327.93450998852279</v>
      </c>
      <c r="BM150" s="148">
        <f t="shared" si="97"/>
        <v>403.82606669490622</v>
      </c>
      <c r="BN150" s="148">
        <f t="shared" si="138"/>
        <v>347.90572164682379</v>
      </c>
      <c r="BO150" s="148">
        <f t="shared" si="98"/>
        <v>33003451.445349865</v>
      </c>
      <c r="BP150" s="144">
        <f t="shared" si="99"/>
        <v>35726207.578722805</v>
      </c>
      <c r="BQ150" s="148">
        <v>34619979.942316808</v>
      </c>
      <c r="BR150" s="157">
        <f t="shared" si="94"/>
        <v>3.1953445329811592E-2</v>
      </c>
      <c r="BT150" s="94"/>
      <c r="BU150" s="158"/>
      <c r="BX150" s="94"/>
    </row>
    <row r="151" spans="1:76" ht="15.4" x14ac:dyDescent="0.45">
      <c r="A151" s="139" t="s">
        <v>180</v>
      </c>
      <c r="B151" s="140" t="s">
        <v>253</v>
      </c>
      <c r="C151" s="102">
        <v>383</v>
      </c>
      <c r="D151" s="141" t="s">
        <v>261</v>
      </c>
      <c r="E151" s="348">
        <v>1.0002429734488885</v>
      </c>
      <c r="F151" s="142">
        <v>1314</v>
      </c>
      <c r="G151" s="143">
        <f t="shared" si="100"/>
        <v>4000.971893795554</v>
      </c>
      <c r="H151" s="144">
        <f t="shared" si="101"/>
        <v>5257277.068447358</v>
      </c>
      <c r="I151" s="144">
        <f>INDEX('Baselines+Historic Spend Factor'!$Q$9:$Q$159,MATCH(C151,'Baselines+Historic Spend Factor'!$C$9:$C$159,0))</f>
        <v>29213162.364319034</v>
      </c>
      <c r="J151" s="142">
        <v>159929.533</v>
      </c>
      <c r="K151" s="145">
        <f t="shared" si="102"/>
        <v>159968.39163021214</v>
      </c>
      <c r="L151" s="144">
        <f t="shared" si="103"/>
        <v>18744057.520773366</v>
      </c>
      <c r="M151" s="142">
        <v>18404.500000000004</v>
      </c>
      <c r="N151" s="145">
        <f t="shared" si="104"/>
        <v>18408.971804840072</v>
      </c>
      <c r="O151" s="144">
        <f t="shared" si="105"/>
        <v>4516357.2446747562</v>
      </c>
      <c r="P151" s="142">
        <v>10247</v>
      </c>
      <c r="Q151" s="145">
        <f t="shared" si="106"/>
        <v>10249.48974893076</v>
      </c>
      <c r="R151" s="147">
        <f t="shared" si="107"/>
        <v>348914.17154688499</v>
      </c>
      <c r="S151" s="142">
        <v>15893</v>
      </c>
      <c r="T151" s="145">
        <f t="shared" si="108"/>
        <v>15896.861577023185</v>
      </c>
      <c r="U151" s="147">
        <f t="shared" si="109"/>
        <v>702842.96945707989</v>
      </c>
      <c r="V151" s="142">
        <v>8939</v>
      </c>
      <c r="W151" s="145">
        <f t="shared" si="110"/>
        <v>8941.1719396596145</v>
      </c>
      <c r="X151" s="147">
        <f t="shared" si="111"/>
        <v>539174.13404645142</v>
      </c>
      <c r="Y151" s="142">
        <v>10322</v>
      </c>
      <c r="Z151" s="145">
        <f t="shared" si="112"/>
        <v>10324.507971939427</v>
      </c>
      <c r="AA151" s="147">
        <f t="shared" si="113"/>
        <v>665939.26421509509</v>
      </c>
      <c r="AB151" s="142">
        <v>22333</v>
      </c>
      <c r="AC151" s="145">
        <f t="shared" si="114"/>
        <v>22338.426326034027</v>
      </c>
      <c r="AD151" s="147">
        <f t="shared" si="115"/>
        <v>1577789.4103389306</v>
      </c>
      <c r="AE151" s="142">
        <v>8805</v>
      </c>
      <c r="AF151" s="145">
        <f t="shared" si="116"/>
        <v>8807.1393812174629</v>
      </c>
      <c r="AG151" s="147">
        <f t="shared" si="117"/>
        <v>841750.54325229127</v>
      </c>
      <c r="AH151" s="144">
        <f t="shared" si="118"/>
        <v>4676410.4928567326</v>
      </c>
      <c r="AI151" s="142">
        <v>827</v>
      </c>
      <c r="AJ151" s="145">
        <f t="shared" si="119"/>
        <v>827.20093904223074</v>
      </c>
      <c r="AK151" s="147">
        <f t="shared" si="120"/>
        <v>2553070.686774449</v>
      </c>
      <c r="AL151" s="142">
        <v>4340</v>
      </c>
      <c r="AM151" s="145">
        <f t="shared" si="121"/>
        <v>4341.0545047681762</v>
      </c>
      <c r="AN151" s="147">
        <f t="shared" si="122"/>
        <v>2212695.5539934551</v>
      </c>
      <c r="AO151" s="142">
        <v>1851</v>
      </c>
      <c r="AP151" s="145">
        <f t="shared" si="123"/>
        <v>1851.4497438538926</v>
      </c>
      <c r="AQ151" s="147">
        <f t="shared" si="124"/>
        <v>3261068.2073600502</v>
      </c>
      <c r="AR151" s="142">
        <v>2478</v>
      </c>
      <c r="AS151" s="145">
        <f t="shared" si="125"/>
        <v>2478.6020882063458</v>
      </c>
      <c r="AT151" s="147">
        <f t="shared" si="126"/>
        <v>3585692.6501045683</v>
      </c>
      <c r="AU151" s="144">
        <f t="shared" si="127"/>
        <v>68762514.720856413</v>
      </c>
      <c r="AV151" s="148">
        <f>INDEX('Baselines+Historic Spend Factor'!P$9:P$159,MATCH('2019-20 StepbyStep Allocations'!C151,'Baselines+Historic Spend Factor'!C$9:C$159,0))</f>
        <v>58426324.728638068</v>
      </c>
      <c r="AW151" s="149">
        <v>155817.856</v>
      </c>
      <c r="AX151" s="150">
        <f t="shared" si="128"/>
        <v>374.96552852478004</v>
      </c>
      <c r="AY151" s="148">
        <f t="shared" si="129"/>
        <v>378.71518381002784</v>
      </c>
      <c r="AZ151" s="148">
        <f t="shared" si="130"/>
        <v>429.95507728304574</v>
      </c>
      <c r="BA151" s="148">
        <f t="shared" si="131"/>
        <v>429.95507728304574</v>
      </c>
      <c r="BB151" s="151">
        <f t="shared" si="132"/>
        <v>0</v>
      </c>
      <c r="BC151" s="148">
        <f t="shared" si="133"/>
        <v>0</v>
      </c>
      <c r="BD151" s="144">
        <f t="shared" si="134"/>
        <v>0</v>
      </c>
      <c r="BE151" s="144">
        <f t="shared" si="95"/>
        <v>68762514.720856413</v>
      </c>
      <c r="BF151" s="144">
        <f>INDEX('Hospital Education Funding'!$G$9:$G$159,MATCH(C151,'Hospital Education Funding'!$C$9:$C$158,0))</f>
        <v>997375</v>
      </c>
      <c r="BG151" s="152">
        <f>INDEX('Import|Export Adjustments Data'!$Q$9:$Q$159,MATCH('2019-20 StepbyStep Allocations'!$C151,'Import|Export Adjustments Data'!$C$9:$C$159,0))</f>
        <v>-7</v>
      </c>
      <c r="BH151" s="144">
        <f t="shared" si="135"/>
        <v>-42000</v>
      </c>
      <c r="BI151" s="153">
        <f>INDEX('Baselines+Historic Spend Factor'!$F$9:$F$159,MATCH('2019-20 StepbyStep Allocations'!C151,'Baselines+Historic Spend Factor'!C$9:C$159,0))-INDEX('Baselines+Historic Spend Factor'!$G$9:$G$159,MATCH('2019-20 StepbyStep Allocations'!C151,'Baselines+Historic Spend Factor'!C$9:C$159,0))</f>
        <v>63982975.450892001</v>
      </c>
      <c r="BJ151" s="154">
        <f t="shared" si="96"/>
        <v>74975166.789303765</v>
      </c>
      <c r="BK151" s="155">
        <f t="shared" si="136"/>
        <v>0.17179868958811473</v>
      </c>
      <c r="BL151" s="156">
        <f t="shared" si="137"/>
        <v>374.96552852478004</v>
      </c>
      <c r="BM151" s="148">
        <f t="shared" si="97"/>
        <v>429.95507728304574</v>
      </c>
      <c r="BN151" s="148">
        <f t="shared" si="138"/>
        <v>397.80092921193915</v>
      </c>
      <c r="BO151" s="148">
        <f t="shared" si="98"/>
        <v>63620116.835831486</v>
      </c>
      <c r="BP151" s="144">
        <f t="shared" si="99"/>
        <v>69832768.904278845</v>
      </c>
      <c r="BQ151" s="148">
        <v>66964941.632108048</v>
      </c>
      <c r="BR151" s="157">
        <f t="shared" si="94"/>
        <v>4.2825801117337914E-2</v>
      </c>
      <c r="BT151" s="94"/>
      <c r="BU151" s="158"/>
      <c r="BX151" s="94"/>
    </row>
    <row r="152" spans="1:76" ht="15.4" x14ac:dyDescent="0.45">
      <c r="A152" s="139" t="s">
        <v>237</v>
      </c>
      <c r="B152" s="140" t="s">
        <v>253</v>
      </c>
      <c r="C152" s="102">
        <v>812</v>
      </c>
      <c r="D152" s="141" t="s">
        <v>262</v>
      </c>
      <c r="E152" s="348">
        <v>1</v>
      </c>
      <c r="F152" s="142">
        <v>370</v>
      </c>
      <c r="G152" s="143">
        <f t="shared" si="100"/>
        <v>4000</v>
      </c>
      <c r="H152" s="144">
        <f t="shared" si="101"/>
        <v>1480000</v>
      </c>
      <c r="I152" s="144">
        <f>INDEX('Baselines+Historic Spend Factor'!$Q$9:$Q$159,MATCH(C152,'Baselines+Historic Spend Factor'!$C$9:$C$159,0))</f>
        <v>7857000</v>
      </c>
      <c r="J152" s="142">
        <v>32454.936000000005</v>
      </c>
      <c r="K152" s="145">
        <f t="shared" si="102"/>
        <v>32454.936000000005</v>
      </c>
      <c r="L152" s="144">
        <f t="shared" si="103"/>
        <v>3802858.6836283845</v>
      </c>
      <c r="M152" s="142">
        <v>3773</v>
      </c>
      <c r="N152" s="145">
        <f t="shared" si="104"/>
        <v>3773</v>
      </c>
      <c r="O152" s="144">
        <f t="shared" si="105"/>
        <v>925647.34547953703</v>
      </c>
      <c r="P152" s="142">
        <v>3231</v>
      </c>
      <c r="Q152" s="145">
        <f t="shared" si="106"/>
        <v>3231</v>
      </c>
      <c r="R152" s="147">
        <f t="shared" si="107"/>
        <v>109990.03032181101</v>
      </c>
      <c r="S152" s="142">
        <v>1514</v>
      </c>
      <c r="T152" s="145">
        <f t="shared" si="108"/>
        <v>1514</v>
      </c>
      <c r="U152" s="147">
        <f t="shared" si="109"/>
        <v>66938.008524653764</v>
      </c>
      <c r="V152" s="142">
        <v>2317</v>
      </c>
      <c r="W152" s="145">
        <f t="shared" si="110"/>
        <v>2317</v>
      </c>
      <c r="X152" s="147">
        <f t="shared" si="111"/>
        <v>139720.66268453692</v>
      </c>
      <c r="Y152" s="142">
        <v>2529</v>
      </c>
      <c r="Z152" s="145">
        <f t="shared" si="112"/>
        <v>2529</v>
      </c>
      <c r="AA152" s="147">
        <f t="shared" si="113"/>
        <v>163122.5820908162</v>
      </c>
      <c r="AB152" s="142">
        <v>4379</v>
      </c>
      <c r="AC152" s="145">
        <f t="shared" si="114"/>
        <v>4379</v>
      </c>
      <c r="AD152" s="147">
        <f t="shared" si="115"/>
        <v>309293.93713925185</v>
      </c>
      <c r="AE152" s="142">
        <v>5446</v>
      </c>
      <c r="AF152" s="145">
        <f t="shared" si="116"/>
        <v>5446</v>
      </c>
      <c r="AG152" s="147">
        <f t="shared" si="117"/>
        <v>520506.51864649839</v>
      </c>
      <c r="AH152" s="144">
        <f t="shared" si="118"/>
        <v>1309571.7394075682</v>
      </c>
      <c r="AI152" s="142">
        <v>237</v>
      </c>
      <c r="AJ152" s="145">
        <f t="shared" si="119"/>
        <v>237</v>
      </c>
      <c r="AK152" s="147">
        <f t="shared" si="120"/>
        <v>731476.14347020665</v>
      </c>
      <c r="AL152" s="142">
        <v>1140</v>
      </c>
      <c r="AM152" s="145">
        <f t="shared" si="121"/>
        <v>1140</v>
      </c>
      <c r="AN152" s="147">
        <f t="shared" si="122"/>
        <v>581073.77568788349</v>
      </c>
      <c r="AO152" s="142">
        <v>427</v>
      </c>
      <c r="AP152" s="145">
        <f t="shared" si="123"/>
        <v>427</v>
      </c>
      <c r="AQ152" s="147">
        <f t="shared" si="124"/>
        <v>752100.41707328625</v>
      </c>
      <c r="AR152" s="142">
        <v>471</v>
      </c>
      <c r="AS152" s="145">
        <f t="shared" si="125"/>
        <v>471</v>
      </c>
      <c r="AT152" s="147">
        <f t="shared" si="126"/>
        <v>681376.50905531412</v>
      </c>
      <c r="AU152" s="144">
        <f t="shared" si="127"/>
        <v>16641104.613802182</v>
      </c>
      <c r="AV152" s="148">
        <f>INDEX('Baselines+Historic Spend Factor'!P$9:P$159,MATCH('2019-20 StepbyStep Allocations'!C152,'Baselines+Historic Spend Factor'!C$9:C$159,0))</f>
        <v>15714000</v>
      </c>
      <c r="AW152" s="149">
        <v>32376.734999999997</v>
      </c>
      <c r="AX152" s="150">
        <f t="shared" si="128"/>
        <v>485.34850719196982</v>
      </c>
      <c r="AY152" s="148">
        <f t="shared" si="129"/>
        <v>490.20199226388951</v>
      </c>
      <c r="AZ152" s="148">
        <f t="shared" si="130"/>
        <v>512.74495237957581</v>
      </c>
      <c r="BA152" s="148">
        <f t="shared" si="131"/>
        <v>512.74495237957581</v>
      </c>
      <c r="BB152" s="151">
        <f t="shared" si="132"/>
        <v>0</v>
      </c>
      <c r="BC152" s="148">
        <f t="shared" si="133"/>
        <v>0</v>
      </c>
      <c r="BD152" s="144">
        <f t="shared" si="134"/>
        <v>0</v>
      </c>
      <c r="BE152" s="144">
        <f t="shared" si="95"/>
        <v>16641104.613802183</v>
      </c>
      <c r="BF152" s="144">
        <f>INDEX('Hospital Education Funding'!$G$9:$G$159,MATCH(C152,'Hospital Education Funding'!$C$9:$C$158,0))</f>
        <v>0</v>
      </c>
      <c r="BG152" s="152">
        <f>INDEX('Import|Export Adjustments Data'!$Q$9:$Q$159,MATCH('2019-20 StepbyStep Allocations'!$C152,'Import|Export Adjustments Data'!$C$9:$C$159,0))</f>
        <v>-3</v>
      </c>
      <c r="BH152" s="144">
        <f t="shared" si="135"/>
        <v>-18000</v>
      </c>
      <c r="BI152" s="153">
        <f>INDEX('Baselines+Historic Spend Factor'!$F$9:$F$159,MATCH('2019-20 StepbyStep Allocations'!C152,'Baselines+Historic Spend Factor'!C$9:C$159,0))-INDEX('Baselines+Historic Spend Factor'!$G$9:$G$159,MATCH('2019-20 StepbyStep Allocations'!C152,'Baselines+Historic Spend Factor'!C$9:C$159,0))</f>
        <v>17110000</v>
      </c>
      <c r="BJ152" s="154">
        <f t="shared" si="96"/>
        <v>18103104.613802183</v>
      </c>
      <c r="BK152" s="155">
        <f t="shared" si="136"/>
        <v>5.8042350309887913E-2</v>
      </c>
      <c r="BL152" s="156">
        <f t="shared" si="137"/>
        <v>485.34850719196982</v>
      </c>
      <c r="BM152" s="148">
        <f t="shared" si="97"/>
        <v>512.74495237957581</v>
      </c>
      <c r="BN152" s="148">
        <f t="shared" si="138"/>
        <v>512.74495237957581</v>
      </c>
      <c r="BO152" s="148">
        <f t="shared" si="98"/>
        <v>16641104.613802183</v>
      </c>
      <c r="BP152" s="144">
        <f t="shared" si="99"/>
        <v>18103104.613802183</v>
      </c>
      <c r="BQ152" s="148">
        <v>17622190.037935212</v>
      </c>
      <c r="BR152" s="157">
        <f t="shared" si="94"/>
        <v>2.729028428542124E-2</v>
      </c>
      <c r="BT152" s="94"/>
      <c r="BU152" s="158"/>
      <c r="BX152" s="94"/>
    </row>
    <row r="153" spans="1:76" ht="15.4" x14ac:dyDescent="0.45">
      <c r="A153" s="139" t="s">
        <v>220</v>
      </c>
      <c r="B153" s="140" t="s">
        <v>253</v>
      </c>
      <c r="C153" s="102">
        <v>813</v>
      </c>
      <c r="D153" s="141" t="s">
        <v>263</v>
      </c>
      <c r="E153" s="348">
        <v>1</v>
      </c>
      <c r="F153" s="142">
        <v>347</v>
      </c>
      <c r="G153" s="143">
        <f t="shared" si="100"/>
        <v>4000</v>
      </c>
      <c r="H153" s="144">
        <f t="shared" si="101"/>
        <v>1388000</v>
      </c>
      <c r="I153" s="144">
        <f>INDEX('Baselines+Historic Spend Factor'!$Q$9:$Q$159,MATCH(C153,'Baselines+Historic Spend Factor'!$C$9:$C$159,0))</f>
        <v>7245123.4479882503</v>
      </c>
      <c r="J153" s="142">
        <v>33807.269000000008</v>
      </c>
      <c r="K153" s="145">
        <f t="shared" si="102"/>
        <v>33807.269000000008</v>
      </c>
      <c r="L153" s="144">
        <f t="shared" si="103"/>
        <v>3961316.2844138932</v>
      </c>
      <c r="M153" s="142">
        <v>3206.9999999999991</v>
      </c>
      <c r="N153" s="145">
        <f t="shared" si="104"/>
        <v>3206.9999999999991</v>
      </c>
      <c r="O153" s="144">
        <f t="shared" si="105"/>
        <v>786787.97692893574</v>
      </c>
      <c r="P153" s="142">
        <v>3354</v>
      </c>
      <c r="Q153" s="145">
        <f t="shared" si="106"/>
        <v>3354</v>
      </c>
      <c r="R153" s="147">
        <f t="shared" si="107"/>
        <v>114177.20882059861</v>
      </c>
      <c r="S153" s="142">
        <v>3489</v>
      </c>
      <c r="T153" s="145">
        <f t="shared" si="108"/>
        <v>3489</v>
      </c>
      <c r="U153" s="147">
        <f t="shared" si="109"/>
        <v>154258.0658801301</v>
      </c>
      <c r="V153" s="142">
        <v>1120</v>
      </c>
      <c r="W153" s="145">
        <f t="shared" si="110"/>
        <v>1120</v>
      </c>
      <c r="X153" s="147">
        <f t="shared" si="111"/>
        <v>67538.688910954399</v>
      </c>
      <c r="Y153" s="142">
        <v>1686</v>
      </c>
      <c r="Z153" s="145">
        <f t="shared" si="112"/>
        <v>1686</v>
      </c>
      <c r="AA153" s="147">
        <f t="shared" si="113"/>
        <v>108748.38806054412</v>
      </c>
      <c r="AB153" s="142">
        <v>2410</v>
      </c>
      <c r="AC153" s="145">
        <f t="shared" si="114"/>
        <v>2410</v>
      </c>
      <c r="AD153" s="147">
        <f t="shared" si="115"/>
        <v>170221.14375555993</v>
      </c>
      <c r="AE153" s="142">
        <v>1814</v>
      </c>
      <c r="AF153" s="145">
        <f t="shared" si="116"/>
        <v>1814</v>
      </c>
      <c r="AG153" s="147">
        <f t="shared" si="117"/>
        <v>173374.73830788617</v>
      </c>
      <c r="AH153" s="144">
        <f t="shared" si="118"/>
        <v>788318.23373567336</v>
      </c>
      <c r="AI153" s="142">
        <v>191</v>
      </c>
      <c r="AJ153" s="145">
        <f t="shared" si="119"/>
        <v>191</v>
      </c>
      <c r="AK153" s="147">
        <f t="shared" si="120"/>
        <v>589501.87089793023</v>
      </c>
      <c r="AL153" s="142">
        <v>1130</v>
      </c>
      <c r="AM153" s="145">
        <f t="shared" si="121"/>
        <v>1130</v>
      </c>
      <c r="AN153" s="147">
        <f t="shared" si="122"/>
        <v>575976.63730465632</v>
      </c>
      <c r="AO153" s="142">
        <v>426</v>
      </c>
      <c r="AP153" s="145">
        <f t="shared" si="123"/>
        <v>426</v>
      </c>
      <c r="AQ153" s="147">
        <f t="shared" si="124"/>
        <v>750339.05778271635</v>
      </c>
      <c r="AR153" s="142">
        <v>471</v>
      </c>
      <c r="AS153" s="145">
        <f t="shared" si="125"/>
        <v>471</v>
      </c>
      <c r="AT153" s="147">
        <f t="shared" si="126"/>
        <v>681376.50905531412</v>
      </c>
      <c r="AU153" s="144">
        <f t="shared" si="127"/>
        <v>15378740.018107371</v>
      </c>
      <c r="AV153" s="148">
        <f>INDEX('Baselines+Historic Spend Factor'!P$9:P$159,MATCH('2019-20 StepbyStep Allocations'!C153,'Baselines+Historic Spend Factor'!C$9:C$159,0))</f>
        <v>14490246.895976501</v>
      </c>
      <c r="AW153" s="149">
        <v>33675.245999999999</v>
      </c>
      <c r="AX153" s="150">
        <f t="shared" si="128"/>
        <v>430.29372067472059</v>
      </c>
      <c r="AY153" s="148">
        <f t="shared" si="129"/>
        <v>434.59665788146782</v>
      </c>
      <c r="AZ153" s="148">
        <f t="shared" si="130"/>
        <v>454.89447899821096</v>
      </c>
      <c r="BA153" s="148">
        <f t="shared" si="131"/>
        <v>454.89447899821096</v>
      </c>
      <c r="BB153" s="151">
        <f t="shared" si="132"/>
        <v>0</v>
      </c>
      <c r="BC153" s="148">
        <f t="shared" si="133"/>
        <v>0</v>
      </c>
      <c r="BD153" s="144">
        <f t="shared" si="134"/>
        <v>0</v>
      </c>
      <c r="BE153" s="144">
        <f t="shared" si="95"/>
        <v>15378740.018107371</v>
      </c>
      <c r="BF153" s="144">
        <f>INDEX('Hospital Education Funding'!$G$9:$G$159,MATCH(C153,'Hospital Education Funding'!$C$9:$C$158,0))</f>
        <v>0</v>
      </c>
      <c r="BG153" s="152">
        <f>INDEX('Import|Export Adjustments Data'!$Q$9:$Q$159,MATCH('2019-20 StepbyStep Allocations'!$C153,'Import|Export Adjustments Data'!$C$9:$C$159,0))</f>
        <v>-75.5</v>
      </c>
      <c r="BH153" s="144">
        <f t="shared" si="135"/>
        <v>-453000</v>
      </c>
      <c r="BI153" s="153">
        <f>INDEX('Baselines+Historic Spend Factor'!$F$9:$F$159,MATCH('2019-20 StepbyStep Allocations'!C153,'Baselines+Historic Spend Factor'!C$9:C$159,0))-INDEX('Baselines+Historic Spend Factor'!$G$9:$G$159,MATCH('2019-20 StepbyStep Allocations'!C153,'Baselines+Historic Spend Factor'!C$9:C$159,0))</f>
        <v>15742246.895976501</v>
      </c>
      <c r="BJ153" s="154">
        <f t="shared" si="96"/>
        <v>16313740.018107371</v>
      </c>
      <c r="BK153" s="155">
        <f t="shared" si="136"/>
        <v>3.6303148204144708E-2</v>
      </c>
      <c r="BL153" s="156">
        <f t="shared" si="137"/>
        <v>430.29372067472059</v>
      </c>
      <c r="BM153" s="148">
        <f t="shared" si="97"/>
        <v>454.89447899821096</v>
      </c>
      <c r="BN153" s="148">
        <f t="shared" si="138"/>
        <v>454.89447899821096</v>
      </c>
      <c r="BO153" s="148">
        <f t="shared" si="98"/>
        <v>15378740.018107371</v>
      </c>
      <c r="BP153" s="144">
        <f t="shared" si="99"/>
        <v>16313740.018107371</v>
      </c>
      <c r="BQ153" s="148">
        <v>15895815.171314303</v>
      </c>
      <c r="BR153" s="157">
        <f t="shared" si="94"/>
        <v>2.629150139762948E-2</v>
      </c>
      <c r="BT153" s="94"/>
      <c r="BU153" s="158"/>
      <c r="BX153" s="94"/>
    </row>
    <row r="154" spans="1:76" ht="15.4" x14ac:dyDescent="0.45">
      <c r="A154" s="139" t="s">
        <v>181</v>
      </c>
      <c r="B154" s="140" t="s">
        <v>253</v>
      </c>
      <c r="C154" s="102">
        <v>815</v>
      </c>
      <c r="D154" s="141" t="s">
        <v>264</v>
      </c>
      <c r="E154" s="348">
        <v>1</v>
      </c>
      <c r="F154" s="142">
        <v>897</v>
      </c>
      <c r="G154" s="143">
        <f t="shared" si="100"/>
        <v>4000</v>
      </c>
      <c r="H154" s="144">
        <f t="shared" si="101"/>
        <v>3588000</v>
      </c>
      <c r="I154" s="144">
        <f>INDEX('Baselines+Historic Spend Factor'!$Q$9:$Q$159,MATCH(C154,'Baselines+Historic Spend Factor'!$C$9:$C$159,0))</f>
        <v>22572000</v>
      </c>
      <c r="J154" s="142">
        <v>113033.27100000001</v>
      </c>
      <c r="K154" s="145">
        <f t="shared" si="102"/>
        <v>113033.27100000001</v>
      </c>
      <c r="L154" s="144">
        <f t="shared" si="103"/>
        <v>13244504.816194074</v>
      </c>
      <c r="M154" s="142">
        <v>6550</v>
      </c>
      <c r="N154" s="145">
        <f t="shared" si="104"/>
        <v>6550</v>
      </c>
      <c r="O154" s="144">
        <f t="shared" si="105"/>
        <v>1606941.4558417618</v>
      </c>
      <c r="P154" s="142">
        <v>7499</v>
      </c>
      <c r="Q154" s="145">
        <f t="shared" si="106"/>
        <v>7499</v>
      </c>
      <c r="R154" s="147">
        <f t="shared" si="107"/>
        <v>255281.72001957931</v>
      </c>
      <c r="S154" s="142">
        <v>2959</v>
      </c>
      <c r="T154" s="145">
        <f t="shared" si="108"/>
        <v>2959</v>
      </c>
      <c r="U154" s="147">
        <f t="shared" si="109"/>
        <v>130825.34162777445</v>
      </c>
      <c r="V154" s="142">
        <v>3327</v>
      </c>
      <c r="W154" s="145">
        <f t="shared" si="110"/>
        <v>3327</v>
      </c>
      <c r="X154" s="147">
        <f t="shared" si="111"/>
        <v>200626.08750602257</v>
      </c>
      <c r="Y154" s="142">
        <v>1208</v>
      </c>
      <c r="Z154" s="145">
        <f t="shared" si="112"/>
        <v>1208</v>
      </c>
      <c r="AA154" s="147">
        <f t="shared" si="113"/>
        <v>77916.994529737436</v>
      </c>
      <c r="AB154" s="142">
        <v>1025</v>
      </c>
      <c r="AC154" s="145">
        <f t="shared" si="114"/>
        <v>1025</v>
      </c>
      <c r="AD154" s="147">
        <f t="shared" si="115"/>
        <v>72396.959481099155</v>
      </c>
      <c r="AE154" s="142">
        <v>1637</v>
      </c>
      <c r="AF154" s="145">
        <f t="shared" si="116"/>
        <v>1637</v>
      </c>
      <c r="AG154" s="147">
        <f t="shared" si="117"/>
        <v>156457.79857222142</v>
      </c>
      <c r="AH154" s="144">
        <f t="shared" si="118"/>
        <v>893504.90173643432</v>
      </c>
      <c r="AI154" s="142">
        <v>413</v>
      </c>
      <c r="AJ154" s="145">
        <f t="shared" si="119"/>
        <v>413</v>
      </c>
      <c r="AK154" s="147">
        <f t="shared" si="120"/>
        <v>1274682.0559206554</v>
      </c>
      <c r="AL154" s="142">
        <v>3170</v>
      </c>
      <c r="AM154" s="145">
        <f t="shared" si="121"/>
        <v>3170</v>
      </c>
      <c r="AN154" s="147">
        <f t="shared" si="122"/>
        <v>1615792.867482974</v>
      </c>
      <c r="AO154" s="142">
        <v>1121</v>
      </c>
      <c r="AP154" s="145">
        <f t="shared" si="123"/>
        <v>1121</v>
      </c>
      <c r="AQ154" s="147">
        <f t="shared" si="124"/>
        <v>1974483.7647286972</v>
      </c>
      <c r="AR154" s="142">
        <v>1188</v>
      </c>
      <c r="AS154" s="145">
        <f t="shared" si="125"/>
        <v>1188</v>
      </c>
      <c r="AT154" s="147">
        <f t="shared" si="126"/>
        <v>1718631.1948146776</v>
      </c>
      <c r="AU154" s="144">
        <f t="shared" si="127"/>
        <v>44900541.056719266</v>
      </c>
      <c r="AV154" s="148">
        <f>INDEX('Baselines+Historic Spend Factor'!P$9:P$159,MATCH('2019-20 StepbyStep Allocations'!C154,'Baselines+Historic Spend Factor'!C$9:C$159,0))</f>
        <v>45144000</v>
      </c>
      <c r="AW154" s="149">
        <v>112902.78799999999</v>
      </c>
      <c r="AX154" s="150">
        <f t="shared" si="128"/>
        <v>399.84840764073959</v>
      </c>
      <c r="AY154" s="148">
        <f t="shared" si="129"/>
        <v>403.846891717147</v>
      </c>
      <c r="AZ154" s="148">
        <f t="shared" si="130"/>
        <v>397.23296211359985</v>
      </c>
      <c r="BA154" s="148">
        <f t="shared" si="131"/>
        <v>403.846891717147</v>
      </c>
      <c r="BB154" s="151">
        <f t="shared" si="132"/>
        <v>747594.09725266753</v>
      </c>
      <c r="BC154" s="148">
        <f t="shared" si="133"/>
        <v>0</v>
      </c>
      <c r="BD154" s="144">
        <f t="shared" si="134"/>
        <v>747594.09725266753</v>
      </c>
      <c r="BE154" s="144">
        <f t="shared" si="95"/>
        <v>45648135.153971933</v>
      </c>
      <c r="BF154" s="144">
        <f>INDEX('Hospital Education Funding'!$G$9:$G$159,MATCH(C154,'Hospital Education Funding'!$C$9:$C$158,0))</f>
        <v>101000</v>
      </c>
      <c r="BG154" s="152">
        <f>INDEX('Import|Export Adjustments Data'!$Q$9:$Q$159,MATCH('2019-20 StepbyStep Allocations'!$C154,'Import|Export Adjustments Data'!$C$9:$C$159,0))</f>
        <v>-208</v>
      </c>
      <c r="BH154" s="144">
        <f t="shared" si="135"/>
        <v>-1248000</v>
      </c>
      <c r="BI154" s="153">
        <f>INDEX('Baselines+Historic Spend Factor'!$F$9:$F$159,MATCH('2019-20 StepbyStep Allocations'!C154,'Baselines+Historic Spend Factor'!C$9:C$159,0))-INDEX('Baselines+Historic Spend Factor'!$G$9:$G$159,MATCH('2019-20 StepbyStep Allocations'!C154,'Baselines+Historic Spend Factor'!C$9:C$159,0))</f>
        <v>47902000</v>
      </c>
      <c r="BJ154" s="154">
        <f t="shared" si="96"/>
        <v>48089135.153971933</v>
      </c>
      <c r="BK154" s="155">
        <f t="shared" si="136"/>
        <v>3.906625067261027E-3</v>
      </c>
      <c r="BL154" s="156">
        <f t="shared" si="137"/>
        <v>399.84840764073959</v>
      </c>
      <c r="BM154" s="148">
        <f t="shared" si="97"/>
        <v>403.846891717147</v>
      </c>
      <c r="BN154" s="148">
        <f t="shared" si="138"/>
        <v>403.846891717147</v>
      </c>
      <c r="BO154" s="148">
        <f t="shared" si="98"/>
        <v>45648135.153971933</v>
      </c>
      <c r="BP154" s="144">
        <f t="shared" si="99"/>
        <v>48089135.153971933</v>
      </c>
      <c r="BQ154" s="148">
        <v>47725707.317543894</v>
      </c>
      <c r="BR154" s="157">
        <f t="shared" si="94"/>
        <v>7.6149282400355123E-3</v>
      </c>
      <c r="BT154" s="94"/>
      <c r="BU154" s="158"/>
      <c r="BX154" s="94"/>
    </row>
    <row r="155" spans="1:76" ht="15.4" x14ac:dyDescent="0.45">
      <c r="A155" s="139" t="s">
        <v>221</v>
      </c>
      <c r="B155" s="140" t="s">
        <v>253</v>
      </c>
      <c r="C155" s="102">
        <v>372</v>
      </c>
      <c r="D155" s="141" t="s">
        <v>265</v>
      </c>
      <c r="E155" s="348">
        <v>1</v>
      </c>
      <c r="F155" s="142">
        <v>736</v>
      </c>
      <c r="G155" s="143">
        <f t="shared" si="100"/>
        <v>4000</v>
      </c>
      <c r="H155" s="144">
        <f t="shared" si="101"/>
        <v>2944000</v>
      </c>
      <c r="I155" s="144">
        <f>INDEX('Baselines+Historic Spend Factor'!$Q$9:$Q$159,MATCH(C155,'Baselines+Historic Spend Factor'!$C$9:$C$159,0))</f>
        <v>12800815.872625368</v>
      </c>
      <c r="J155" s="142">
        <v>53950.865000000005</v>
      </c>
      <c r="K155" s="145">
        <f t="shared" si="102"/>
        <v>53950.865000000005</v>
      </c>
      <c r="L155" s="144">
        <f t="shared" si="103"/>
        <v>6321612.0794233782</v>
      </c>
      <c r="M155" s="142">
        <v>6492</v>
      </c>
      <c r="N155" s="145">
        <f t="shared" si="104"/>
        <v>6492</v>
      </c>
      <c r="O155" s="144">
        <f t="shared" si="105"/>
        <v>1592712.0505839265</v>
      </c>
      <c r="P155" s="142">
        <v>6910</v>
      </c>
      <c r="Q155" s="145">
        <f t="shared" si="106"/>
        <v>6910</v>
      </c>
      <c r="R155" s="147">
        <f t="shared" si="107"/>
        <v>235230.92216766143</v>
      </c>
      <c r="S155" s="142">
        <v>6268</v>
      </c>
      <c r="T155" s="145">
        <f t="shared" si="108"/>
        <v>6268</v>
      </c>
      <c r="U155" s="147">
        <f t="shared" si="109"/>
        <v>277125.12379955733</v>
      </c>
      <c r="V155" s="142">
        <v>4451</v>
      </c>
      <c r="W155" s="145">
        <f t="shared" si="110"/>
        <v>4451</v>
      </c>
      <c r="X155" s="147">
        <f t="shared" si="111"/>
        <v>268405.98602023046</v>
      </c>
      <c r="Y155" s="142">
        <v>4616</v>
      </c>
      <c r="Z155" s="145">
        <f t="shared" si="112"/>
        <v>4616</v>
      </c>
      <c r="AA155" s="147">
        <f t="shared" si="113"/>
        <v>297735.80028912914</v>
      </c>
      <c r="AB155" s="142">
        <v>3565</v>
      </c>
      <c r="AC155" s="145">
        <f t="shared" si="114"/>
        <v>3565</v>
      </c>
      <c r="AD155" s="147">
        <f t="shared" si="115"/>
        <v>251800.15663426192</v>
      </c>
      <c r="AE155" s="142">
        <v>4160</v>
      </c>
      <c r="AF155" s="145">
        <f t="shared" si="116"/>
        <v>4160</v>
      </c>
      <c r="AG155" s="147">
        <f t="shared" si="117"/>
        <v>397595.87175347656</v>
      </c>
      <c r="AH155" s="144">
        <f t="shared" si="118"/>
        <v>1727893.8606643167</v>
      </c>
      <c r="AI155" s="142">
        <v>413</v>
      </c>
      <c r="AJ155" s="145">
        <f t="shared" si="119"/>
        <v>413</v>
      </c>
      <c r="AK155" s="147">
        <f t="shared" si="120"/>
        <v>1274682.0559206554</v>
      </c>
      <c r="AL155" s="142">
        <v>2580</v>
      </c>
      <c r="AM155" s="145">
        <f t="shared" si="121"/>
        <v>2580</v>
      </c>
      <c r="AN155" s="147">
        <f t="shared" si="122"/>
        <v>1315061.7028725783</v>
      </c>
      <c r="AO155" s="142">
        <v>824</v>
      </c>
      <c r="AP155" s="145">
        <f t="shared" si="123"/>
        <v>824</v>
      </c>
      <c r="AQ155" s="147">
        <f t="shared" si="124"/>
        <v>1451360.0554294798</v>
      </c>
      <c r="AR155" s="142">
        <v>871</v>
      </c>
      <c r="AS155" s="145">
        <f t="shared" si="125"/>
        <v>871</v>
      </c>
      <c r="AT155" s="147">
        <f t="shared" si="126"/>
        <v>1260040.211013118</v>
      </c>
      <c r="AU155" s="144">
        <f t="shared" si="127"/>
        <v>27744177.888532821</v>
      </c>
      <c r="AV155" s="148">
        <f>INDEX('Baselines+Historic Spend Factor'!P$9:P$159,MATCH('2019-20 StepbyStep Allocations'!C155,'Baselines+Historic Spend Factor'!C$9:C$159,0))</f>
        <v>25601631.745250735</v>
      </c>
      <c r="AW155" s="149">
        <v>53566.01</v>
      </c>
      <c r="AX155" s="150">
        <f t="shared" si="128"/>
        <v>477.94546850233451</v>
      </c>
      <c r="AY155" s="148">
        <f t="shared" si="129"/>
        <v>482.72492318735783</v>
      </c>
      <c r="AZ155" s="148">
        <f t="shared" si="130"/>
        <v>514.24899097600792</v>
      </c>
      <c r="BA155" s="148">
        <f t="shared" si="131"/>
        <v>514.24899097600792</v>
      </c>
      <c r="BB155" s="151">
        <f t="shared" si="132"/>
        <v>0</v>
      </c>
      <c r="BC155" s="148">
        <f t="shared" si="133"/>
        <v>0</v>
      </c>
      <c r="BD155" s="144">
        <f t="shared" si="134"/>
        <v>0</v>
      </c>
      <c r="BE155" s="144">
        <f t="shared" si="95"/>
        <v>27744177.888532825</v>
      </c>
      <c r="BF155" s="144">
        <f>INDEX('Hospital Education Funding'!$G$9:$G$159,MATCH(C155,'Hospital Education Funding'!$C$9:$C$158,0))</f>
        <v>0</v>
      </c>
      <c r="BG155" s="152">
        <f>INDEX('Import|Export Adjustments Data'!$Q$9:$Q$159,MATCH('2019-20 StepbyStep Allocations'!$C155,'Import|Export Adjustments Data'!$C$9:$C$159,0))</f>
        <v>49.5</v>
      </c>
      <c r="BH155" s="144">
        <f t="shared" si="135"/>
        <v>297000</v>
      </c>
      <c r="BI155" s="153">
        <f>INDEX('Baselines+Historic Spend Factor'!$F$9:$F$159,MATCH('2019-20 StepbyStep Allocations'!C155,'Baselines+Historic Spend Factor'!C$9:C$159,0))-INDEX('Baselines+Historic Spend Factor'!$G$9:$G$159,MATCH('2019-20 StepbyStep Allocations'!C155,'Baselines+Historic Spend Factor'!C$9:C$159,0))</f>
        <v>28476631.745250735</v>
      </c>
      <c r="BJ155" s="154">
        <f t="shared" si="96"/>
        <v>30985177.888532825</v>
      </c>
      <c r="BK155" s="155">
        <f t="shared" si="136"/>
        <v>8.8091392469562546E-2</v>
      </c>
      <c r="BL155" s="156">
        <f t="shared" si="137"/>
        <v>477.94546850233451</v>
      </c>
      <c r="BM155" s="148">
        <f t="shared" si="97"/>
        <v>514.24899097600792</v>
      </c>
      <c r="BN155" s="148">
        <f t="shared" si="138"/>
        <v>507.05234753412668</v>
      </c>
      <c r="BO155" s="148">
        <f t="shared" si="98"/>
        <v>27355912.749746755</v>
      </c>
      <c r="BP155" s="144">
        <f t="shared" si="99"/>
        <v>30596912.749746755</v>
      </c>
      <c r="BQ155" s="148">
        <v>29636889.688636076</v>
      </c>
      <c r="BR155" s="157">
        <f t="shared" si="94"/>
        <v>3.2392841192063093E-2</v>
      </c>
      <c r="BT155" s="94"/>
      <c r="BU155" s="158"/>
      <c r="BX155" s="94"/>
    </row>
    <row r="156" spans="1:76" ht="15.4" x14ac:dyDescent="0.45">
      <c r="A156" s="139" t="s">
        <v>251</v>
      </c>
      <c r="B156" s="140" t="s">
        <v>253</v>
      </c>
      <c r="C156" s="102">
        <v>373</v>
      </c>
      <c r="D156" s="141" t="s">
        <v>266</v>
      </c>
      <c r="E156" s="348">
        <v>1</v>
      </c>
      <c r="F156" s="142">
        <v>1128</v>
      </c>
      <c r="G156" s="143">
        <f t="shared" si="100"/>
        <v>4000</v>
      </c>
      <c r="H156" s="144">
        <f t="shared" si="101"/>
        <v>4512000</v>
      </c>
      <c r="I156" s="144">
        <f>INDEX('Baselines+Historic Spend Factor'!$Q$9:$Q$159,MATCH(C156,'Baselines+Historic Spend Factor'!$C$9:$C$159,0))</f>
        <v>23206114.665483199</v>
      </c>
      <c r="J156" s="142">
        <v>112378.51300000001</v>
      </c>
      <c r="K156" s="145">
        <f t="shared" si="102"/>
        <v>112378.51300000001</v>
      </c>
      <c r="L156" s="144">
        <f t="shared" si="103"/>
        <v>13167784.524834536</v>
      </c>
      <c r="M156" s="142">
        <v>15481.5</v>
      </c>
      <c r="N156" s="145">
        <f t="shared" si="104"/>
        <v>15481.5</v>
      </c>
      <c r="O156" s="144">
        <f t="shared" si="105"/>
        <v>3798147.1982617155</v>
      </c>
      <c r="P156" s="142">
        <v>7888</v>
      </c>
      <c r="Q156" s="145">
        <f t="shared" si="106"/>
        <v>7888</v>
      </c>
      <c r="R156" s="147">
        <f t="shared" si="107"/>
        <v>268524.0975482653</v>
      </c>
      <c r="S156" s="142">
        <v>8468</v>
      </c>
      <c r="T156" s="145">
        <f t="shared" si="108"/>
        <v>8468</v>
      </c>
      <c r="U156" s="147">
        <f t="shared" si="109"/>
        <v>374393.03579046769</v>
      </c>
      <c r="V156" s="142">
        <v>7188</v>
      </c>
      <c r="W156" s="145">
        <f t="shared" si="110"/>
        <v>7188</v>
      </c>
      <c r="X156" s="147">
        <f t="shared" si="111"/>
        <v>433453.65704637527</v>
      </c>
      <c r="Y156" s="142">
        <v>12699</v>
      </c>
      <c r="Z156" s="145">
        <f t="shared" si="112"/>
        <v>12699</v>
      </c>
      <c r="AA156" s="147">
        <f t="shared" si="113"/>
        <v>819095.95491153607</v>
      </c>
      <c r="AB156" s="142">
        <v>18467</v>
      </c>
      <c r="AC156" s="145">
        <f t="shared" si="114"/>
        <v>18467</v>
      </c>
      <c r="AD156" s="147">
        <f t="shared" si="115"/>
        <v>1304346.0007194711</v>
      </c>
      <c r="AE156" s="142">
        <v>4569</v>
      </c>
      <c r="AF156" s="145">
        <f t="shared" si="116"/>
        <v>4569</v>
      </c>
      <c r="AG156" s="147">
        <f t="shared" si="117"/>
        <v>436686.4274138544</v>
      </c>
      <c r="AH156" s="144">
        <f t="shared" si="118"/>
        <v>3636499.1734299702</v>
      </c>
      <c r="AI156" s="142">
        <v>828</v>
      </c>
      <c r="AJ156" s="145">
        <f t="shared" si="119"/>
        <v>828</v>
      </c>
      <c r="AK156" s="147">
        <f t="shared" si="120"/>
        <v>2555536.906300975</v>
      </c>
      <c r="AL156" s="142">
        <v>5560</v>
      </c>
      <c r="AM156" s="145">
        <f t="shared" si="121"/>
        <v>5560</v>
      </c>
      <c r="AN156" s="147">
        <f t="shared" si="122"/>
        <v>2834008.9410742382</v>
      </c>
      <c r="AO156" s="142">
        <v>1744</v>
      </c>
      <c r="AP156" s="145">
        <f t="shared" si="123"/>
        <v>1744</v>
      </c>
      <c r="AQ156" s="147">
        <f t="shared" si="124"/>
        <v>3071810.602753656</v>
      </c>
      <c r="AR156" s="142">
        <v>1936</v>
      </c>
      <c r="AS156" s="145">
        <f t="shared" si="125"/>
        <v>1936</v>
      </c>
      <c r="AT156" s="147">
        <f t="shared" si="126"/>
        <v>2800732.3174757711</v>
      </c>
      <c r="AU156" s="144">
        <f t="shared" si="127"/>
        <v>55070634.329614066</v>
      </c>
      <c r="AV156" s="148">
        <f>INDEX('Baselines+Historic Spend Factor'!P$9:P$159,MATCH('2019-20 StepbyStep Allocations'!C156,'Baselines+Historic Spend Factor'!C$9:C$159,0))</f>
        <v>46412229.330966398</v>
      </c>
      <c r="AW156" s="149">
        <v>111042.84699999999</v>
      </c>
      <c r="AX156" s="150">
        <f t="shared" si="128"/>
        <v>417.96685320006611</v>
      </c>
      <c r="AY156" s="148">
        <f t="shared" si="129"/>
        <v>422.14652173206679</v>
      </c>
      <c r="AZ156" s="148">
        <f t="shared" si="130"/>
        <v>490.0459425870323</v>
      </c>
      <c r="BA156" s="148">
        <f t="shared" si="131"/>
        <v>490.0459425870323</v>
      </c>
      <c r="BB156" s="151">
        <f t="shared" si="132"/>
        <v>0</v>
      </c>
      <c r="BC156" s="148">
        <f t="shared" si="133"/>
        <v>0</v>
      </c>
      <c r="BD156" s="144">
        <f t="shared" si="134"/>
        <v>0</v>
      </c>
      <c r="BE156" s="144">
        <f t="shared" si="95"/>
        <v>55070634.329614066</v>
      </c>
      <c r="BF156" s="144">
        <f>INDEX('Hospital Education Funding'!$G$9:$G$159,MATCH(C156,'Hospital Education Funding'!$C$9:$C$158,0))</f>
        <v>1582670</v>
      </c>
      <c r="BG156" s="152">
        <f>INDEX('Import|Export Adjustments Data'!$Q$9:$Q$159,MATCH('2019-20 StepbyStep Allocations'!$C156,'Import|Export Adjustments Data'!$C$9:$C$159,0))</f>
        <v>-19</v>
      </c>
      <c r="BH156" s="144">
        <f t="shared" si="135"/>
        <v>-114000</v>
      </c>
      <c r="BI156" s="153">
        <f>INDEX('Baselines+Historic Spend Factor'!$F$9:$F$159,MATCH('2019-20 StepbyStep Allocations'!C156,'Baselines+Historic Spend Factor'!C$9:C$159,0))-INDEX('Baselines+Historic Spend Factor'!$G$9:$G$159,MATCH('2019-20 StepbyStep Allocations'!C156,'Baselines+Historic Spend Factor'!C$9:C$159,0))</f>
        <v>52064229.330966398</v>
      </c>
      <c r="BJ156" s="154">
        <f t="shared" si="96"/>
        <v>61051304.329614066</v>
      </c>
      <c r="BK156" s="155">
        <f t="shared" si="136"/>
        <v>0.17261515466824351</v>
      </c>
      <c r="BL156" s="156">
        <f t="shared" si="137"/>
        <v>417.96685320006611</v>
      </c>
      <c r="BM156" s="148">
        <f t="shared" si="97"/>
        <v>490.0459425870323</v>
      </c>
      <c r="BN156" s="148">
        <f t="shared" si="138"/>
        <v>443.4210345599501</v>
      </c>
      <c r="BO156" s="148">
        <f t="shared" si="98"/>
        <v>49830996.496768802</v>
      </c>
      <c r="BP156" s="144">
        <f t="shared" si="99"/>
        <v>55811666.496768802</v>
      </c>
      <c r="BQ156" s="148">
        <v>54039225.83765398</v>
      </c>
      <c r="BR156" s="157">
        <f t="shared" si="94"/>
        <v>3.2799149722085863E-2</v>
      </c>
      <c r="BT156" s="94"/>
      <c r="BU156" s="158"/>
      <c r="BX156" s="94"/>
    </row>
    <row r="157" spans="1:76" ht="15.4" x14ac:dyDescent="0.45">
      <c r="A157" s="139" t="s">
        <v>252</v>
      </c>
      <c r="B157" s="140" t="s">
        <v>253</v>
      </c>
      <c r="C157" s="102">
        <v>384</v>
      </c>
      <c r="D157" s="141" t="s">
        <v>267</v>
      </c>
      <c r="E157" s="348">
        <v>1.0002429734488885</v>
      </c>
      <c r="F157" s="142">
        <v>515.5</v>
      </c>
      <c r="G157" s="143">
        <f t="shared" si="100"/>
        <v>4000.971893795554</v>
      </c>
      <c r="H157" s="144">
        <f t="shared" si="101"/>
        <v>2062501.0112516081</v>
      </c>
      <c r="I157" s="144">
        <f>INDEX('Baselines+Historic Spend Factor'!$Q$9:$Q$159,MATCH(C157,'Baselines+Historic Spend Factor'!$C$9:$C$159,0))</f>
        <v>12587527.165731154</v>
      </c>
      <c r="J157" s="142">
        <v>67813.638000000006</v>
      </c>
      <c r="K157" s="145">
        <f t="shared" si="102"/>
        <v>67830.114913506535</v>
      </c>
      <c r="L157" s="144">
        <f t="shared" si="103"/>
        <v>7947892.4718982494</v>
      </c>
      <c r="M157" s="142">
        <v>6825.5000000000036</v>
      </c>
      <c r="N157" s="145">
        <f t="shared" si="104"/>
        <v>6827.1584152753921</v>
      </c>
      <c r="O157" s="144">
        <f t="shared" si="105"/>
        <v>1674937.9974206069</v>
      </c>
      <c r="P157" s="142">
        <v>7754</v>
      </c>
      <c r="Q157" s="145">
        <f t="shared" si="106"/>
        <v>7755.8840161226808</v>
      </c>
      <c r="R157" s="147">
        <f t="shared" si="107"/>
        <v>264026.59179999476</v>
      </c>
      <c r="S157" s="142">
        <v>8216</v>
      </c>
      <c r="T157" s="145">
        <f t="shared" si="108"/>
        <v>8217.9962698560685</v>
      </c>
      <c r="U157" s="147">
        <f t="shared" si="109"/>
        <v>363339.69905363175</v>
      </c>
      <c r="V157" s="142">
        <v>4898</v>
      </c>
      <c r="W157" s="145">
        <f t="shared" si="110"/>
        <v>4899.1900839526561</v>
      </c>
      <c r="X157" s="147">
        <f t="shared" si="111"/>
        <v>295432.92410331342</v>
      </c>
      <c r="Y157" s="142">
        <v>5586</v>
      </c>
      <c r="Z157" s="145">
        <f t="shared" si="112"/>
        <v>5587.3572496854913</v>
      </c>
      <c r="AA157" s="147">
        <f t="shared" si="113"/>
        <v>360389.14259886852</v>
      </c>
      <c r="AB157" s="142">
        <v>5964</v>
      </c>
      <c r="AC157" s="145">
        <f t="shared" si="114"/>
        <v>5965.4490936491711</v>
      </c>
      <c r="AD157" s="147">
        <f t="shared" si="115"/>
        <v>421346.70860436943</v>
      </c>
      <c r="AE157" s="142">
        <v>2115</v>
      </c>
      <c r="AF157" s="145">
        <f t="shared" si="116"/>
        <v>2115.5138888443989</v>
      </c>
      <c r="AG157" s="147">
        <f t="shared" si="117"/>
        <v>202192.20885617216</v>
      </c>
      <c r="AH157" s="144">
        <f t="shared" si="118"/>
        <v>1906727.27501635</v>
      </c>
      <c r="AI157" s="142">
        <v>364</v>
      </c>
      <c r="AJ157" s="145">
        <f t="shared" si="119"/>
        <v>364.08844233539543</v>
      </c>
      <c r="AK157" s="147">
        <f t="shared" si="120"/>
        <v>1123721.5598378472</v>
      </c>
      <c r="AL157" s="142">
        <v>2850</v>
      </c>
      <c r="AM157" s="145">
        <f t="shared" si="121"/>
        <v>2850.6924743293321</v>
      </c>
      <c r="AN157" s="147">
        <f t="shared" si="122"/>
        <v>1453037.4029680523</v>
      </c>
      <c r="AO157" s="142">
        <v>908</v>
      </c>
      <c r="AP157" s="145">
        <f t="shared" si="123"/>
        <v>908.22061989159067</v>
      </c>
      <c r="AQ157" s="147">
        <f t="shared" si="124"/>
        <v>1599702.8267330769</v>
      </c>
      <c r="AR157" s="142">
        <v>980</v>
      </c>
      <c r="AS157" s="145">
        <f t="shared" si="125"/>
        <v>980.23811397991074</v>
      </c>
      <c r="AT157" s="147">
        <f t="shared" si="126"/>
        <v>1418070.5395893774</v>
      </c>
      <c r="AU157" s="144">
        <f t="shared" si="127"/>
        <v>29711617.239194717</v>
      </c>
      <c r="AV157" s="148">
        <f>INDEX('Baselines+Historic Spend Factor'!P$9:P$159,MATCH('2019-20 StepbyStep Allocations'!C157,'Baselines+Historic Spend Factor'!C$9:C$159,0))</f>
        <v>25175054.331462309</v>
      </c>
      <c r="AW157" s="149">
        <v>66661.972999999998</v>
      </c>
      <c r="AX157" s="150">
        <f t="shared" si="128"/>
        <v>377.65240358940935</v>
      </c>
      <c r="AY157" s="148">
        <f t="shared" si="129"/>
        <v>381.42892762530346</v>
      </c>
      <c r="AZ157" s="148">
        <f t="shared" si="130"/>
        <v>438.1363117429965</v>
      </c>
      <c r="BA157" s="148">
        <f t="shared" si="131"/>
        <v>438.1363117429965</v>
      </c>
      <c r="BB157" s="151">
        <f t="shared" si="132"/>
        <v>0</v>
      </c>
      <c r="BC157" s="148">
        <f t="shared" si="133"/>
        <v>0</v>
      </c>
      <c r="BD157" s="144">
        <f t="shared" si="134"/>
        <v>0</v>
      </c>
      <c r="BE157" s="144">
        <f t="shared" si="95"/>
        <v>29711617.239194717</v>
      </c>
      <c r="BF157" s="144">
        <f>INDEX('Hospital Education Funding'!$G$9:$G$159,MATCH(C157,'Hospital Education Funding'!$C$9:$C$158,0))</f>
        <v>688696.78</v>
      </c>
      <c r="BG157" s="152">
        <f>INDEX('Import|Export Adjustments Data'!$Q$9:$Q$159,MATCH('2019-20 StepbyStep Allocations'!$C157,'Import|Export Adjustments Data'!$C$9:$C$159,0))</f>
        <v>-10</v>
      </c>
      <c r="BH157" s="144">
        <f t="shared" si="135"/>
        <v>-60000</v>
      </c>
      <c r="BI157" s="153">
        <f>INDEX('Baselines+Historic Spend Factor'!$F$9:$F$159,MATCH('2019-20 StepbyStep Allocations'!C157,'Baselines+Historic Spend Factor'!C$9:C$159,0))-INDEX('Baselines+Historic Spend Factor'!$G$9:$G$159,MATCH('2019-20 StepbyStep Allocations'!C157,'Baselines+Historic Spend Factor'!C$9:C$159,0))</f>
        <v>27762397.38264348</v>
      </c>
      <c r="BJ157" s="154">
        <f t="shared" si="96"/>
        <v>32402815.030446328</v>
      </c>
      <c r="BK157" s="155">
        <f t="shared" si="136"/>
        <v>0.16714758397284335</v>
      </c>
      <c r="BL157" s="156">
        <f t="shared" si="137"/>
        <v>377.65240358940935</v>
      </c>
      <c r="BM157" s="148">
        <f t="shared" si="97"/>
        <v>438.1363117429965</v>
      </c>
      <c r="BN157" s="148">
        <f t="shared" si="138"/>
        <v>400.65143496800437</v>
      </c>
      <c r="BO157" s="148">
        <f t="shared" si="98"/>
        <v>27169631.375100791</v>
      </c>
      <c r="BP157" s="144">
        <f t="shared" si="99"/>
        <v>29860829.166352399</v>
      </c>
      <c r="BQ157" s="148">
        <v>28714428.92547014</v>
      </c>
      <c r="BR157" s="157">
        <f t="shared" si="94"/>
        <v>3.992418737833181E-2</v>
      </c>
      <c r="BT157" s="94"/>
      <c r="BU157" s="158"/>
      <c r="BX157" s="94"/>
    </row>
    <row r="158" spans="1:76" ht="15.4" x14ac:dyDescent="0.45">
      <c r="A158" s="139" t="s">
        <v>268</v>
      </c>
      <c r="B158" s="140" t="s">
        <v>253</v>
      </c>
      <c r="C158" s="102">
        <v>816</v>
      </c>
      <c r="D158" s="141" t="s">
        <v>268</v>
      </c>
      <c r="E158" s="348">
        <v>1</v>
      </c>
      <c r="F158" s="142">
        <v>258</v>
      </c>
      <c r="G158" s="143">
        <f t="shared" si="100"/>
        <v>4000</v>
      </c>
      <c r="H158" s="144">
        <f t="shared" si="101"/>
        <v>1032000</v>
      </c>
      <c r="I158" s="144">
        <f>INDEX('Baselines+Historic Spend Factor'!$Q$9:$Q$159,MATCH(C158,'Baselines+Historic Spend Factor'!$C$9:$C$159,0))</f>
        <v>7994160.7378354371</v>
      </c>
      <c r="J158" s="142">
        <v>35688.434999999998</v>
      </c>
      <c r="K158" s="145">
        <f t="shared" si="102"/>
        <v>35688.434999999998</v>
      </c>
      <c r="L158" s="144">
        <f t="shared" si="103"/>
        <v>4181739.1026393375</v>
      </c>
      <c r="M158" s="142">
        <v>1899</v>
      </c>
      <c r="N158" s="145">
        <f t="shared" si="104"/>
        <v>1899</v>
      </c>
      <c r="O158" s="144">
        <f t="shared" si="105"/>
        <v>465890.35490740545</v>
      </c>
      <c r="P158" s="142">
        <v>3493</v>
      </c>
      <c r="Q158" s="145">
        <f t="shared" si="106"/>
        <v>3493</v>
      </c>
      <c r="R158" s="147">
        <f t="shared" si="107"/>
        <v>118909.06094524477</v>
      </c>
      <c r="S158" s="142">
        <v>646</v>
      </c>
      <c r="T158" s="145">
        <f t="shared" si="108"/>
        <v>646</v>
      </c>
      <c r="U158" s="147">
        <f t="shared" si="109"/>
        <v>28561.395975512773</v>
      </c>
      <c r="V158" s="142">
        <v>1557</v>
      </c>
      <c r="W158" s="145">
        <f t="shared" si="110"/>
        <v>1557</v>
      </c>
      <c r="X158" s="147">
        <f t="shared" si="111"/>
        <v>93890.838066389289</v>
      </c>
      <c r="Y158" s="142">
        <v>1152</v>
      </c>
      <c r="Z158" s="145">
        <f t="shared" si="112"/>
        <v>1152</v>
      </c>
      <c r="AA158" s="147">
        <f t="shared" si="113"/>
        <v>74304.948425709867</v>
      </c>
      <c r="AB158" s="142">
        <v>891</v>
      </c>
      <c r="AC158" s="145">
        <f t="shared" si="114"/>
        <v>891</v>
      </c>
      <c r="AD158" s="147">
        <f t="shared" si="115"/>
        <v>62932.381363570094</v>
      </c>
      <c r="AE158" s="142">
        <v>0</v>
      </c>
      <c r="AF158" s="145">
        <f t="shared" si="116"/>
        <v>0</v>
      </c>
      <c r="AG158" s="147">
        <f t="shared" si="117"/>
        <v>0</v>
      </c>
      <c r="AH158" s="144">
        <f t="shared" si="118"/>
        <v>378598.62477642682</v>
      </c>
      <c r="AI158" s="142">
        <v>139</v>
      </c>
      <c r="AJ158" s="145">
        <f t="shared" si="119"/>
        <v>139</v>
      </c>
      <c r="AK158" s="147">
        <f t="shared" si="120"/>
        <v>429009.21494666126</v>
      </c>
      <c r="AL158" s="142">
        <v>800</v>
      </c>
      <c r="AM158" s="145">
        <f t="shared" si="121"/>
        <v>800</v>
      </c>
      <c r="AN158" s="147">
        <f t="shared" si="122"/>
        <v>407771.07065816375</v>
      </c>
      <c r="AO158" s="142">
        <v>317</v>
      </c>
      <c r="AP158" s="145">
        <f t="shared" si="123"/>
        <v>317</v>
      </c>
      <c r="AQ158" s="147">
        <f t="shared" si="124"/>
        <v>558350.89511061297</v>
      </c>
      <c r="AR158" s="142">
        <v>264</v>
      </c>
      <c r="AS158" s="145">
        <f t="shared" si="125"/>
        <v>264</v>
      </c>
      <c r="AT158" s="147">
        <f t="shared" si="126"/>
        <v>381918.0432921506</v>
      </c>
      <c r="AU158" s="144">
        <f t="shared" si="127"/>
        <v>14797438.044166194</v>
      </c>
      <c r="AV158" s="148">
        <f>INDEX('Baselines+Historic Spend Factor'!P$9:P$159,MATCH('2019-20 StepbyStep Allocations'!C158,'Baselines+Historic Spend Factor'!C$9:C$159,0))</f>
        <v>15988321.475670874</v>
      </c>
      <c r="AW158" s="149">
        <v>35365.218000000001</v>
      </c>
      <c r="AX158" s="150">
        <f t="shared" si="128"/>
        <v>452.09169856300258</v>
      </c>
      <c r="AY158" s="148">
        <f t="shared" si="129"/>
        <v>456.61261554863262</v>
      </c>
      <c r="AZ158" s="148">
        <f t="shared" si="130"/>
        <v>414.62838155178827</v>
      </c>
      <c r="BA158" s="148">
        <f t="shared" si="131"/>
        <v>456.61261554863262</v>
      </c>
      <c r="BB158" s="151">
        <f t="shared" si="132"/>
        <v>1498351.6060211698</v>
      </c>
      <c r="BC158" s="148">
        <f t="shared" si="133"/>
        <v>0</v>
      </c>
      <c r="BD158" s="144">
        <f t="shared" si="134"/>
        <v>1498351.6060211698</v>
      </c>
      <c r="BE158" s="144">
        <f t="shared" si="95"/>
        <v>16295789.650187364</v>
      </c>
      <c r="BF158" s="144">
        <f>INDEX('Hospital Education Funding'!$G$9:$G$159,MATCH(C158,'Hospital Education Funding'!$C$9:$C$158,0))</f>
        <v>218387.25</v>
      </c>
      <c r="BG158" s="152">
        <f>INDEX('Import|Export Adjustments Data'!$Q$9:$Q$159,MATCH('2019-20 StepbyStep Allocations'!$C158,'Import|Export Adjustments Data'!$C$9:$C$159,0))</f>
        <v>213</v>
      </c>
      <c r="BH158" s="144">
        <f t="shared" si="135"/>
        <v>1278000</v>
      </c>
      <c r="BI158" s="153">
        <f>INDEX('Baselines+Historic Spend Factor'!$F$9:$F$159,MATCH('2019-20 StepbyStep Allocations'!C158,'Baselines+Historic Spend Factor'!C$9:C$159,0))-INDEX('Baselines+Historic Spend Factor'!$G$9:$G$159,MATCH('2019-20 StepbyStep Allocations'!C158,'Baselines+Historic Spend Factor'!C$9:C$159,0))</f>
        <v>18284546.475670874</v>
      </c>
      <c r="BJ158" s="154">
        <f t="shared" si="96"/>
        <v>18824176.900187366</v>
      </c>
      <c r="BK158" s="155">
        <f t="shared" si="136"/>
        <v>2.9512923672157632E-2</v>
      </c>
      <c r="BL158" s="156">
        <f t="shared" si="137"/>
        <v>452.09169856300258</v>
      </c>
      <c r="BM158" s="148">
        <f t="shared" si="97"/>
        <v>456.61261554863262</v>
      </c>
      <c r="BN158" s="148">
        <f t="shared" si="138"/>
        <v>456.61261554863262</v>
      </c>
      <c r="BO158" s="148">
        <f t="shared" si="98"/>
        <v>16295789.650187364</v>
      </c>
      <c r="BP158" s="144">
        <f t="shared" si="99"/>
        <v>18824176.900187366</v>
      </c>
      <c r="BQ158" s="148">
        <v>18689239.723393906</v>
      </c>
      <c r="BR158" s="157">
        <f t="shared" si="94"/>
        <v>7.22004633631812E-3</v>
      </c>
      <c r="BT158" s="94"/>
      <c r="BU158" s="158"/>
      <c r="BX158" s="94"/>
    </row>
    <row r="159" spans="1:76" ht="15.75" thickBot="1" x14ac:dyDescent="0.5">
      <c r="B159" s="159" t="s">
        <v>18</v>
      </c>
      <c r="C159" s="160">
        <v>9999</v>
      </c>
      <c r="D159" s="161" t="s">
        <v>18</v>
      </c>
      <c r="E159" s="349">
        <v>1</v>
      </c>
      <c r="F159" s="162">
        <v>7255.3333330000005</v>
      </c>
      <c r="G159" s="340">
        <f t="shared" si="100"/>
        <v>4000</v>
      </c>
      <c r="H159" s="163">
        <f t="shared" si="101"/>
        <v>29021333.332000002</v>
      </c>
      <c r="I159" s="163">
        <f>INDEX('Baselines+Historic Spend Factor'!$Q$9:$Q$159,MATCH(C159,'Baselines+Historic Spend Factor'!$C$9:$C$159,0))</f>
        <v>0</v>
      </c>
      <c r="J159" s="162">
        <v>0</v>
      </c>
      <c r="K159" s="164">
        <f t="shared" si="102"/>
        <v>0</v>
      </c>
      <c r="L159" s="163">
        <f t="shared" si="103"/>
        <v>0</v>
      </c>
      <c r="M159" s="162">
        <v>0</v>
      </c>
      <c r="N159" s="165">
        <f t="shared" si="104"/>
        <v>0</v>
      </c>
      <c r="O159" s="163">
        <f t="shared" si="105"/>
        <v>0</v>
      </c>
      <c r="P159" s="162">
        <v>0</v>
      </c>
      <c r="Q159" s="165">
        <f t="shared" si="106"/>
        <v>0</v>
      </c>
      <c r="R159" s="166">
        <f t="shared" si="107"/>
        <v>0</v>
      </c>
      <c r="S159" s="162">
        <v>0</v>
      </c>
      <c r="T159" s="165">
        <f t="shared" si="108"/>
        <v>0</v>
      </c>
      <c r="U159" s="166">
        <f t="shared" si="109"/>
        <v>0</v>
      </c>
      <c r="V159" s="162">
        <v>0</v>
      </c>
      <c r="W159" s="165">
        <f t="shared" si="110"/>
        <v>0</v>
      </c>
      <c r="X159" s="166">
        <f t="shared" si="111"/>
        <v>0</v>
      </c>
      <c r="Y159" s="162">
        <v>0</v>
      </c>
      <c r="Z159" s="165">
        <f t="shared" si="112"/>
        <v>0</v>
      </c>
      <c r="AA159" s="166">
        <f t="shared" si="113"/>
        <v>0</v>
      </c>
      <c r="AB159" s="162">
        <v>0</v>
      </c>
      <c r="AC159" s="165">
        <f t="shared" si="114"/>
        <v>0</v>
      </c>
      <c r="AD159" s="166">
        <f t="shared" si="115"/>
        <v>0</v>
      </c>
      <c r="AE159" s="162">
        <v>0</v>
      </c>
      <c r="AF159" s="165">
        <f t="shared" si="116"/>
        <v>0</v>
      </c>
      <c r="AG159" s="166">
        <f t="shared" si="117"/>
        <v>0</v>
      </c>
      <c r="AH159" s="163">
        <f t="shared" si="118"/>
        <v>0</v>
      </c>
      <c r="AI159" s="162">
        <v>0</v>
      </c>
      <c r="AJ159" s="165">
        <f t="shared" si="119"/>
        <v>0</v>
      </c>
      <c r="AK159" s="166">
        <f t="shared" si="120"/>
        <v>0</v>
      </c>
      <c r="AL159" s="162">
        <v>0</v>
      </c>
      <c r="AM159" s="165">
        <f t="shared" si="121"/>
        <v>0</v>
      </c>
      <c r="AN159" s="166">
        <f t="shared" si="122"/>
        <v>0</v>
      </c>
      <c r="AO159" s="162">
        <v>0</v>
      </c>
      <c r="AP159" s="165">
        <f t="shared" si="123"/>
        <v>0</v>
      </c>
      <c r="AQ159" s="166">
        <f t="shared" si="124"/>
        <v>0</v>
      </c>
      <c r="AR159" s="162">
        <v>0</v>
      </c>
      <c r="AS159" s="165">
        <f t="shared" si="125"/>
        <v>0</v>
      </c>
      <c r="AT159" s="166">
        <f t="shared" si="126"/>
        <v>0</v>
      </c>
      <c r="AU159" s="163">
        <f t="shared" si="127"/>
        <v>0</v>
      </c>
      <c r="AV159" s="167">
        <f>INDEX('Baselines+Historic Spend Factor'!P$9:P$159,MATCH('2019-20 StepbyStep Allocations'!C159,'Baselines+Historic Spend Factor'!C$9:C$159,0))</f>
        <v>0</v>
      </c>
      <c r="AW159" s="168">
        <v>0</v>
      </c>
      <c r="AX159" s="167">
        <f>INDEX('Baselines+Historic Spend Factor'!R$9:R$159,MATCH('2019-20 StepbyStep Allocations'!E159,'Baselines+Historic Spend Factor'!E$9:E$159,0))</f>
        <v>0</v>
      </c>
      <c r="AY159" s="167">
        <f t="shared" si="129"/>
        <v>0</v>
      </c>
      <c r="AZ159" s="167">
        <v>0</v>
      </c>
      <c r="BA159" s="167">
        <v>0</v>
      </c>
      <c r="BB159" s="167">
        <v>0</v>
      </c>
      <c r="BC159" s="167">
        <f t="shared" si="133"/>
        <v>0</v>
      </c>
      <c r="BD159" s="163">
        <f t="shared" si="134"/>
        <v>0</v>
      </c>
      <c r="BE159" s="163">
        <f t="shared" si="95"/>
        <v>0</v>
      </c>
      <c r="BF159" s="163">
        <v>0</v>
      </c>
      <c r="BG159" s="304">
        <f>INDEX('Import|Export Adjustments Data'!$Q$9:$Q$159,MATCH('2019-20 StepbyStep Allocations'!$C159,'Import|Export Adjustments Data'!$C$9:$C$159,0))</f>
        <v>7255.3333330000005</v>
      </c>
      <c r="BH159" s="163">
        <f t="shared" si="135"/>
        <v>43531999.998000003</v>
      </c>
      <c r="BI159" s="169">
        <f>INDEX('Baselines+Historic Spend Factor'!$F$9:$F$159,MATCH('2019-20 StepbyStep Allocations'!C159,'Baselines+Historic Spend Factor'!C$9:C$159,0))-INDEX('Baselines+Historic Spend Factor'!$G$9:$G$159,MATCH('2019-20 StepbyStep Allocations'!C159,'Baselines+Historic Spend Factor'!C$9:C$159,0))</f>
        <v>71745000</v>
      </c>
      <c r="BJ159" s="170">
        <f t="shared" si="96"/>
        <v>72553333.330000013</v>
      </c>
      <c r="BK159" s="171">
        <f t="shared" si="136"/>
        <v>1.1266754895811637E-2</v>
      </c>
      <c r="BL159" s="172"/>
      <c r="BM159" s="167"/>
      <c r="BN159" s="167"/>
      <c r="BO159" s="167">
        <v>0</v>
      </c>
      <c r="BP159" s="163">
        <f t="shared" si="99"/>
        <v>72553333.330000013</v>
      </c>
      <c r="BQ159" s="167">
        <v>72229999.997999996</v>
      </c>
      <c r="BR159" s="173">
        <f t="shared" si="94"/>
        <v>4.4764409803264016E-3</v>
      </c>
      <c r="BT159" s="94"/>
      <c r="BU159" s="158"/>
      <c r="BX159" s="94"/>
    </row>
    <row r="161" ht="15" customHeight="1" x14ac:dyDescent="0.45"/>
  </sheetData>
  <mergeCells count="31">
    <mergeCell ref="BJ6:BJ7"/>
    <mergeCell ref="BK6:BK7"/>
    <mergeCell ref="BL6:BR6"/>
    <mergeCell ref="AR6:AT6"/>
    <mergeCell ref="AU6:AU7"/>
    <mergeCell ref="AV6:BD6"/>
    <mergeCell ref="BE6:BE7"/>
    <mergeCell ref="BG6:BH6"/>
    <mergeCell ref="BI6:BI7"/>
    <mergeCell ref="AO6:AQ6"/>
    <mergeCell ref="I6:I7"/>
    <mergeCell ref="J6:L6"/>
    <mergeCell ref="M6:O6"/>
    <mergeCell ref="P6:R6"/>
    <mergeCell ref="S6:U6"/>
    <mergeCell ref="V6:X6"/>
    <mergeCell ref="Y6:AA6"/>
    <mergeCell ref="AB6:AD6"/>
    <mergeCell ref="AE6:AG6"/>
    <mergeCell ref="AI6:AK6"/>
    <mergeCell ref="AL6:AN6"/>
    <mergeCell ref="F5:H5"/>
    <mergeCell ref="J5:AT5"/>
    <mergeCell ref="AU5:BE5"/>
    <mergeCell ref="BG5:BH5"/>
    <mergeCell ref="BI5:BR5"/>
    <mergeCell ref="B6:B7"/>
    <mergeCell ref="C6:C7"/>
    <mergeCell ref="D6:D7"/>
    <mergeCell ref="E6:E7"/>
    <mergeCell ref="F6:H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4"/>
  </sheetPr>
  <dimension ref="A1:P181"/>
  <sheetViews>
    <sheetView showGridLines="0" zoomScale="85" zoomScaleNormal="85" workbookViewId="0"/>
  </sheetViews>
  <sheetFormatPr defaultColWidth="9.1328125" defaultRowHeight="14.25" outlineLevelRow="2" x14ac:dyDescent="0.45"/>
  <cols>
    <col min="1" max="1" width="4" customWidth="1"/>
    <col min="3" max="3" width="40.6640625" customWidth="1"/>
    <col min="4" max="4" width="6.33203125" customWidth="1"/>
    <col min="5" max="5" width="6" customWidth="1"/>
    <col min="6" max="6" width="36.1328125" customWidth="1"/>
    <col min="7" max="7" width="6.1328125" customWidth="1"/>
    <col min="8" max="8" width="26.33203125" customWidth="1"/>
    <col min="9" max="10" width="6.1328125" customWidth="1"/>
    <col min="11" max="11" width="38" customWidth="1"/>
    <col min="12" max="12" width="9.33203125" customWidth="1"/>
    <col min="13" max="13" width="38" style="10" customWidth="1"/>
    <col min="14" max="14" width="14.33203125" bestFit="1" customWidth="1"/>
    <col min="15" max="15" width="20.6640625" bestFit="1" customWidth="1"/>
    <col min="16" max="16" width="12.33203125" bestFit="1" customWidth="1"/>
  </cols>
  <sheetData>
    <row r="1" spans="1:16" ht="25.15" x14ac:dyDescent="0.45">
      <c r="C1" s="2" t="s">
        <v>349</v>
      </c>
      <c r="M1"/>
      <c r="O1" s="10"/>
    </row>
    <row r="2" spans="1:16" ht="25.15" x14ac:dyDescent="0.7">
      <c r="C2" s="88"/>
      <c r="M2"/>
      <c r="O2" s="10"/>
    </row>
    <row r="3" spans="1:16" ht="24.75" x14ac:dyDescent="0.65">
      <c r="C3" s="325" t="s">
        <v>350</v>
      </c>
      <c r="M3"/>
      <c r="O3" s="10"/>
    </row>
    <row r="4" spans="1:16" ht="14.65" thickBot="1" x14ac:dyDescent="0.5">
      <c r="A4" s="174"/>
      <c r="B4" s="175">
        <f>MATCH(F7,'2019-20 StepbyStep Allocations'!C:C,0)</f>
        <v>158</v>
      </c>
      <c r="C4" s="174"/>
      <c r="E4" s="174"/>
      <c r="F4" s="174"/>
      <c r="G4" s="176"/>
      <c r="H4" s="174"/>
      <c r="I4" s="176"/>
      <c r="J4" s="176"/>
      <c r="K4" s="174"/>
      <c r="L4" s="176"/>
      <c r="M4" s="177"/>
      <c r="N4" s="174"/>
    </row>
    <row r="5" spans="1:16" ht="30.4" thickBot="1" x14ac:dyDescent="0.5">
      <c r="A5" s="174"/>
      <c r="B5" s="174"/>
      <c r="C5" s="178" t="s">
        <v>351</v>
      </c>
      <c r="E5" s="174"/>
      <c r="F5" s="179" t="s">
        <v>268</v>
      </c>
      <c r="G5" s="176"/>
      <c r="H5" s="180" t="s">
        <v>352</v>
      </c>
      <c r="I5" s="176"/>
      <c r="J5" s="176"/>
      <c r="K5" s="174"/>
      <c r="L5" s="176"/>
      <c r="M5" s="177"/>
      <c r="N5" s="174"/>
    </row>
    <row r="6" spans="1:16" ht="15.4" thickBot="1" x14ac:dyDescent="0.5">
      <c r="A6" s="174"/>
      <c r="B6" s="174"/>
      <c r="C6" s="181" t="s">
        <v>277</v>
      </c>
      <c r="E6" s="174"/>
      <c r="F6" s="182" t="str">
        <f>INDEX('2019-20 StepbyStep Allocations'!$B$9:$B$158, MATCH(F5,'2019-20 StepbyStep Allocations'!$D$9:$D$158,0))</f>
        <v xml:space="preserve">YORKSHIRE AND THE HUMBER </v>
      </c>
      <c r="G6" s="176"/>
      <c r="H6" s="350">
        <f>INDEX('2019-20 StepbyStep Allocations'!E:E,B4)</f>
        <v>1</v>
      </c>
      <c r="I6" s="176"/>
      <c r="J6" s="176"/>
      <c r="K6" s="174"/>
      <c r="L6" s="176"/>
      <c r="M6" s="177"/>
      <c r="N6" s="174"/>
    </row>
    <row r="7" spans="1:16" ht="15.4" thickBot="1" x14ac:dyDescent="0.5">
      <c r="A7" s="174"/>
      <c r="B7" s="174"/>
      <c r="C7" s="183" t="s">
        <v>278</v>
      </c>
      <c r="E7" s="174"/>
      <c r="F7" s="184">
        <f>INDEX('2019-20 StepbyStep Allocations'!$C$9:$C$158, MATCH(F5,'2019-20 StepbyStep Allocations'!$D$9:$D$158,0))</f>
        <v>816</v>
      </c>
      <c r="G7" s="176"/>
      <c r="H7" s="174"/>
      <c r="I7" s="176"/>
      <c r="J7" s="176"/>
      <c r="K7" s="174"/>
      <c r="L7" s="176"/>
      <c r="M7" s="177"/>
      <c r="N7" s="174"/>
    </row>
    <row r="8" spans="1:16" ht="14.65" thickBot="1" x14ac:dyDescent="0.5">
      <c r="A8" s="174"/>
      <c r="B8" s="174"/>
      <c r="C8" s="174"/>
      <c r="E8" s="174"/>
      <c r="F8" s="174"/>
      <c r="G8" s="176"/>
      <c r="H8" s="175"/>
      <c r="I8" s="185"/>
      <c r="J8" s="185"/>
      <c r="K8" s="186"/>
      <c r="L8" s="185"/>
      <c r="M8" s="187"/>
      <c r="N8" s="175"/>
    </row>
    <row r="9" spans="1:16" ht="15" x14ac:dyDescent="0.45">
      <c r="A9" s="174"/>
      <c r="B9" s="174"/>
      <c r="C9" s="188" t="str">
        <f ca="1">HYPERLINK("#"&amp; CELL("address",C25),C25 &amp;" ("&amp;100*ROUND(F9/$F$20,2)&amp;"%)")</f>
        <v>(A) Basic entitlement factor (6%)</v>
      </c>
      <c r="E9" s="174"/>
      <c r="F9" s="189">
        <f>INDEX('2019-20 StepbyStep Allocations'!H:H,$B$4)</f>
        <v>1032000</v>
      </c>
      <c r="G9" s="176"/>
      <c r="H9" s="175"/>
      <c r="I9" s="185"/>
      <c r="J9" s="185"/>
      <c r="K9" s="175" t="str">
        <f>"Formula split for " &amp; F5</f>
        <v>Formula split for York</v>
      </c>
      <c r="L9" s="185"/>
      <c r="M9" s="187"/>
      <c r="N9" s="175"/>
    </row>
    <row r="10" spans="1:16" ht="15" x14ac:dyDescent="0.45">
      <c r="A10" s="174"/>
      <c r="B10" s="174"/>
      <c r="C10" s="190" t="str">
        <f ca="1">HYPERLINK("#"&amp; CELL("address",C29),C29 &amp; " (" &amp; 100*ROUND(F10/$F$20, 2) &amp; "%)")</f>
        <v>(B) Historic spend factor (46%)</v>
      </c>
      <c r="E10" s="174"/>
      <c r="F10" s="191">
        <f>INDEX('2019-20 StepbyStep Allocations'!I:I,$B$4)</f>
        <v>7994160.7378354371</v>
      </c>
      <c r="G10" s="176"/>
      <c r="H10" s="175"/>
      <c r="I10" s="185"/>
      <c r="J10" s="185"/>
      <c r="K10" s="175"/>
      <c r="L10" s="185"/>
      <c r="M10" s="187"/>
      <c r="N10" s="175" t="s">
        <v>353</v>
      </c>
    </row>
    <row r="11" spans="1:16" ht="15" x14ac:dyDescent="0.45">
      <c r="A11" s="174"/>
      <c r="B11" s="174"/>
      <c r="C11" s="190" t="str">
        <f ca="1">HYPERLINK("#"&amp; CELL("address",C40),C40 &amp; " (" &amp; 100*ROUND(F11/$F$20, 2) &amp; "%)")</f>
        <v>(C) Population factor (24%)</v>
      </c>
      <c r="E11" s="174"/>
      <c r="F11" s="191">
        <f>INDEX('2019-20 StepbyStep Allocations'!L:L,$B$4)</f>
        <v>4181739.1026393375</v>
      </c>
      <c r="G11" s="176"/>
      <c r="H11" s="175"/>
      <c r="I11" s="185"/>
      <c r="J11" s="185"/>
      <c r="K11" s="186"/>
      <c r="L11" s="185"/>
      <c r="M11" s="187"/>
      <c r="N11" s="11" t="s">
        <v>281</v>
      </c>
      <c r="O11" t="str">
        <f t="shared" ref="O11:O21" si="0">N11 &amp;" (" &amp; 100*ROUND(P11,2)&amp;"%)"</f>
        <v>(A) Basic entitlement factor (8%)</v>
      </c>
      <c r="P11" s="192">
        <f>'2019-20 StepbyStep Allocations'!H$8/'2019-20 StepbyStep Allocations'!$BJ$8</f>
        <v>8.4902104863944658E-2</v>
      </c>
    </row>
    <row r="12" spans="1:16" ht="15" x14ac:dyDescent="0.45">
      <c r="A12" s="174"/>
      <c r="B12" s="174"/>
      <c r="C12" s="190" t="str">
        <f ca="1">HYPERLINK("#"&amp; CELL("address",C48),C48 &amp; " (" &amp; 100*ROUND(F12/$F$20, 2) &amp; "%)")</f>
        <v>(D) FSM factor (3%)</v>
      </c>
      <c r="E12" s="174"/>
      <c r="F12" s="191">
        <f>INDEX('2019-20 StepbyStep Allocations'!O:O,$B$4)</f>
        <v>465890.35490740545</v>
      </c>
      <c r="G12" s="176"/>
      <c r="H12" s="175"/>
      <c r="I12" s="185"/>
      <c r="J12" s="185"/>
      <c r="K12" s="175"/>
      <c r="L12" s="185"/>
      <c r="M12" s="187"/>
      <c r="N12" s="11" t="s">
        <v>354</v>
      </c>
      <c r="O12" t="str">
        <f t="shared" si="0"/>
        <v>(B) Historic spend factor (43%)</v>
      </c>
      <c r="P12" s="192">
        <f>'2019-20 StepbyStep Allocations'!I$8/'2019-20 StepbyStep Allocations'!$BJ$8</f>
        <v>0.42579576123399071</v>
      </c>
    </row>
    <row r="13" spans="1:16" ht="15" x14ac:dyDescent="0.45">
      <c r="A13" s="174"/>
      <c r="B13" s="174"/>
      <c r="C13" s="190" t="str">
        <f ca="1">HYPERLINK("#"&amp; CELL("address",C104),C104 &amp; " (" &amp; 100*ROUND(F13/$F$20, 2) &amp; "%)")</f>
        <v>(E) IDACI factor (2%)</v>
      </c>
      <c r="E13" s="174"/>
      <c r="F13" s="191">
        <f>INDEX('2019-20 StepbyStep Allocations'!AH:AH,$B$4)</f>
        <v>378598.62477642682</v>
      </c>
      <c r="G13" s="176"/>
      <c r="H13" s="175"/>
      <c r="I13" s="185"/>
      <c r="J13" s="185"/>
      <c r="K13" s="175"/>
      <c r="L13" s="185"/>
      <c r="M13" s="187"/>
      <c r="N13" s="11" t="s">
        <v>283</v>
      </c>
      <c r="O13" t="str">
        <f t="shared" si="0"/>
        <v>(C) Population factor (22%)</v>
      </c>
      <c r="P13" s="192">
        <f>'2019-20 StepbyStep Allocations'!L$8/'2019-20 StepbyStep Allocations'!$BJ$8</f>
        <v>0.21959944610182031</v>
      </c>
    </row>
    <row r="14" spans="1:16" ht="15" x14ac:dyDescent="0.45">
      <c r="A14" s="174"/>
      <c r="B14" s="174"/>
      <c r="C14" s="190" t="str">
        <f ca="1">HYPERLINK("#"&amp; CELL("address",C106),C106 &amp; " (" &amp; 100*ROUND(F14/$F$20, 2) &amp; "%)")</f>
        <v>(F) Bad health factor (2%)</v>
      </c>
      <c r="E14" s="174"/>
      <c r="F14" s="191">
        <f>INDEX('2019-20 StepbyStep Allocations'!AK:AK,$B$4)</f>
        <v>429009.21494666126</v>
      </c>
      <c r="G14" s="176"/>
      <c r="H14" s="175"/>
      <c r="I14" s="185"/>
      <c r="J14" s="185"/>
      <c r="K14" s="175"/>
      <c r="L14" s="185"/>
      <c r="M14" s="187"/>
      <c r="N14" s="11" t="s">
        <v>284</v>
      </c>
      <c r="O14" t="str">
        <f t="shared" si="0"/>
        <v>(D) FSM factor (4%)</v>
      </c>
      <c r="P14" s="192">
        <f>'2019-20 StepbyStep Allocations'!O$8/'2019-20 StepbyStep Allocations'!$BJ$8</f>
        <v>4.3919889220364064E-2</v>
      </c>
    </row>
    <row r="15" spans="1:16" ht="15" x14ac:dyDescent="0.45">
      <c r="A15" s="174"/>
      <c r="B15" s="174"/>
      <c r="C15" s="190" t="str">
        <f ca="1">HYPERLINK("#"&amp; CELL("address",C114),C114 &amp; " (" &amp; 100*ROUND(F15/$F$20, 2) &amp; "%)")</f>
        <v>(G) Disability factor (2%)</v>
      </c>
      <c r="E15" s="174"/>
      <c r="F15" s="191">
        <f>INDEX('2019-20 StepbyStep Allocations'!AN:AN,$B$4)</f>
        <v>407771.07065816375</v>
      </c>
      <c r="G15" s="176"/>
      <c r="H15" s="175"/>
      <c r="I15" s="185"/>
      <c r="J15" s="185"/>
      <c r="K15" s="175"/>
      <c r="L15" s="185"/>
      <c r="M15" s="187"/>
      <c r="N15" s="11" t="s">
        <v>291</v>
      </c>
      <c r="O15" t="str">
        <f t="shared" si="0"/>
        <v>(E) IDACI factor (4%)</v>
      </c>
      <c r="P15" s="192">
        <f>'2019-20 StepbyStep Allocations'!AH$8/'2019-20 StepbyStep Allocations'!$BJ$8</f>
        <v>4.3919889220364085E-2</v>
      </c>
    </row>
    <row r="16" spans="1:16" ht="15" x14ac:dyDescent="0.45">
      <c r="A16" s="174"/>
      <c r="B16" s="174"/>
      <c r="C16" s="190" t="str">
        <f ca="1">HYPERLINK("#"&amp; CELL("address",C122),C122 &amp; " (" &amp; 100*ROUND(F16/$F$20, 2) &amp; "%)")</f>
        <v>(H) KS2 low attainment factor (3%)</v>
      </c>
      <c r="E16" s="174"/>
      <c r="F16" s="191">
        <f>INDEX('2019-20 StepbyStep Allocations'!AQ:AQ,$B$4)</f>
        <v>558350.89511061297</v>
      </c>
      <c r="G16" s="176"/>
      <c r="H16" s="175"/>
      <c r="I16" s="185"/>
      <c r="J16" s="185"/>
      <c r="K16" s="175"/>
      <c r="L16" s="185"/>
      <c r="M16" s="187"/>
      <c r="N16" s="11" t="s">
        <v>292</v>
      </c>
      <c r="O16" t="str">
        <f t="shared" si="0"/>
        <v>(F) Bad health factor (3%)</v>
      </c>
      <c r="P16" s="192">
        <f>'2019-20 StepbyStep Allocations'!AK$8/'2019-20 StepbyStep Allocations'!$BJ$8</f>
        <v>3.2939916915273044E-2</v>
      </c>
    </row>
    <row r="17" spans="1:16" ht="15" x14ac:dyDescent="0.45">
      <c r="A17" s="174"/>
      <c r="B17" s="174"/>
      <c r="C17" s="190" t="str">
        <f ca="1">HYPERLINK("#"&amp; CELL("address",C130),C130 &amp; " (" &amp; 100*ROUND(F17/$F$20, 2) &amp; "%)")</f>
        <v>(I) KS4 low attainment factor (2%)</v>
      </c>
      <c r="E17" s="174"/>
      <c r="F17" s="191">
        <f>INDEX('2019-20 StepbyStep Allocations'!AT:AT,$B$4)</f>
        <v>381918.0432921506</v>
      </c>
      <c r="G17" s="176"/>
      <c r="H17" s="175"/>
      <c r="I17" s="185"/>
      <c r="J17" s="185"/>
      <c r="K17" s="175"/>
      <c r="L17" s="185"/>
      <c r="M17" s="187"/>
      <c r="N17" s="11" t="s">
        <v>293</v>
      </c>
      <c r="O17" t="str">
        <f t="shared" si="0"/>
        <v>(G) Disability factor (3%)</v>
      </c>
      <c r="P17" s="192">
        <f>'2019-20 StepbyStep Allocations'!AN$8/'2019-20 StepbyStep Allocations'!$BJ$8</f>
        <v>3.2939916915273044E-2</v>
      </c>
    </row>
    <row r="18" spans="1:16" ht="15" x14ac:dyDescent="0.45">
      <c r="A18" s="174"/>
      <c r="B18" s="174"/>
      <c r="C18" s="190" t="str">
        <f ca="1">HYPERLINK("#"&amp; CELL("address",C140),C140 &amp; " (" &amp; 100*ROUND(F18/$F$20, 2) &amp; "%)")</f>
        <v>(J) Funding floor factor (9%)</v>
      </c>
      <c r="E18" s="174"/>
      <c r="F18" s="191">
        <f>INDEX('2019-20 StepbyStep Allocations'!BD:BD,$B$4)</f>
        <v>1498351.6060211698</v>
      </c>
      <c r="G18" s="176"/>
      <c r="H18" s="175"/>
      <c r="I18" s="185"/>
      <c r="J18" s="185"/>
      <c r="K18" s="175"/>
      <c r="L18" s="185"/>
      <c r="M18" s="187"/>
      <c r="N18" s="11" t="s">
        <v>294</v>
      </c>
      <c r="O18" t="str">
        <f t="shared" si="0"/>
        <v>(H) KS2 low attainment factor (3%)</v>
      </c>
      <c r="P18" s="192">
        <f>'2019-20 StepbyStep Allocations'!AQ$8/'2019-20 StepbyStep Allocations'!$BJ$8</f>
        <v>3.2939916915273044E-2</v>
      </c>
    </row>
    <row r="19" spans="1:16" ht="15" x14ac:dyDescent="0.45">
      <c r="A19" s="174"/>
      <c r="B19" s="174"/>
      <c r="C19" s="193" t="str">
        <f ca="1">HYPERLINK("#"&amp; CELL("address",C159),LEFT(C159, 30) &amp; " (" &amp; 100*ROUND(F19/$F$20, 2) &amp; "%)")</f>
        <v>(K) Hospital education funding (1%)</v>
      </c>
      <c r="E19" s="174"/>
      <c r="F19" s="191">
        <f>INDEX('2019-20 StepbyStep Allocations'!BF:BF,$B$4)</f>
        <v>218387.25</v>
      </c>
      <c r="G19" s="176"/>
      <c r="H19" s="175"/>
      <c r="I19" s="185"/>
      <c r="J19" s="185"/>
      <c r="K19" s="175"/>
      <c r="L19" s="185"/>
      <c r="M19" s="187"/>
      <c r="N19" s="11" t="s">
        <v>295</v>
      </c>
      <c r="O19" t="str">
        <f t="shared" si="0"/>
        <v>(I) KS4 low attainment factor (3%)</v>
      </c>
      <c r="P19" s="192">
        <f>'2019-20 StepbyStep Allocations'!AT$8/'2019-20 StepbyStep Allocations'!$BJ$8</f>
        <v>3.2939916915273044E-2</v>
      </c>
    </row>
    <row r="20" spans="1:16" ht="30" x14ac:dyDescent="0.45">
      <c r="A20" s="174"/>
      <c r="B20" s="174"/>
      <c r="C20" s="190" t="str">
        <f ca="1">HYPERLINK("#"&amp; CELL("address",C161),C161 &amp; " (" &amp; 100*ROUND(F20/$F$20, 2) &amp; "%)")</f>
        <v>NFF allocation before provisional import/export adjustment (100%)</v>
      </c>
      <c r="E20" s="174"/>
      <c r="F20" s="194">
        <f>SUM(F9:F19)</f>
        <v>17546176.900187366</v>
      </c>
      <c r="G20" s="176"/>
      <c r="H20" s="175"/>
      <c r="I20" s="185"/>
      <c r="J20" s="185"/>
      <c r="K20" s="175"/>
      <c r="L20" s="185"/>
      <c r="M20" s="187"/>
      <c r="N20" s="11" t="s">
        <v>297</v>
      </c>
      <c r="O20" t="str">
        <f t="shared" si="0"/>
        <v>(J) Funding floor factor (4%)</v>
      </c>
      <c r="P20" s="192">
        <f>SUM('2019-20 StepbyStep Allocations'!$BD$8)/'2019-20 StepbyStep Allocations'!$BJ$8</f>
        <v>3.8010707870501932E-2</v>
      </c>
    </row>
    <row r="21" spans="1:16" ht="15.75" thickBot="1" x14ac:dyDescent="0.5">
      <c r="A21" s="174"/>
      <c r="B21" s="174"/>
      <c r="C21" s="193" t="str">
        <f ca="1">HYPERLINK("#"&amp; CELL("address",C163),C163 &amp; " (" &amp; 100*ROUND(F21/$F$20, 3) &amp; "%)")</f>
        <v>(L) Import/export adjustment (provisional) (7.3%)</v>
      </c>
      <c r="E21" s="174"/>
      <c r="F21" s="195">
        <f>INDEX('2019-20 StepbyStep Allocations'!BH:BH,$B$4)</f>
        <v>1278000</v>
      </c>
      <c r="G21" s="176"/>
      <c r="H21" s="175"/>
      <c r="I21" s="185"/>
      <c r="J21" s="185"/>
      <c r="K21" s="175"/>
      <c r="L21" s="185"/>
      <c r="M21" s="25"/>
      <c r="N21" s="11" t="s">
        <v>355</v>
      </c>
      <c r="O21" t="str">
        <f t="shared" si="0"/>
        <v>(K) Hospital education Funding (1%)</v>
      </c>
      <c r="P21" s="192">
        <f>'2019-20 StepbyStep Allocations'!$BF$8/'2019-20 StepbyStep Allocations'!$BJ$8</f>
        <v>1.2092533827921404E-2</v>
      </c>
    </row>
    <row r="22" spans="1:16" ht="30.4" thickBot="1" x14ac:dyDescent="0.5">
      <c r="A22" s="174"/>
      <c r="B22" s="174"/>
      <c r="C22" s="190" t="str">
        <f ca="1">HYPERLINK("#"&amp; CELL("address",C171),C171)</f>
        <v>2019-20 high needs NFF provisional allocation before gains cap</v>
      </c>
      <c r="E22" s="174"/>
      <c r="F22" s="196">
        <f>SUM(F20:F21)</f>
        <v>18824176.900187366</v>
      </c>
      <c r="G22" s="176"/>
      <c r="H22" s="175"/>
      <c r="I22" s="197"/>
      <c r="J22" s="185"/>
      <c r="K22" s="175"/>
      <c r="L22" s="185"/>
      <c r="M22" s="187"/>
      <c r="N22" s="11"/>
      <c r="P22" s="192">
        <f>SUM(P11:P21)</f>
        <v>0.99999999999999944</v>
      </c>
    </row>
    <row r="23" spans="1:16" ht="43.15" thickBot="1" x14ac:dyDescent="0.5">
      <c r="A23" s="174"/>
      <c r="B23" s="174"/>
      <c r="C23" s="193" t="str">
        <f ca="1">HYPERLINK("#"&amp; CELL("address",C173),C173)</f>
        <v>2019-20 high needs NFF provisional allocation after calculation of gain on 2017-18 baseline up to 6.09% per head</v>
      </c>
      <c r="E23" s="174"/>
      <c r="F23" s="198">
        <f>INDEX('2019-20 StepbyStep Allocations'!BP:BP,$B$4)</f>
        <v>18824176.900187366</v>
      </c>
      <c r="G23" s="176"/>
      <c r="H23" s="175"/>
      <c r="I23" s="185"/>
      <c r="J23" s="185"/>
      <c r="K23" s="175"/>
      <c r="L23" s="185"/>
      <c r="M23" s="187"/>
      <c r="N23" s="175"/>
    </row>
    <row r="24" spans="1:16" ht="14.65" thickBot="1" x14ac:dyDescent="0.5">
      <c r="B24" s="199"/>
      <c r="C24" s="199"/>
      <c r="D24" s="199"/>
      <c r="E24" s="199"/>
      <c r="F24" s="199"/>
      <c r="G24" s="199"/>
      <c r="H24" s="199"/>
      <c r="I24" s="199"/>
      <c r="J24" s="199"/>
      <c r="K24" s="199"/>
      <c r="L24" s="199"/>
      <c r="M24" s="200"/>
      <c r="N24" s="199"/>
    </row>
    <row r="25" spans="1:16" ht="30.4" thickBot="1" x14ac:dyDescent="0.5">
      <c r="A25" s="174"/>
      <c r="B25" s="174"/>
      <c r="C25" s="440" t="s">
        <v>281</v>
      </c>
      <c r="E25" s="174"/>
      <c r="F25" s="180" t="s">
        <v>356</v>
      </c>
      <c r="G25" s="176" t="s">
        <v>357</v>
      </c>
      <c r="H25" s="180" t="s">
        <v>358</v>
      </c>
      <c r="I25" s="443" t="s">
        <v>357</v>
      </c>
      <c r="J25" s="444"/>
      <c r="K25" s="180" t="s">
        <v>14</v>
      </c>
      <c r="L25" s="176" t="s">
        <v>359</v>
      </c>
      <c r="M25" s="201" t="s">
        <v>281</v>
      </c>
      <c r="N25" s="174"/>
    </row>
    <row r="26" spans="1:16" ht="14.65" thickBot="1" x14ac:dyDescent="0.5">
      <c r="A26" s="174"/>
      <c r="B26" s="174"/>
      <c r="C26" s="441"/>
      <c r="E26" s="174"/>
      <c r="F26" s="174"/>
      <c r="G26" s="176"/>
      <c r="H26" s="174"/>
      <c r="I26" s="176"/>
      <c r="J26" s="176"/>
      <c r="K26" s="174"/>
      <c r="L26" s="176"/>
      <c r="M26" s="177"/>
      <c r="N26" s="174"/>
    </row>
    <row r="27" spans="1:16" ht="15.4" thickBot="1" x14ac:dyDescent="0.5">
      <c r="A27" s="174"/>
      <c r="B27" s="174"/>
      <c r="C27" s="442"/>
      <c r="E27" s="174"/>
      <c r="F27" s="202">
        <f>INDEX('2019-20 StepbyStep Allocations'!F:F,B4)</f>
        <v>258</v>
      </c>
      <c r="G27" s="176" t="s">
        <v>357</v>
      </c>
      <c r="H27" s="182">
        <v>4000</v>
      </c>
      <c r="I27" s="443" t="s">
        <v>357</v>
      </c>
      <c r="J27" s="444"/>
      <c r="K27" s="351">
        <f>$H$6</f>
        <v>1</v>
      </c>
      <c r="L27" s="176" t="s">
        <v>359</v>
      </c>
      <c r="M27" s="203">
        <f>F27*H27*K27</f>
        <v>1032000</v>
      </c>
      <c r="N27" s="174"/>
    </row>
    <row r="28" spans="1:16" ht="14.65" thickBot="1" x14ac:dyDescent="0.5">
      <c r="B28" s="199"/>
      <c r="C28" s="199"/>
      <c r="D28" s="199"/>
      <c r="E28" s="199"/>
      <c r="F28" s="199"/>
      <c r="G28" s="199"/>
      <c r="H28" s="199"/>
      <c r="I28" s="199"/>
      <c r="J28" s="199"/>
      <c r="K28" s="199"/>
      <c r="L28" s="199"/>
      <c r="M28" s="200"/>
      <c r="N28" s="199"/>
    </row>
    <row r="29" spans="1:16" ht="30.4" thickBot="1" x14ac:dyDescent="0.5">
      <c r="A29" s="174"/>
      <c r="B29" s="174"/>
      <c r="C29" s="440" t="s">
        <v>354</v>
      </c>
      <c r="E29" s="174"/>
      <c r="F29" s="204" t="s">
        <v>360</v>
      </c>
      <c r="G29" s="174"/>
      <c r="H29" s="174"/>
      <c r="I29" s="205"/>
      <c r="J29" s="205"/>
      <c r="K29" s="174"/>
      <c r="L29" s="176"/>
      <c r="M29" s="206">
        <f>INDEX('Baselines+Historic Spend Factor'!$F$9:$F$158, MATCH($F$7,'Baselines+Historic Spend Factor'!$C$9:$C$158, 0))</f>
        <v>18417902.837672602</v>
      </c>
      <c r="N29" s="174"/>
    </row>
    <row r="30" spans="1:16" ht="15.4" thickBot="1" x14ac:dyDescent="0.5">
      <c r="A30" s="174"/>
      <c r="B30" s="174"/>
      <c r="C30" s="441"/>
      <c r="E30" s="174"/>
      <c r="F30" s="204" t="s">
        <v>361</v>
      </c>
      <c r="G30" s="176"/>
      <c r="H30" s="174"/>
      <c r="I30" s="205"/>
      <c r="J30" s="205"/>
      <c r="K30" s="174"/>
      <c r="L30" s="176"/>
      <c r="M30" s="206">
        <f>-INDEX('Baselines+Historic Spend Factor'!$G$9:$G$158, MATCH($F$7,'Baselines+Historic Spend Factor'!$C$9:$C$158, 0))</f>
        <v>-133356.36200172931</v>
      </c>
      <c r="N30" s="174"/>
    </row>
    <row r="31" spans="1:16" ht="30.4" thickBot="1" x14ac:dyDescent="0.5">
      <c r="A31" s="174"/>
      <c r="B31" s="174"/>
      <c r="C31" s="441"/>
      <c r="E31" s="174"/>
      <c r="F31" s="204" t="s">
        <v>362</v>
      </c>
      <c r="G31" s="176"/>
      <c r="H31" s="174"/>
      <c r="I31" s="174"/>
      <c r="J31" s="174"/>
      <c r="K31" s="174"/>
      <c r="L31" s="174"/>
      <c r="M31" s="207">
        <f>-INDEX('Baselines+Historic Spend Factor'!$J$9:$J$158, MATCH($F$7,'Baselines+Historic Spend Factor'!$C$9:$C$158, 0))</f>
        <v>-964000</v>
      </c>
      <c r="N31" s="174"/>
    </row>
    <row r="32" spans="1:16" ht="30.4" thickBot="1" x14ac:dyDescent="0.5">
      <c r="A32" s="174"/>
      <c r="B32" s="174"/>
      <c r="C32" s="441"/>
      <c r="E32" s="174"/>
      <c r="F32" s="204" t="s">
        <v>363</v>
      </c>
      <c r="G32" s="176"/>
      <c r="H32" s="174"/>
      <c r="I32" s="205"/>
      <c r="J32" s="205"/>
      <c r="K32" s="174"/>
      <c r="L32" s="176"/>
      <c r="M32" s="206">
        <f>-INDEX('Baselines+Historic Spend Factor'!$K$9:$K$158, MATCH($F$7,'Baselines+Historic Spend Factor'!$C$9:$C$158, 0))</f>
        <v>-216225</v>
      </c>
      <c r="N32" s="174"/>
    </row>
    <row r="33" spans="1:14" ht="45.4" thickBot="1" x14ac:dyDescent="0.5">
      <c r="A33" s="174"/>
      <c r="B33" s="174"/>
      <c r="C33" s="441"/>
      <c r="E33" s="174"/>
      <c r="F33" s="440" t="s">
        <v>364</v>
      </c>
      <c r="G33" s="176"/>
      <c r="H33" s="180" t="s">
        <v>365</v>
      </c>
      <c r="I33" s="174"/>
      <c r="J33" s="174"/>
      <c r="K33" s="180" t="s">
        <v>366</v>
      </c>
      <c r="L33" s="174"/>
      <c r="M33" s="177"/>
      <c r="N33" s="174"/>
    </row>
    <row r="34" spans="1:14" ht="14.65" thickBot="1" x14ac:dyDescent="0.5">
      <c r="A34" s="174"/>
      <c r="B34" s="174"/>
      <c r="C34" s="441"/>
      <c r="E34" s="174"/>
      <c r="F34" s="441"/>
      <c r="G34" s="176"/>
      <c r="H34" s="174"/>
      <c r="I34" s="174"/>
      <c r="J34" s="174"/>
      <c r="K34" s="174"/>
      <c r="L34" s="174"/>
      <c r="M34" s="177"/>
      <c r="N34" s="174"/>
    </row>
    <row r="35" spans="1:14" ht="15.4" thickBot="1" x14ac:dyDescent="0.5">
      <c r="A35" s="174"/>
      <c r="B35" s="174"/>
      <c r="C35" s="441"/>
      <c r="E35" s="174"/>
      <c r="F35" s="442"/>
      <c r="G35" s="176"/>
      <c r="H35" s="208">
        <f>-INDEX('Baselines+Historic Spend Factor'!$N$9:$N$158, MATCH($F$7,'Baselines+Historic Spend Factor'!$C$9:$C$158, 0))</f>
        <v>-186</v>
      </c>
      <c r="I35" s="443" t="s">
        <v>357</v>
      </c>
      <c r="J35" s="444"/>
      <c r="K35" s="182">
        <v>6000</v>
      </c>
      <c r="L35" s="176" t="s">
        <v>359</v>
      </c>
      <c r="M35" s="206">
        <f>-INDEX('Baselines+Historic Spend Factor'!$O$9:$O$158, MATCH($F$7,'Baselines+Historic Spend Factor'!$C$9:$C$158, 0))</f>
        <v>-1116000</v>
      </c>
      <c r="N35" s="174"/>
    </row>
    <row r="36" spans="1:14" ht="30.4" thickBot="1" x14ac:dyDescent="0.5">
      <c r="A36" s="174"/>
      <c r="B36" s="174"/>
      <c r="C36" s="441"/>
      <c r="E36" s="174"/>
      <c r="F36" s="209" t="s">
        <v>367</v>
      </c>
      <c r="G36" s="176"/>
      <c r="H36" s="174"/>
      <c r="I36" s="205"/>
      <c r="J36" s="205"/>
      <c r="K36" s="174"/>
      <c r="L36" s="176"/>
      <c r="M36" s="210">
        <f>INDEX('Baselines+Historic Spend Factor'!$P$9:$P$158, MATCH($F$7,'Baselines+Historic Spend Factor'!$C$9:$C$158, 0))</f>
        <v>15988321.475670874</v>
      </c>
      <c r="N36" s="174"/>
    </row>
    <row r="37" spans="1:14" ht="14.65" thickBot="1" x14ac:dyDescent="0.5">
      <c r="A37" s="174"/>
      <c r="B37" s="174"/>
      <c r="C37" s="441"/>
      <c r="E37" s="174"/>
      <c r="F37" s="174"/>
      <c r="G37" s="176"/>
      <c r="H37" s="174"/>
      <c r="I37" s="205"/>
      <c r="J37" s="205"/>
      <c r="K37" s="174"/>
      <c r="L37" s="176"/>
      <c r="M37" s="177"/>
      <c r="N37" s="174"/>
    </row>
    <row r="38" spans="1:14" ht="15.4" thickBot="1" x14ac:dyDescent="0.5">
      <c r="A38" s="174"/>
      <c r="B38" s="174"/>
      <c r="C38" s="442"/>
      <c r="E38" s="174"/>
      <c r="F38" s="209" t="s">
        <v>354</v>
      </c>
      <c r="G38" s="176"/>
      <c r="H38" s="211">
        <v>0.5</v>
      </c>
      <c r="I38" s="443" t="s">
        <v>357</v>
      </c>
      <c r="J38" s="444"/>
      <c r="K38" s="212">
        <f>M36</f>
        <v>15988321.475670874</v>
      </c>
      <c r="L38" s="176" t="s">
        <v>359</v>
      </c>
      <c r="M38" s="203">
        <f>INDEX('2019-20 StepbyStep Allocations'!$I$9:$I$158, MATCH($F$7, '2019-20 StepbyStep Allocations'!$C$9:$C$158, 0))</f>
        <v>7994160.7378354371</v>
      </c>
      <c r="N38" s="174"/>
    </row>
    <row r="39" spans="1:14" ht="14.65" thickBot="1" x14ac:dyDescent="0.5">
      <c r="B39" s="199"/>
      <c r="C39" s="199"/>
      <c r="D39" s="199"/>
      <c r="E39" s="199"/>
      <c r="F39" s="199"/>
      <c r="G39" s="199"/>
      <c r="H39" s="199"/>
      <c r="I39" s="199"/>
      <c r="J39" s="199"/>
      <c r="K39" s="199"/>
      <c r="L39" s="199"/>
      <c r="M39" s="200"/>
      <c r="N39" s="199"/>
    </row>
    <row r="40" spans="1:14" ht="30" x14ac:dyDescent="0.45">
      <c r="A40" s="174"/>
      <c r="B40" s="174"/>
      <c r="C40" s="440" t="s">
        <v>283</v>
      </c>
      <c r="E40" s="174"/>
      <c r="F40" s="213" t="str">
        <f>"Mid-2019 population estimate for  " &amp; $F$5</f>
        <v>Mid-2019 population estimate for  York</v>
      </c>
      <c r="G40" s="214" t="s">
        <v>357</v>
      </c>
      <c r="H40" s="215" t="s">
        <v>14</v>
      </c>
      <c r="I40" s="216"/>
      <c r="J40" s="445" t="s">
        <v>357</v>
      </c>
      <c r="K40" s="449" t="s">
        <v>368</v>
      </c>
      <c r="L40" s="452" t="s">
        <v>359</v>
      </c>
      <c r="M40" s="455" t="str">
        <f>C40</f>
        <v>(C) Population factor</v>
      </c>
      <c r="N40" s="174"/>
    </row>
    <row r="41" spans="1:14" ht="15" x14ac:dyDescent="0.45">
      <c r="A41" s="174"/>
      <c r="B41" s="174"/>
      <c r="C41" s="441"/>
      <c r="E41" s="174"/>
      <c r="F41" s="458" t="s">
        <v>369</v>
      </c>
      <c r="G41" s="459"/>
      <c r="H41" s="459"/>
      <c r="I41" s="217"/>
      <c r="J41" s="446"/>
      <c r="K41" s="450"/>
      <c r="L41" s="453"/>
      <c r="M41" s="456"/>
      <c r="N41" s="174"/>
    </row>
    <row r="42" spans="1:14" ht="15.75" thickBot="1" x14ac:dyDescent="0.5">
      <c r="A42" s="174"/>
      <c r="B42" s="174"/>
      <c r="C42" s="441"/>
      <c r="E42" s="174"/>
      <c r="F42" s="218" t="s">
        <v>370</v>
      </c>
      <c r="G42" s="219"/>
      <c r="H42" s="220"/>
      <c r="I42" s="221"/>
      <c r="J42" s="447"/>
      <c r="K42" s="451"/>
      <c r="L42" s="454"/>
      <c r="M42" s="457"/>
      <c r="N42" s="174"/>
    </row>
    <row r="43" spans="1:14" ht="14.65" thickBot="1" x14ac:dyDescent="0.5">
      <c r="A43" s="174"/>
      <c r="B43" s="174"/>
      <c r="C43" s="441"/>
      <c r="E43" s="174"/>
      <c r="F43" s="174"/>
      <c r="G43" s="176"/>
      <c r="H43" s="174"/>
      <c r="I43" s="176"/>
      <c r="J43" s="176"/>
      <c r="K43" s="174"/>
      <c r="L43" s="176"/>
      <c r="M43" s="177"/>
      <c r="N43" s="174"/>
    </row>
    <row r="44" spans="1:14" ht="15.4" thickBot="1" x14ac:dyDescent="0.5">
      <c r="A44" s="174"/>
      <c r="B44" s="174"/>
      <c r="C44" s="441"/>
      <c r="E44" s="448" t="s">
        <v>371</v>
      </c>
      <c r="F44" s="208">
        <f>INDEX('2019-20 StepbyStep Allocations'!$J$9:$J$158, MATCH($F$7, '2019-20 StepbyStep Allocations'!$C$9:$C$158, 0))</f>
        <v>35688.434999999998</v>
      </c>
      <c r="G44" s="176" t="s">
        <v>357</v>
      </c>
      <c r="H44" s="352">
        <f>$H$6</f>
        <v>1</v>
      </c>
      <c r="I44" s="448" t="s">
        <v>372</v>
      </c>
      <c r="J44" s="444" t="s">
        <v>357</v>
      </c>
      <c r="K44" s="460">
        <f>'2019-20 StepbyStep Allocations'!$L$8</f>
        <v>1375169162.4661326</v>
      </c>
      <c r="L44" s="444" t="s">
        <v>359</v>
      </c>
      <c r="M44" s="463">
        <f>INDEX('2019-20 StepbyStep Allocations'!$L$9:$L$158, MATCH($F$7, '2019-20 StepbyStep Allocations'!$C$9:$C$158, 0))</f>
        <v>4181739.1026393375</v>
      </c>
      <c r="N44" s="174"/>
    </row>
    <row r="45" spans="1:14" ht="18.399999999999999" thickBot="1" x14ac:dyDescent="0.5">
      <c r="A45" s="174"/>
      <c r="B45" s="174"/>
      <c r="C45" s="441"/>
      <c r="E45" s="448"/>
      <c r="F45" s="466" t="s">
        <v>373</v>
      </c>
      <c r="G45" s="466"/>
      <c r="H45" s="466"/>
      <c r="I45" s="448"/>
      <c r="J45" s="444"/>
      <c r="K45" s="461"/>
      <c r="L45" s="444"/>
      <c r="M45" s="464"/>
      <c r="N45" s="222"/>
    </row>
    <row r="46" spans="1:14" ht="15.4" thickBot="1" x14ac:dyDescent="0.5">
      <c r="A46" s="174"/>
      <c r="B46" s="174"/>
      <c r="C46" s="442"/>
      <c r="E46" s="448"/>
      <c r="F46" s="467">
        <f>'2019-20 StepbyStep Allocations'!$K$8</f>
        <v>11736178.193828801</v>
      </c>
      <c r="G46" s="468"/>
      <c r="H46" s="469"/>
      <c r="I46" s="448"/>
      <c r="J46" s="444"/>
      <c r="K46" s="462"/>
      <c r="L46" s="444"/>
      <c r="M46" s="465"/>
      <c r="N46" s="174"/>
    </row>
    <row r="47" spans="1:14" ht="14.65" thickBot="1" x14ac:dyDescent="0.5">
      <c r="B47" s="199"/>
      <c r="C47" s="199"/>
      <c r="D47" s="199"/>
      <c r="E47" s="199"/>
      <c r="F47" s="199"/>
      <c r="G47" s="199"/>
      <c r="H47" s="199"/>
      <c r="I47" s="199"/>
      <c r="J47" s="199"/>
      <c r="K47" s="199"/>
      <c r="L47" s="199"/>
      <c r="M47" s="200"/>
      <c r="N47" s="199"/>
    </row>
    <row r="48" spans="1:14" ht="15" x14ac:dyDescent="0.45">
      <c r="A48" s="174"/>
      <c r="B48" s="174"/>
      <c r="C48" s="440" t="s">
        <v>284</v>
      </c>
      <c r="E48" s="174"/>
      <c r="F48" s="213" t="str">
        <f>"FSM pupil number in " &amp; $F$5</f>
        <v>FSM pupil number in York</v>
      </c>
      <c r="G48" s="214" t="s">
        <v>357</v>
      </c>
      <c r="H48" s="215" t="s">
        <v>14</v>
      </c>
      <c r="I48" s="216"/>
      <c r="J48" s="445" t="s">
        <v>357</v>
      </c>
      <c r="K48" s="449" t="s">
        <v>374</v>
      </c>
      <c r="L48" s="452" t="s">
        <v>359</v>
      </c>
      <c r="M48" s="455" t="str">
        <f>C48</f>
        <v>(D) FSM factor</v>
      </c>
      <c r="N48" s="174"/>
    </row>
    <row r="49" spans="1:14" ht="15" x14ac:dyDescent="0.45">
      <c r="A49" s="174"/>
      <c r="B49" s="174"/>
      <c r="C49" s="441"/>
      <c r="E49" s="174"/>
      <c r="F49" s="458" t="s">
        <v>369</v>
      </c>
      <c r="G49" s="459"/>
      <c r="H49" s="459"/>
      <c r="I49" s="217"/>
      <c r="J49" s="446"/>
      <c r="K49" s="450"/>
      <c r="L49" s="453"/>
      <c r="M49" s="456"/>
      <c r="N49" s="174"/>
    </row>
    <row r="50" spans="1:14" ht="15.75" thickBot="1" x14ac:dyDescent="0.5">
      <c r="A50" s="174"/>
      <c r="B50" s="174"/>
      <c r="C50" s="441"/>
      <c r="E50" s="174"/>
      <c r="F50" s="218" t="s">
        <v>375</v>
      </c>
      <c r="G50" s="219"/>
      <c r="H50" s="220"/>
      <c r="I50" s="221"/>
      <c r="J50" s="447"/>
      <c r="K50" s="451"/>
      <c r="L50" s="454"/>
      <c r="M50" s="457"/>
      <c r="N50" s="174"/>
    </row>
    <row r="51" spans="1:14" ht="14.65" thickBot="1" x14ac:dyDescent="0.5">
      <c r="A51" s="174"/>
      <c r="B51" s="174"/>
      <c r="C51" s="441"/>
      <c r="E51" s="174"/>
      <c r="F51" s="174"/>
      <c r="G51" s="176"/>
      <c r="H51" s="174"/>
      <c r="I51" s="176"/>
      <c r="J51" s="176"/>
      <c r="K51" s="174"/>
      <c r="L51" s="176"/>
      <c r="M51" s="177"/>
      <c r="N51" s="174"/>
    </row>
    <row r="52" spans="1:14" ht="15.4" thickBot="1" x14ac:dyDescent="0.5">
      <c r="A52" s="174"/>
      <c r="B52" s="174"/>
      <c r="C52" s="441"/>
      <c r="E52" s="448" t="s">
        <v>371</v>
      </c>
      <c r="F52" s="208">
        <f>INDEX('2019-20 StepbyStep Allocations'!$M$9:$M$158, MATCH($F$7, '2019-20 StepbyStep Allocations'!$C$9:$C$158, 0))</f>
        <v>1899</v>
      </c>
      <c r="G52" s="176" t="s">
        <v>357</v>
      </c>
      <c r="H52" s="352">
        <f>$H$6</f>
        <v>1</v>
      </c>
      <c r="I52" s="448" t="s">
        <v>372</v>
      </c>
      <c r="J52" s="444" t="s">
        <v>357</v>
      </c>
      <c r="K52" s="460">
        <f>'2019-20 StepbyStep Allocations'!$O$8</f>
        <v>275033832.49322653</v>
      </c>
      <c r="L52" s="444" t="s">
        <v>359</v>
      </c>
      <c r="M52" s="463">
        <f>INDEX('2019-20 StepbyStep Allocations'!$O$9:$O$158, MATCH($F$7, '2019-20 StepbyStep Allocations'!$C$9:$C$158, 0))</f>
        <v>465890.35490740545</v>
      </c>
      <c r="N52" s="174"/>
    </row>
    <row r="53" spans="1:14" ht="18.399999999999999" thickBot="1" x14ac:dyDescent="0.5">
      <c r="A53" s="174"/>
      <c r="B53" s="174"/>
      <c r="C53" s="441"/>
      <c r="E53" s="448"/>
      <c r="F53" s="466" t="s">
        <v>373</v>
      </c>
      <c r="G53" s="466"/>
      <c r="H53" s="466"/>
      <c r="I53" s="448"/>
      <c r="J53" s="444"/>
      <c r="K53" s="461"/>
      <c r="L53" s="444"/>
      <c r="M53" s="464"/>
      <c r="N53" s="222"/>
    </row>
    <row r="54" spans="1:14" ht="15.4" thickBot="1" x14ac:dyDescent="0.5">
      <c r="A54" s="174"/>
      <c r="B54" s="174"/>
      <c r="C54" s="442"/>
      <c r="E54" s="448"/>
      <c r="F54" s="467">
        <f>'2019-20 StepbyStep Allocations'!$N$8</f>
        <v>1121056.1506654089</v>
      </c>
      <c r="G54" s="468"/>
      <c r="H54" s="469"/>
      <c r="I54" s="448"/>
      <c r="J54" s="444"/>
      <c r="K54" s="462"/>
      <c r="L54" s="444"/>
      <c r="M54" s="465"/>
      <c r="N54" s="174"/>
    </row>
    <row r="55" spans="1:14" ht="14.65" thickBot="1" x14ac:dyDescent="0.5">
      <c r="B55" s="199"/>
      <c r="C55" s="199"/>
      <c r="D55" s="199"/>
      <c r="E55" s="199"/>
      <c r="F55" s="199"/>
      <c r="G55" s="199"/>
      <c r="H55" s="199"/>
      <c r="I55" s="199"/>
      <c r="J55" s="199"/>
      <c r="K55" s="199"/>
      <c r="L55" s="199"/>
      <c r="M55" s="200"/>
      <c r="N55" s="199"/>
    </row>
    <row r="56" spans="1:14" ht="15.4" outlineLevel="2" x14ac:dyDescent="0.45">
      <c r="A56" s="223"/>
      <c r="B56" s="223"/>
      <c r="C56" s="470" t="s">
        <v>285</v>
      </c>
      <c r="D56" s="224"/>
      <c r="E56" s="223"/>
      <c r="F56" s="225" t="str">
        <f>"IDACI band F population for " &amp; $F$5</f>
        <v>IDACI band F population for York</v>
      </c>
      <c r="G56" s="226" t="s">
        <v>357</v>
      </c>
      <c r="H56" s="227" t="s">
        <v>14</v>
      </c>
      <c r="I56" s="228"/>
      <c r="J56" s="473" t="s">
        <v>357</v>
      </c>
      <c r="K56" s="470" t="str">
        <f>C56 &amp; " funding"</f>
        <v>IDACI band F factor funding</v>
      </c>
      <c r="L56" s="476" t="s">
        <v>359</v>
      </c>
      <c r="M56" s="479" t="str">
        <f>C56</f>
        <v>IDACI band F factor</v>
      </c>
      <c r="N56" s="223"/>
    </row>
    <row r="57" spans="1:14" ht="15.4" outlineLevel="2" x14ac:dyDescent="0.45">
      <c r="A57" s="223"/>
      <c r="B57" s="223"/>
      <c r="C57" s="471"/>
      <c r="D57" s="224"/>
      <c r="E57" s="223"/>
      <c r="F57" s="482" t="s">
        <v>369</v>
      </c>
      <c r="G57" s="483"/>
      <c r="H57" s="483"/>
      <c r="I57" s="229"/>
      <c r="J57" s="474"/>
      <c r="K57" s="471"/>
      <c r="L57" s="477"/>
      <c r="M57" s="480"/>
      <c r="N57" s="223"/>
    </row>
    <row r="58" spans="1:14" ht="15.75" outlineLevel="2" thickBot="1" x14ac:dyDescent="0.5">
      <c r="A58" s="223"/>
      <c r="B58" s="223"/>
      <c r="C58" s="471"/>
      <c r="D58" s="224"/>
      <c r="E58" s="223"/>
      <c r="F58" s="230" t="s">
        <v>376</v>
      </c>
      <c r="G58" s="231"/>
      <c r="H58" s="232"/>
      <c r="I58" s="233"/>
      <c r="J58" s="475"/>
      <c r="K58" s="472"/>
      <c r="L58" s="478"/>
      <c r="M58" s="481"/>
      <c r="N58" s="223"/>
    </row>
    <row r="59" spans="1:14" ht="14.65" outlineLevel="2" thickBot="1" x14ac:dyDescent="0.5">
      <c r="A59" s="223"/>
      <c r="B59" s="223"/>
      <c r="C59" s="471"/>
      <c r="D59" s="224"/>
      <c r="E59" s="223"/>
      <c r="F59" s="223"/>
      <c r="G59" s="234"/>
      <c r="H59" s="223"/>
      <c r="I59" s="234"/>
      <c r="J59" s="234"/>
      <c r="K59" s="223"/>
      <c r="L59" s="234"/>
      <c r="M59" s="235"/>
      <c r="N59" s="223"/>
    </row>
    <row r="60" spans="1:14" ht="15.75" outlineLevel="2" thickBot="1" x14ac:dyDescent="0.5">
      <c r="A60" s="223"/>
      <c r="B60" s="223"/>
      <c r="C60" s="471"/>
      <c r="D60" s="224"/>
      <c r="E60" s="484" t="s">
        <v>371</v>
      </c>
      <c r="F60" s="236">
        <f>INDEX('2019-20 StepbyStep Allocations'!$P$9:$P$158, MATCH($F$7, '2019-20 StepbyStep Allocations'!$C$9:$C$158, 0))</f>
        <v>3493</v>
      </c>
      <c r="G60" s="234" t="s">
        <v>357</v>
      </c>
      <c r="H60" s="353">
        <f>$H$6</f>
        <v>1</v>
      </c>
      <c r="I60" s="484" t="s">
        <v>372</v>
      </c>
      <c r="J60" s="485" t="s">
        <v>357</v>
      </c>
      <c r="K60" s="486">
        <f>'2019-20 StepbyStep Allocations'!$R$8</f>
        <v>38504736.549051717</v>
      </c>
      <c r="L60" s="485" t="s">
        <v>359</v>
      </c>
      <c r="M60" s="489">
        <f>INDEX('2019-20 StepbyStep Allocations'!$R$9:$R$158, MATCH($F$7, '2019-20 StepbyStep Allocations'!$C$9:$C$158, 0))</f>
        <v>118909.06094524477</v>
      </c>
      <c r="N60" s="223"/>
    </row>
    <row r="61" spans="1:14" ht="18.399999999999999" outlineLevel="2" thickBot="1" x14ac:dyDescent="0.5">
      <c r="A61" s="223"/>
      <c r="B61" s="223"/>
      <c r="C61" s="471"/>
      <c r="D61" s="224"/>
      <c r="E61" s="484"/>
      <c r="F61" s="492" t="s">
        <v>373</v>
      </c>
      <c r="G61" s="492"/>
      <c r="H61" s="492"/>
      <c r="I61" s="484"/>
      <c r="J61" s="485"/>
      <c r="K61" s="487"/>
      <c r="L61" s="485"/>
      <c r="M61" s="490"/>
      <c r="N61" s="237"/>
    </row>
    <row r="62" spans="1:14" ht="15.75" outlineLevel="2" thickBot="1" x14ac:dyDescent="0.5">
      <c r="A62" s="223"/>
      <c r="B62" s="223"/>
      <c r="C62" s="472"/>
      <c r="D62" s="224"/>
      <c r="E62" s="484"/>
      <c r="F62" s="493">
        <f>'2019-20 StepbyStep Allocations'!$Q$8</f>
        <v>1131091.6400876367</v>
      </c>
      <c r="G62" s="494"/>
      <c r="H62" s="495"/>
      <c r="I62" s="484"/>
      <c r="J62" s="485"/>
      <c r="K62" s="488"/>
      <c r="L62" s="485"/>
      <c r="M62" s="491"/>
      <c r="N62" s="223"/>
    </row>
    <row r="63" spans="1:14" ht="14.65" outlineLevel="1" thickBot="1" x14ac:dyDescent="0.5">
      <c r="B63" s="199"/>
      <c r="C63" s="199"/>
      <c r="D63" s="199"/>
      <c r="E63" s="199"/>
      <c r="F63" s="199"/>
      <c r="G63" s="199"/>
      <c r="H63" s="199"/>
      <c r="I63" s="199"/>
      <c r="J63" s="199"/>
      <c r="K63" s="199"/>
      <c r="L63" s="199"/>
      <c r="M63" s="200"/>
      <c r="N63" s="199"/>
    </row>
    <row r="64" spans="1:14" ht="15.4" outlineLevel="2" x14ac:dyDescent="0.45">
      <c r="A64" s="223"/>
      <c r="B64" s="223"/>
      <c r="C64" s="470" t="s">
        <v>286</v>
      </c>
      <c r="D64" s="224"/>
      <c r="E64" s="223"/>
      <c r="F64" s="225" t="str">
        <f>"IDACI band E population for " &amp; $F$5</f>
        <v>IDACI band E population for York</v>
      </c>
      <c r="G64" s="226" t="s">
        <v>357</v>
      </c>
      <c r="H64" s="227" t="s">
        <v>14</v>
      </c>
      <c r="I64" s="228"/>
      <c r="J64" s="473" t="s">
        <v>357</v>
      </c>
      <c r="K64" s="470" t="str">
        <f>C64 &amp; " funding"</f>
        <v>IDACI band E factor funding</v>
      </c>
      <c r="L64" s="476" t="s">
        <v>359</v>
      </c>
      <c r="M64" s="479" t="str">
        <f>C64</f>
        <v>IDACI band E factor</v>
      </c>
      <c r="N64" s="223"/>
    </row>
    <row r="65" spans="1:14" ht="15.4" outlineLevel="2" x14ac:dyDescent="0.45">
      <c r="A65" s="223"/>
      <c r="B65" s="223"/>
      <c r="C65" s="471"/>
      <c r="D65" s="224"/>
      <c r="E65" s="223"/>
      <c r="F65" s="482" t="s">
        <v>369</v>
      </c>
      <c r="G65" s="483"/>
      <c r="H65" s="483"/>
      <c r="I65" s="229"/>
      <c r="J65" s="474"/>
      <c r="K65" s="471"/>
      <c r="L65" s="477"/>
      <c r="M65" s="480"/>
      <c r="N65" s="223"/>
    </row>
    <row r="66" spans="1:14" ht="15.75" outlineLevel="2" thickBot="1" x14ac:dyDescent="0.5">
      <c r="A66" s="223"/>
      <c r="B66" s="223"/>
      <c r="C66" s="471"/>
      <c r="D66" s="224"/>
      <c r="E66" s="223"/>
      <c r="F66" s="230" t="s">
        <v>377</v>
      </c>
      <c r="G66" s="231"/>
      <c r="H66" s="232"/>
      <c r="I66" s="233"/>
      <c r="J66" s="475"/>
      <c r="K66" s="472"/>
      <c r="L66" s="478"/>
      <c r="M66" s="481"/>
      <c r="N66" s="223"/>
    </row>
    <row r="67" spans="1:14" ht="14.65" outlineLevel="2" thickBot="1" x14ac:dyDescent="0.5">
      <c r="A67" s="223"/>
      <c r="B67" s="223"/>
      <c r="C67" s="471"/>
      <c r="D67" s="224"/>
      <c r="E67" s="223"/>
      <c r="F67" s="223"/>
      <c r="G67" s="234"/>
      <c r="H67" s="223"/>
      <c r="I67" s="234"/>
      <c r="J67" s="234"/>
      <c r="K67" s="223"/>
      <c r="L67" s="234"/>
      <c r="M67" s="235"/>
      <c r="N67" s="223"/>
    </row>
    <row r="68" spans="1:14" ht="15.75" outlineLevel="2" thickBot="1" x14ac:dyDescent="0.5">
      <c r="A68" s="223"/>
      <c r="B68" s="223"/>
      <c r="C68" s="471"/>
      <c r="D68" s="224"/>
      <c r="E68" s="484" t="s">
        <v>371</v>
      </c>
      <c r="F68" s="236">
        <f>INDEX('2019-20 StepbyStep Allocations'!$S$9:$S$158, MATCH($F$7, '2019-20 StepbyStep Allocations'!$C$9:$C$158, 0))</f>
        <v>646</v>
      </c>
      <c r="G68" s="234" t="s">
        <v>357</v>
      </c>
      <c r="H68" s="353">
        <f>$H$6</f>
        <v>1</v>
      </c>
      <c r="I68" s="484" t="s">
        <v>372</v>
      </c>
      <c r="J68" s="485" t="s">
        <v>357</v>
      </c>
      <c r="K68" s="486">
        <f>'2019-20 StepbyStep Allocations'!$U$8</f>
        <v>44005413.198916249</v>
      </c>
      <c r="L68" s="485" t="s">
        <v>359</v>
      </c>
      <c r="M68" s="489">
        <f>INDEX('2019-20 StepbyStep Allocations'!$U$9:$U$158, MATCH($F$7, '2019-20 StepbyStep Allocations'!$C$9:$C$158, 0))</f>
        <v>28561.395975512773</v>
      </c>
      <c r="N68" s="223"/>
    </row>
    <row r="69" spans="1:14" ht="18.399999999999999" outlineLevel="2" thickBot="1" x14ac:dyDescent="0.5">
      <c r="A69" s="223"/>
      <c r="B69" s="223"/>
      <c r="C69" s="471"/>
      <c r="D69" s="224"/>
      <c r="E69" s="484"/>
      <c r="F69" s="492" t="s">
        <v>373</v>
      </c>
      <c r="G69" s="492"/>
      <c r="H69" s="492"/>
      <c r="I69" s="484"/>
      <c r="J69" s="485"/>
      <c r="K69" s="487"/>
      <c r="L69" s="485"/>
      <c r="M69" s="490"/>
      <c r="N69" s="237"/>
    </row>
    <row r="70" spans="1:14" ht="15.75" outlineLevel="2" thickBot="1" x14ac:dyDescent="0.5">
      <c r="A70" s="223"/>
      <c r="B70" s="223"/>
      <c r="C70" s="472"/>
      <c r="D70" s="224"/>
      <c r="E70" s="484"/>
      <c r="F70" s="493">
        <f>'2019-20 StepbyStep Allocations'!$T$8</f>
        <v>995311.8870965665</v>
      </c>
      <c r="G70" s="494"/>
      <c r="H70" s="495"/>
      <c r="I70" s="484"/>
      <c r="J70" s="485"/>
      <c r="K70" s="488"/>
      <c r="L70" s="485"/>
      <c r="M70" s="491"/>
      <c r="N70" s="223"/>
    </row>
    <row r="71" spans="1:14" ht="14.65" outlineLevel="1" thickBot="1" x14ac:dyDescent="0.5">
      <c r="B71" s="199"/>
      <c r="C71" s="199"/>
      <c r="D71" s="199"/>
      <c r="E71" s="199"/>
      <c r="F71" s="199"/>
      <c r="G71" s="199"/>
      <c r="H71" s="199"/>
      <c r="I71" s="199"/>
      <c r="J71" s="199"/>
      <c r="K71" s="199"/>
      <c r="L71" s="199"/>
      <c r="M71" s="200"/>
      <c r="N71" s="199"/>
    </row>
    <row r="72" spans="1:14" ht="15.4" outlineLevel="2" x14ac:dyDescent="0.45">
      <c r="A72" s="223"/>
      <c r="B72" s="223"/>
      <c r="C72" s="470" t="s">
        <v>287</v>
      </c>
      <c r="D72" s="224"/>
      <c r="E72" s="223"/>
      <c r="F72" s="225" t="str">
        <f>"IDACI band D population for " &amp; $F$5</f>
        <v>IDACI band D population for York</v>
      </c>
      <c r="G72" s="226" t="s">
        <v>357</v>
      </c>
      <c r="H72" s="227" t="s">
        <v>14</v>
      </c>
      <c r="I72" s="228"/>
      <c r="J72" s="473" t="s">
        <v>357</v>
      </c>
      <c r="K72" s="470" t="str">
        <f>C72 &amp; " funding"</f>
        <v>IDACI band D factor funding</v>
      </c>
      <c r="L72" s="476" t="s">
        <v>359</v>
      </c>
      <c r="M72" s="479" t="str">
        <f>C72</f>
        <v>IDACI band D factor</v>
      </c>
      <c r="N72" s="223"/>
    </row>
    <row r="73" spans="1:14" ht="15.4" outlineLevel="2" x14ac:dyDescent="0.45">
      <c r="A73" s="223"/>
      <c r="B73" s="223"/>
      <c r="C73" s="471"/>
      <c r="D73" s="224"/>
      <c r="E73" s="223"/>
      <c r="F73" s="482" t="s">
        <v>369</v>
      </c>
      <c r="G73" s="483"/>
      <c r="H73" s="483"/>
      <c r="I73" s="229"/>
      <c r="J73" s="474"/>
      <c r="K73" s="471"/>
      <c r="L73" s="477"/>
      <c r="M73" s="480"/>
      <c r="N73" s="223"/>
    </row>
    <row r="74" spans="1:14" ht="15.75" outlineLevel="2" thickBot="1" x14ac:dyDescent="0.5">
      <c r="A74" s="223"/>
      <c r="B74" s="223"/>
      <c r="C74" s="471"/>
      <c r="D74" s="224"/>
      <c r="E74" s="223"/>
      <c r="F74" s="230" t="s">
        <v>378</v>
      </c>
      <c r="G74" s="231"/>
      <c r="H74" s="232"/>
      <c r="I74" s="233"/>
      <c r="J74" s="475"/>
      <c r="K74" s="472"/>
      <c r="L74" s="478"/>
      <c r="M74" s="481"/>
      <c r="N74" s="223"/>
    </row>
    <row r="75" spans="1:14" ht="14.65" outlineLevel="2" thickBot="1" x14ac:dyDescent="0.5">
      <c r="A75" s="223"/>
      <c r="B75" s="223"/>
      <c r="C75" s="471"/>
      <c r="D75" s="224"/>
      <c r="E75" s="223"/>
      <c r="F75" s="223"/>
      <c r="G75" s="234"/>
      <c r="H75" s="223"/>
      <c r="I75" s="234"/>
      <c r="J75" s="234"/>
      <c r="K75" s="223"/>
      <c r="L75" s="234"/>
      <c r="M75" s="235"/>
      <c r="N75" s="223"/>
    </row>
    <row r="76" spans="1:14" ht="15.75" outlineLevel="2" thickBot="1" x14ac:dyDescent="0.5">
      <c r="A76" s="223"/>
      <c r="B76" s="223"/>
      <c r="C76" s="471"/>
      <c r="D76" s="224"/>
      <c r="E76" s="484" t="s">
        <v>371</v>
      </c>
      <c r="F76" s="236">
        <f>INDEX('2019-20 StepbyStep Allocations'!$V$9:$V$158, MATCH($F$7, '2019-20 StepbyStep Allocations'!$C$9:$C$158, 0))</f>
        <v>1557</v>
      </c>
      <c r="G76" s="234" t="s">
        <v>357</v>
      </c>
      <c r="H76" s="353">
        <f>$H$6</f>
        <v>1</v>
      </c>
      <c r="I76" s="484" t="s">
        <v>372</v>
      </c>
      <c r="J76" s="485" t="s">
        <v>357</v>
      </c>
      <c r="K76" s="486">
        <f>'2019-20 StepbyStep Allocations'!$X$8</f>
        <v>50881259.011246905</v>
      </c>
      <c r="L76" s="485" t="s">
        <v>359</v>
      </c>
      <c r="M76" s="489">
        <f>INDEX('2019-20 StepbyStep Allocations'!$X$9:$X$158, MATCH($F$7, '2019-20 StepbyStep Allocations'!$C$9:$C$158, 0))</f>
        <v>93890.838066389289</v>
      </c>
      <c r="N76" s="223"/>
    </row>
    <row r="77" spans="1:14" ht="18.399999999999999" outlineLevel="2" thickBot="1" x14ac:dyDescent="0.5">
      <c r="A77" s="223"/>
      <c r="B77" s="223"/>
      <c r="C77" s="471"/>
      <c r="D77" s="224"/>
      <c r="E77" s="484"/>
      <c r="F77" s="492" t="s">
        <v>373</v>
      </c>
      <c r="G77" s="492"/>
      <c r="H77" s="492"/>
      <c r="I77" s="484"/>
      <c r="J77" s="485"/>
      <c r="K77" s="487"/>
      <c r="L77" s="485"/>
      <c r="M77" s="490"/>
      <c r="N77" s="237"/>
    </row>
    <row r="78" spans="1:14" ht="15.75" outlineLevel="2" thickBot="1" x14ac:dyDescent="0.5">
      <c r="A78" s="223"/>
      <c r="B78" s="223"/>
      <c r="C78" s="472"/>
      <c r="D78" s="224"/>
      <c r="E78" s="484"/>
      <c r="F78" s="493">
        <f>'2019-20 StepbyStep Allocations'!$W$8</f>
        <v>843768.37945033831</v>
      </c>
      <c r="G78" s="494"/>
      <c r="H78" s="495"/>
      <c r="I78" s="484"/>
      <c r="J78" s="485"/>
      <c r="K78" s="488"/>
      <c r="L78" s="485"/>
      <c r="M78" s="491"/>
      <c r="N78" s="223"/>
    </row>
    <row r="79" spans="1:14" ht="14.65" outlineLevel="1" thickBot="1" x14ac:dyDescent="0.5">
      <c r="B79" s="199"/>
      <c r="C79" s="199"/>
      <c r="D79" s="199"/>
      <c r="E79" s="199"/>
      <c r="F79" s="199"/>
      <c r="G79" s="199"/>
      <c r="H79" s="199"/>
      <c r="I79" s="199"/>
      <c r="J79" s="199"/>
      <c r="K79" s="199"/>
      <c r="L79" s="199"/>
      <c r="M79" s="200"/>
      <c r="N79" s="199"/>
    </row>
    <row r="80" spans="1:14" ht="15.4" outlineLevel="2" x14ac:dyDescent="0.45">
      <c r="A80" s="223"/>
      <c r="B80" s="223"/>
      <c r="C80" s="470" t="s">
        <v>288</v>
      </c>
      <c r="D80" s="224"/>
      <c r="E80" s="223"/>
      <c r="F80" s="225" t="str">
        <f>"IDACI band C population for " &amp; $F$5</f>
        <v>IDACI band C population for York</v>
      </c>
      <c r="G80" s="226" t="s">
        <v>357</v>
      </c>
      <c r="H80" s="227" t="s">
        <v>14</v>
      </c>
      <c r="I80" s="228"/>
      <c r="J80" s="473" t="s">
        <v>357</v>
      </c>
      <c r="K80" s="470" t="str">
        <f>C80 &amp; " funding"</f>
        <v>IDACI band C factor funding</v>
      </c>
      <c r="L80" s="476" t="s">
        <v>359</v>
      </c>
      <c r="M80" s="479" t="str">
        <f>C80</f>
        <v>IDACI band C factor</v>
      </c>
      <c r="N80" s="223"/>
    </row>
    <row r="81" spans="1:14" ht="15.4" outlineLevel="2" x14ac:dyDescent="0.45">
      <c r="A81" s="223"/>
      <c r="B81" s="223"/>
      <c r="C81" s="471"/>
      <c r="D81" s="224"/>
      <c r="E81" s="223"/>
      <c r="F81" s="482" t="s">
        <v>369</v>
      </c>
      <c r="G81" s="483"/>
      <c r="H81" s="483"/>
      <c r="I81" s="229"/>
      <c r="J81" s="474"/>
      <c r="K81" s="471"/>
      <c r="L81" s="477"/>
      <c r="M81" s="480"/>
      <c r="N81" s="223"/>
    </row>
    <row r="82" spans="1:14" ht="15.75" outlineLevel="2" thickBot="1" x14ac:dyDescent="0.5">
      <c r="A82" s="223"/>
      <c r="B82" s="223"/>
      <c r="C82" s="471"/>
      <c r="D82" s="224"/>
      <c r="E82" s="223"/>
      <c r="F82" s="230" t="s">
        <v>379</v>
      </c>
      <c r="G82" s="231"/>
      <c r="H82" s="232"/>
      <c r="I82" s="233"/>
      <c r="J82" s="475"/>
      <c r="K82" s="472"/>
      <c r="L82" s="478"/>
      <c r="M82" s="481"/>
      <c r="N82" s="223"/>
    </row>
    <row r="83" spans="1:14" ht="14.65" outlineLevel="2" thickBot="1" x14ac:dyDescent="0.5">
      <c r="A83" s="223"/>
      <c r="B83" s="223"/>
      <c r="C83" s="471"/>
      <c r="D83" s="224"/>
      <c r="E83" s="223"/>
      <c r="F83" s="223"/>
      <c r="G83" s="234"/>
      <c r="H83" s="223"/>
      <c r="I83" s="234"/>
      <c r="J83" s="234"/>
      <c r="K83" s="223"/>
      <c r="L83" s="234"/>
      <c r="M83" s="235"/>
      <c r="N83" s="223"/>
    </row>
    <row r="84" spans="1:14" ht="15.75" outlineLevel="2" thickBot="1" x14ac:dyDescent="0.5">
      <c r="A84" s="223"/>
      <c r="B84" s="223"/>
      <c r="C84" s="471"/>
      <c r="D84" s="224"/>
      <c r="E84" s="484" t="s">
        <v>371</v>
      </c>
      <c r="F84" s="236">
        <f>INDEX('2019-20 StepbyStep Allocations'!$Y$9:$Y$158, MATCH($F$7, '2019-20 StepbyStep Allocations'!$C$9:$C$158, 0))</f>
        <v>1152</v>
      </c>
      <c r="G84" s="234" t="s">
        <v>357</v>
      </c>
      <c r="H84" s="353">
        <f>$H$6</f>
        <v>1</v>
      </c>
      <c r="I84" s="484" t="s">
        <v>372</v>
      </c>
      <c r="J84" s="485" t="s">
        <v>357</v>
      </c>
      <c r="K84" s="486">
        <f>'2019-20 StepbyStep Allocations'!$AA$8</f>
        <v>46755751.523848511</v>
      </c>
      <c r="L84" s="485" t="s">
        <v>359</v>
      </c>
      <c r="M84" s="489">
        <f>INDEX('2019-20 StepbyStep Allocations'!$AA$9:$AA$158, MATCH($F$7, '2019-20 StepbyStep Allocations'!$C$9:$C$158, 0))</f>
        <v>74304.948425709867</v>
      </c>
      <c r="N84" s="223"/>
    </row>
    <row r="85" spans="1:14" ht="18.399999999999999" outlineLevel="2" thickBot="1" x14ac:dyDescent="0.5">
      <c r="A85" s="223"/>
      <c r="B85" s="223"/>
      <c r="C85" s="471"/>
      <c r="D85" s="224"/>
      <c r="E85" s="484"/>
      <c r="F85" s="492" t="s">
        <v>373</v>
      </c>
      <c r="G85" s="492"/>
      <c r="H85" s="492"/>
      <c r="I85" s="484"/>
      <c r="J85" s="485"/>
      <c r="K85" s="487"/>
      <c r="L85" s="485"/>
      <c r="M85" s="490"/>
      <c r="N85" s="237"/>
    </row>
    <row r="86" spans="1:14" ht="15.75" outlineLevel="2" thickBot="1" x14ac:dyDescent="0.5">
      <c r="A86" s="223"/>
      <c r="B86" s="223"/>
      <c r="C86" s="472"/>
      <c r="D86" s="224"/>
      <c r="E86" s="484"/>
      <c r="F86" s="493">
        <f>'2019-20 StepbyStep Allocations'!$Z$8</f>
        <v>724886.11992410396</v>
      </c>
      <c r="G86" s="494"/>
      <c r="H86" s="495"/>
      <c r="I86" s="484"/>
      <c r="J86" s="485"/>
      <c r="K86" s="488"/>
      <c r="L86" s="485"/>
      <c r="M86" s="491"/>
      <c r="N86" s="223"/>
    </row>
    <row r="87" spans="1:14" ht="14.65" outlineLevel="1" thickBot="1" x14ac:dyDescent="0.5">
      <c r="B87" s="199"/>
      <c r="C87" s="199"/>
      <c r="D87" s="199"/>
      <c r="E87" s="199"/>
      <c r="F87" s="199"/>
      <c r="G87" s="199"/>
      <c r="H87" s="199"/>
      <c r="I87" s="199"/>
      <c r="J87" s="199"/>
      <c r="K87" s="199"/>
      <c r="L87" s="199"/>
      <c r="M87" s="200"/>
      <c r="N87" s="199"/>
    </row>
    <row r="88" spans="1:14" ht="15.4" outlineLevel="2" x14ac:dyDescent="0.45">
      <c r="A88" s="223"/>
      <c r="B88" s="223"/>
      <c r="C88" s="470" t="s">
        <v>289</v>
      </c>
      <c r="D88" s="224"/>
      <c r="E88" s="223"/>
      <c r="F88" s="225" t="str">
        <f>"IDACI band B population for " &amp; $F$5</f>
        <v>IDACI band B population for York</v>
      </c>
      <c r="G88" s="226" t="s">
        <v>357</v>
      </c>
      <c r="H88" s="227" t="s">
        <v>14</v>
      </c>
      <c r="I88" s="228"/>
      <c r="J88" s="473" t="s">
        <v>357</v>
      </c>
      <c r="K88" s="470" t="str">
        <f>C88 &amp; " funding"</f>
        <v>IDACI band B factor funding</v>
      </c>
      <c r="L88" s="476" t="s">
        <v>359</v>
      </c>
      <c r="M88" s="479" t="str">
        <f>C88</f>
        <v>IDACI band B factor</v>
      </c>
      <c r="N88" s="223"/>
    </row>
    <row r="89" spans="1:14" ht="15.4" outlineLevel="2" x14ac:dyDescent="0.45">
      <c r="A89" s="223"/>
      <c r="B89" s="223"/>
      <c r="C89" s="471"/>
      <c r="D89" s="224"/>
      <c r="E89" s="223"/>
      <c r="F89" s="482" t="s">
        <v>369</v>
      </c>
      <c r="G89" s="483"/>
      <c r="H89" s="483"/>
      <c r="I89" s="229"/>
      <c r="J89" s="474"/>
      <c r="K89" s="471"/>
      <c r="L89" s="477"/>
      <c r="M89" s="480"/>
      <c r="N89" s="223"/>
    </row>
    <row r="90" spans="1:14" ht="15.75" outlineLevel="2" thickBot="1" x14ac:dyDescent="0.5">
      <c r="A90" s="223"/>
      <c r="B90" s="223"/>
      <c r="C90" s="471"/>
      <c r="D90" s="224"/>
      <c r="E90" s="223"/>
      <c r="F90" s="230" t="s">
        <v>380</v>
      </c>
      <c r="G90" s="231"/>
      <c r="H90" s="232"/>
      <c r="I90" s="233"/>
      <c r="J90" s="475"/>
      <c r="K90" s="472"/>
      <c r="L90" s="478"/>
      <c r="M90" s="481"/>
      <c r="N90" s="223"/>
    </row>
    <row r="91" spans="1:14" ht="14.65" outlineLevel="2" thickBot="1" x14ac:dyDescent="0.5">
      <c r="A91" s="223"/>
      <c r="B91" s="223"/>
      <c r="C91" s="471"/>
      <c r="D91" s="224"/>
      <c r="E91" s="223"/>
      <c r="F91" s="223"/>
      <c r="G91" s="234"/>
      <c r="H91" s="223"/>
      <c r="I91" s="234"/>
      <c r="J91" s="234"/>
      <c r="K91" s="223"/>
      <c r="L91" s="234"/>
      <c r="M91" s="235"/>
      <c r="N91" s="223"/>
    </row>
    <row r="92" spans="1:14" ht="15.75" outlineLevel="2" thickBot="1" x14ac:dyDescent="0.5">
      <c r="A92" s="223"/>
      <c r="B92" s="223"/>
      <c r="C92" s="471"/>
      <c r="D92" s="224"/>
      <c r="E92" s="484" t="s">
        <v>371</v>
      </c>
      <c r="F92" s="236">
        <f>INDEX('2019-20 StepbyStep Allocations'!$AB$9:$AB$158, MATCH($F$7, '2019-20 StepbyStep Allocations'!$C$9:$C$158, 0))</f>
        <v>891</v>
      </c>
      <c r="G92" s="234" t="s">
        <v>357</v>
      </c>
      <c r="H92" s="353">
        <f>$H$6</f>
        <v>1</v>
      </c>
      <c r="I92" s="484" t="s">
        <v>372</v>
      </c>
      <c r="J92" s="485" t="s">
        <v>357</v>
      </c>
      <c r="K92" s="486">
        <f>'2019-20 StepbyStep Allocations'!$AD$8</f>
        <v>63257781.473442107</v>
      </c>
      <c r="L92" s="485" t="s">
        <v>359</v>
      </c>
      <c r="M92" s="489">
        <f>INDEX('2019-20 StepbyStep Allocations'!$AD$9:$AD$158, MATCH($F$7, '2019-20 StepbyStep Allocations'!$C$9:$C$158, 0))</f>
        <v>62932.381363570094</v>
      </c>
      <c r="N92" s="223"/>
    </row>
    <row r="93" spans="1:14" ht="18.399999999999999" outlineLevel="2" thickBot="1" x14ac:dyDescent="0.5">
      <c r="A93" s="223"/>
      <c r="B93" s="223"/>
      <c r="C93" s="471"/>
      <c r="D93" s="224"/>
      <c r="E93" s="484"/>
      <c r="F93" s="492" t="s">
        <v>373</v>
      </c>
      <c r="G93" s="492"/>
      <c r="H93" s="492"/>
      <c r="I93" s="484"/>
      <c r="J93" s="485"/>
      <c r="K93" s="487"/>
      <c r="L93" s="485"/>
      <c r="M93" s="490"/>
      <c r="N93" s="237"/>
    </row>
    <row r="94" spans="1:14" ht="15.75" outlineLevel="2" thickBot="1" x14ac:dyDescent="0.5">
      <c r="A94" s="223"/>
      <c r="B94" s="223"/>
      <c r="C94" s="472"/>
      <c r="D94" s="224"/>
      <c r="E94" s="484"/>
      <c r="F94" s="493">
        <f>'2019-20 StepbyStep Allocations'!$AC$8</f>
        <v>895607.03204954206</v>
      </c>
      <c r="G94" s="494"/>
      <c r="H94" s="495"/>
      <c r="I94" s="484"/>
      <c r="J94" s="485"/>
      <c r="K94" s="488"/>
      <c r="L94" s="485"/>
      <c r="M94" s="491"/>
      <c r="N94" s="223"/>
    </row>
    <row r="95" spans="1:14" ht="14.65" outlineLevel="1" thickBot="1" x14ac:dyDescent="0.5">
      <c r="B95" s="199"/>
      <c r="C95" s="199"/>
      <c r="D95" s="199"/>
      <c r="E95" s="199"/>
      <c r="F95" s="199"/>
      <c r="G95" s="199"/>
      <c r="H95" s="199"/>
      <c r="I95" s="199"/>
      <c r="J95" s="199"/>
      <c r="K95" s="199"/>
      <c r="L95" s="199"/>
      <c r="M95" s="200"/>
      <c r="N95" s="199"/>
    </row>
    <row r="96" spans="1:14" ht="15.4" outlineLevel="2" x14ac:dyDescent="0.45">
      <c r="A96" s="223"/>
      <c r="B96" s="223"/>
      <c r="C96" s="470" t="s">
        <v>290</v>
      </c>
      <c r="D96" s="224"/>
      <c r="E96" s="223"/>
      <c r="F96" s="225" t="str">
        <f>"IDACI band A population for " &amp; $F$5</f>
        <v>IDACI band A population for York</v>
      </c>
      <c r="G96" s="226" t="s">
        <v>357</v>
      </c>
      <c r="H96" s="227" t="s">
        <v>14</v>
      </c>
      <c r="I96" s="228"/>
      <c r="J96" s="473" t="s">
        <v>357</v>
      </c>
      <c r="K96" s="470" t="str">
        <f>C96 &amp; " funding"</f>
        <v>IDACI band A factor funding</v>
      </c>
      <c r="L96" s="476" t="s">
        <v>359</v>
      </c>
      <c r="M96" s="479" t="str">
        <f>C96</f>
        <v>IDACI band A factor</v>
      </c>
      <c r="N96" s="223"/>
    </row>
    <row r="97" spans="1:14" ht="15.4" outlineLevel="2" x14ac:dyDescent="0.45">
      <c r="A97" s="223"/>
      <c r="B97" s="223"/>
      <c r="C97" s="471"/>
      <c r="D97" s="224"/>
      <c r="E97" s="223"/>
      <c r="F97" s="482" t="s">
        <v>369</v>
      </c>
      <c r="G97" s="483"/>
      <c r="H97" s="483"/>
      <c r="I97" s="229"/>
      <c r="J97" s="474"/>
      <c r="K97" s="471"/>
      <c r="L97" s="477"/>
      <c r="M97" s="480"/>
      <c r="N97" s="223"/>
    </row>
    <row r="98" spans="1:14" ht="15.75" outlineLevel="2" thickBot="1" x14ac:dyDescent="0.5">
      <c r="A98" s="223"/>
      <c r="B98" s="223"/>
      <c r="C98" s="471"/>
      <c r="D98" s="224"/>
      <c r="E98" s="223"/>
      <c r="F98" s="230" t="s">
        <v>381</v>
      </c>
      <c r="G98" s="231"/>
      <c r="H98" s="232"/>
      <c r="I98" s="233"/>
      <c r="J98" s="475"/>
      <c r="K98" s="472"/>
      <c r="L98" s="478"/>
      <c r="M98" s="481"/>
      <c r="N98" s="223"/>
    </row>
    <row r="99" spans="1:14" ht="14.65" outlineLevel="2" thickBot="1" x14ac:dyDescent="0.5">
      <c r="A99" s="223"/>
      <c r="B99" s="223"/>
      <c r="C99" s="471"/>
      <c r="D99" s="224"/>
      <c r="E99" s="223"/>
      <c r="F99" s="223"/>
      <c r="G99" s="234"/>
      <c r="H99" s="223"/>
      <c r="I99" s="234"/>
      <c r="J99" s="234"/>
      <c r="K99" s="223"/>
      <c r="L99" s="234"/>
      <c r="M99" s="235"/>
      <c r="N99" s="223"/>
    </row>
    <row r="100" spans="1:14" ht="15.75" outlineLevel="2" thickBot="1" x14ac:dyDescent="0.5">
      <c r="A100" s="223"/>
      <c r="B100" s="223"/>
      <c r="C100" s="471"/>
      <c r="D100" s="224"/>
      <c r="E100" s="484" t="s">
        <v>371</v>
      </c>
      <c r="F100" s="236">
        <f>INDEX('2019-20 StepbyStep Allocations'!$AE$9:$AE$158, MATCH($F$7, '2019-20 StepbyStep Allocations'!$C$9:$C$158, 0))</f>
        <v>0</v>
      </c>
      <c r="G100" s="234" t="s">
        <v>357</v>
      </c>
      <c r="H100" s="353">
        <f>$H$6</f>
        <v>1</v>
      </c>
      <c r="I100" s="484" t="s">
        <v>372</v>
      </c>
      <c r="J100" s="485" t="s">
        <v>357</v>
      </c>
      <c r="K100" s="486">
        <f>'2019-20 StepbyStep Allocations'!$AG$8</f>
        <v>31628890.736721054</v>
      </c>
      <c r="L100" s="485" t="s">
        <v>359</v>
      </c>
      <c r="M100" s="463">
        <f>INDEX('2019-20 StepbyStep Allocations'!$AG$9:$AG$158, MATCH($F$7, '2019-20 StepbyStep Allocations'!$C$9:$C$158, 0))</f>
        <v>0</v>
      </c>
      <c r="N100" s="223"/>
    </row>
    <row r="101" spans="1:14" ht="18.399999999999999" outlineLevel="2" thickBot="1" x14ac:dyDescent="0.5">
      <c r="A101" s="223"/>
      <c r="B101" s="223"/>
      <c r="C101" s="471"/>
      <c r="D101" s="224"/>
      <c r="E101" s="484"/>
      <c r="F101" s="492" t="s">
        <v>373</v>
      </c>
      <c r="G101" s="492"/>
      <c r="H101" s="492"/>
      <c r="I101" s="484"/>
      <c r="J101" s="485"/>
      <c r="K101" s="487"/>
      <c r="L101" s="485"/>
      <c r="M101" s="464"/>
      <c r="N101" s="237"/>
    </row>
    <row r="102" spans="1:14" ht="15.75" outlineLevel="2" thickBot="1" x14ac:dyDescent="0.5">
      <c r="A102" s="223"/>
      <c r="B102" s="223"/>
      <c r="C102" s="472"/>
      <c r="D102" s="224"/>
      <c r="E102" s="484"/>
      <c r="F102" s="493">
        <f>'2019-20 StepbyStep Allocations'!$AF$8</f>
        <v>330929.45579259295</v>
      </c>
      <c r="G102" s="494"/>
      <c r="H102" s="495"/>
      <c r="I102" s="484"/>
      <c r="J102" s="485"/>
      <c r="K102" s="488"/>
      <c r="L102" s="485"/>
      <c r="M102" s="465"/>
      <c r="N102" s="223"/>
    </row>
    <row r="103" spans="1:14" ht="14.65" outlineLevel="1" thickBot="1" x14ac:dyDescent="0.5">
      <c r="B103" s="199"/>
      <c r="C103" s="199"/>
      <c r="D103" s="199"/>
      <c r="E103" s="199"/>
      <c r="F103" s="199"/>
      <c r="G103" s="199"/>
      <c r="H103" s="199"/>
      <c r="I103" s="199"/>
      <c r="J103" s="199"/>
      <c r="K103" s="199"/>
      <c r="L103" s="199"/>
      <c r="M103" s="200"/>
      <c r="N103" s="199"/>
    </row>
    <row r="104" spans="1:14" ht="15.4" thickBot="1" x14ac:dyDescent="0.5">
      <c r="A104" s="174"/>
      <c r="B104" s="174"/>
      <c r="C104" s="180" t="s">
        <v>291</v>
      </c>
      <c r="E104" s="176"/>
      <c r="F104" s="176"/>
      <c r="G104" s="176"/>
      <c r="H104" s="174"/>
      <c r="I104" s="205"/>
      <c r="J104" s="205"/>
      <c r="K104" s="174"/>
      <c r="L104" s="176"/>
      <c r="M104" s="203">
        <f>INDEX('2019-20 StepbyStep Allocations'!$AH$9:$AH$158, MATCH($F$7, '2019-20 StepbyStep Allocations'!$C$9:$C$158, 0))</f>
        <v>378598.62477642682</v>
      </c>
      <c r="N104" s="222"/>
    </row>
    <row r="105" spans="1:14" ht="14.65" thickBot="1" x14ac:dyDescent="0.5">
      <c r="B105" s="199"/>
      <c r="C105" s="199"/>
      <c r="D105" s="199"/>
      <c r="E105" s="199"/>
      <c r="F105" s="199"/>
      <c r="G105" s="199"/>
      <c r="H105" s="199"/>
      <c r="I105" s="199"/>
      <c r="J105" s="199"/>
      <c r="K105" s="199"/>
      <c r="L105" s="199"/>
      <c r="M105" s="200"/>
      <c r="N105" s="199"/>
    </row>
    <row r="106" spans="1:14" ht="15" x14ac:dyDescent="0.45">
      <c r="A106" s="174"/>
      <c r="B106" s="174"/>
      <c r="C106" s="440" t="s">
        <v>292</v>
      </c>
      <c r="E106" s="174"/>
      <c r="F106" s="213" t="str">
        <f>"Bad health population for " &amp; $F$5</f>
        <v>Bad health population for York</v>
      </c>
      <c r="G106" s="214" t="s">
        <v>357</v>
      </c>
      <c r="H106" s="215" t="s">
        <v>14</v>
      </c>
      <c r="I106" s="216"/>
      <c r="J106" s="445" t="s">
        <v>357</v>
      </c>
      <c r="K106" s="449" t="s">
        <v>382</v>
      </c>
      <c r="L106" s="452" t="s">
        <v>359</v>
      </c>
      <c r="M106" s="455" t="str">
        <f>C106</f>
        <v>(F) Bad health factor</v>
      </c>
      <c r="N106" s="174"/>
    </row>
    <row r="107" spans="1:14" ht="15" x14ac:dyDescent="0.45">
      <c r="A107" s="174"/>
      <c r="B107" s="174"/>
      <c r="C107" s="441"/>
      <c r="E107" s="174"/>
      <c r="F107" s="458" t="s">
        <v>369</v>
      </c>
      <c r="G107" s="459"/>
      <c r="H107" s="459"/>
      <c r="I107" s="217"/>
      <c r="J107" s="446"/>
      <c r="K107" s="450"/>
      <c r="L107" s="453"/>
      <c r="M107" s="456"/>
      <c r="N107" s="174"/>
    </row>
    <row r="108" spans="1:14" ht="15.75" thickBot="1" x14ac:dyDescent="0.5">
      <c r="A108" s="174"/>
      <c r="B108" s="174"/>
      <c r="C108" s="441"/>
      <c r="E108" s="174"/>
      <c r="F108" s="218" t="s">
        <v>383</v>
      </c>
      <c r="G108" s="219"/>
      <c r="H108" s="220"/>
      <c r="I108" s="221"/>
      <c r="J108" s="447"/>
      <c r="K108" s="451"/>
      <c r="L108" s="454"/>
      <c r="M108" s="457"/>
      <c r="N108" s="174"/>
    </row>
    <row r="109" spans="1:14" ht="14.65" thickBot="1" x14ac:dyDescent="0.5">
      <c r="A109" s="174"/>
      <c r="B109" s="174"/>
      <c r="C109" s="441"/>
      <c r="E109" s="174"/>
      <c r="F109" s="174"/>
      <c r="G109" s="176"/>
      <c r="H109" s="174"/>
      <c r="I109" s="176"/>
      <c r="J109" s="176"/>
      <c r="K109" s="174"/>
      <c r="L109" s="176"/>
      <c r="M109" s="177"/>
      <c r="N109" s="174"/>
    </row>
    <row r="110" spans="1:14" ht="15.4" thickBot="1" x14ac:dyDescent="0.5">
      <c r="A110" s="174"/>
      <c r="B110" s="174"/>
      <c r="C110" s="441"/>
      <c r="E110" s="448" t="s">
        <v>371</v>
      </c>
      <c r="F110" s="208">
        <f>INDEX('2019-20 StepbyStep Allocations'!$AI$9:$AI$158, MATCH($F$7, '2019-20 StepbyStep Allocations'!$C$9:$C$158, 0))</f>
        <v>139</v>
      </c>
      <c r="G110" s="176" t="s">
        <v>357</v>
      </c>
      <c r="H110" s="352">
        <f>$H$6</f>
        <v>1</v>
      </c>
      <c r="I110" s="448" t="s">
        <v>372</v>
      </c>
      <c r="J110" s="444" t="s">
        <v>357</v>
      </c>
      <c r="K110" s="460">
        <f>'2019-20 StepbyStep Allocations'!$AK$8</f>
        <v>206275374.3699199</v>
      </c>
      <c r="L110" s="444" t="s">
        <v>359</v>
      </c>
      <c r="M110" s="463">
        <f>INDEX('2019-20 StepbyStep Allocations'!$AK$9:$AK$158, MATCH($F$7, '2019-20 StepbyStep Allocations'!$C$9:$C$158, 0))</f>
        <v>429009.21494666126</v>
      </c>
      <c r="N110" s="174"/>
    </row>
    <row r="111" spans="1:14" ht="18.399999999999999" thickBot="1" x14ac:dyDescent="0.5">
      <c r="A111" s="174"/>
      <c r="B111" s="174"/>
      <c r="C111" s="441"/>
      <c r="E111" s="448"/>
      <c r="F111" s="466" t="s">
        <v>373</v>
      </c>
      <c r="G111" s="466"/>
      <c r="H111" s="466"/>
      <c r="I111" s="448"/>
      <c r="J111" s="444"/>
      <c r="K111" s="461"/>
      <c r="L111" s="444"/>
      <c r="M111" s="464"/>
      <c r="N111" s="222"/>
    </row>
    <row r="112" spans="1:14" ht="15.4" thickBot="1" x14ac:dyDescent="0.5">
      <c r="A112" s="174"/>
      <c r="B112" s="174"/>
      <c r="C112" s="442"/>
      <c r="E112" s="448"/>
      <c r="F112" s="467">
        <f>'2019-20 StepbyStep Allocations'!$AJ$8</f>
        <v>66833.709017144749</v>
      </c>
      <c r="G112" s="468"/>
      <c r="H112" s="469"/>
      <c r="I112" s="448"/>
      <c r="J112" s="444"/>
      <c r="K112" s="462"/>
      <c r="L112" s="444"/>
      <c r="M112" s="465"/>
      <c r="N112" s="174"/>
    </row>
    <row r="113" spans="1:14" ht="14.65" thickBot="1" x14ac:dyDescent="0.5">
      <c r="B113" s="199"/>
      <c r="C113" s="199"/>
      <c r="D113" s="199"/>
      <c r="E113" s="199"/>
      <c r="F113" s="199"/>
      <c r="G113" s="199"/>
      <c r="H113" s="199"/>
      <c r="I113" s="199"/>
      <c r="J113" s="199"/>
      <c r="K113" s="199"/>
      <c r="L113" s="199"/>
      <c r="M113" s="200"/>
      <c r="N113" s="199"/>
    </row>
    <row r="114" spans="1:14" ht="15" x14ac:dyDescent="0.45">
      <c r="A114" s="174"/>
      <c r="B114" s="174"/>
      <c r="C114" s="440" t="s">
        <v>293</v>
      </c>
      <c r="E114" s="174"/>
      <c r="F114" s="213" t="str">
        <f>"DLA children in " &amp; $F$5</f>
        <v>DLA children in York</v>
      </c>
      <c r="G114" s="214" t="s">
        <v>357</v>
      </c>
      <c r="H114" s="215" t="s">
        <v>14</v>
      </c>
      <c r="I114" s="216"/>
      <c r="J114" s="445" t="s">
        <v>357</v>
      </c>
      <c r="K114" s="449" t="s">
        <v>384</v>
      </c>
      <c r="L114" s="452" t="s">
        <v>359</v>
      </c>
      <c r="M114" s="455" t="str">
        <f>C114</f>
        <v>(G) Disability factor</v>
      </c>
      <c r="N114" s="174"/>
    </row>
    <row r="115" spans="1:14" ht="15" x14ac:dyDescent="0.45">
      <c r="A115" s="174"/>
      <c r="B115" s="174"/>
      <c r="C115" s="441"/>
      <c r="E115" s="174"/>
      <c r="F115" s="458" t="s">
        <v>369</v>
      </c>
      <c r="G115" s="459"/>
      <c r="H115" s="459"/>
      <c r="I115" s="217"/>
      <c r="J115" s="446"/>
      <c r="K115" s="450"/>
      <c r="L115" s="453"/>
      <c r="M115" s="456"/>
      <c r="N115" s="174"/>
    </row>
    <row r="116" spans="1:14" ht="15.75" thickBot="1" x14ac:dyDescent="0.5">
      <c r="A116" s="174"/>
      <c r="B116" s="174"/>
      <c r="C116" s="441"/>
      <c r="E116" s="174"/>
      <c r="F116" s="218" t="s">
        <v>385</v>
      </c>
      <c r="G116" s="219"/>
      <c r="H116" s="220"/>
      <c r="I116" s="221"/>
      <c r="J116" s="447"/>
      <c r="K116" s="451"/>
      <c r="L116" s="454"/>
      <c r="M116" s="457"/>
      <c r="N116" s="174"/>
    </row>
    <row r="117" spans="1:14" ht="14.65" thickBot="1" x14ac:dyDescent="0.5">
      <c r="A117" s="174"/>
      <c r="B117" s="174"/>
      <c r="C117" s="441"/>
      <c r="E117" s="174"/>
      <c r="F117" s="174"/>
      <c r="G117" s="176"/>
      <c r="H117" s="174"/>
      <c r="I117" s="176"/>
      <c r="J117" s="176"/>
      <c r="K117" s="174"/>
      <c r="L117" s="176"/>
      <c r="M117" s="177"/>
      <c r="N117" s="174"/>
    </row>
    <row r="118" spans="1:14" ht="15.4" thickBot="1" x14ac:dyDescent="0.5">
      <c r="A118" s="174"/>
      <c r="B118" s="174"/>
      <c r="C118" s="441"/>
      <c r="E118" s="448" t="s">
        <v>371</v>
      </c>
      <c r="F118" s="208">
        <f>INDEX('2019-20 StepbyStep Allocations'!$AL$9:$AL$158, MATCH($F$7, '2019-20 StepbyStep Allocations'!$C$9:$C$158, 0))</f>
        <v>800</v>
      </c>
      <c r="G118" s="176" t="s">
        <v>357</v>
      </c>
      <c r="H118" s="352">
        <f>$H$6</f>
        <v>1</v>
      </c>
      <c r="I118" s="448" t="s">
        <v>372</v>
      </c>
      <c r="J118" s="444" t="s">
        <v>357</v>
      </c>
      <c r="K118" s="460">
        <f>'2019-20 StepbyStep Allocations'!$AN$8</f>
        <v>206275374.3699199</v>
      </c>
      <c r="L118" s="444" t="s">
        <v>359</v>
      </c>
      <c r="M118" s="463">
        <f>INDEX('2019-20 StepbyStep Allocations'!$AN$9:$AN$158, MATCH($F$7, '2019-20 StepbyStep Allocations'!$C$9:$C$158, 0))</f>
        <v>407771.07065816375</v>
      </c>
      <c r="N118" s="174"/>
    </row>
    <row r="119" spans="1:14" ht="18.399999999999999" thickBot="1" x14ac:dyDescent="0.5">
      <c r="A119" s="174"/>
      <c r="B119" s="174"/>
      <c r="C119" s="441"/>
      <c r="E119" s="448"/>
      <c r="F119" s="466" t="s">
        <v>373</v>
      </c>
      <c r="G119" s="466"/>
      <c r="H119" s="466"/>
      <c r="I119" s="448"/>
      <c r="J119" s="444"/>
      <c r="K119" s="461"/>
      <c r="L119" s="444"/>
      <c r="M119" s="464"/>
      <c r="N119" s="222"/>
    </row>
    <row r="120" spans="1:14" ht="15.4" thickBot="1" x14ac:dyDescent="0.5">
      <c r="A120" s="174"/>
      <c r="B120" s="174"/>
      <c r="C120" s="442"/>
      <c r="E120" s="448"/>
      <c r="F120" s="467">
        <f>'2019-20 StepbyStep Allocations'!$AM$8</f>
        <v>404688.58967749856</v>
      </c>
      <c r="G120" s="468"/>
      <c r="H120" s="469"/>
      <c r="I120" s="448"/>
      <c r="J120" s="444"/>
      <c r="K120" s="462"/>
      <c r="L120" s="444"/>
      <c r="M120" s="465"/>
      <c r="N120" s="174"/>
    </row>
    <row r="121" spans="1:14" ht="14.65" thickBot="1" x14ac:dyDescent="0.5">
      <c r="B121" s="199"/>
      <c r="C121" s="199"/>
      <c r="D121" s="199"/>
      <c r="E121" s="199"/>
      <c r="F121" s="199"/>
      <c r="G121" s="199"/>
      <c r="H121" s="199"/>
      <c r="I121" s="199"/>
      <c r="J121" s="199"/>
      <c r="K121" s="199"/>
      <c r="L121" s="199"/>
      <c r="M121" s="200"/>
      <c r="N121" s="199"/>
    </row>
    <row r="122" spans="1:14" ht="30.75" customHeight="1" x14ac:dyDescent="0.45">
      <c r="A122" s="174"/>
      <c r="B122" s="174"/>
      <c r="C122" s="440" t="s">
        <v>294</v>
      </c>
      <c r="E122" s="174"/>
      <c r="F122" s="213" t="str">
        <f>"KS2 low attainment population in " &amp; $F$5</f>
        <v>KS2 low attainment population in York</v>
      </c>
      <c r="G122" s="214" t="s">
        <v>357</v>
      </c>
      <c r="H122" s="215" t="s">
        <v>14</v>
      </c>
      <c r="I122" s="216"/>
      <c r="J122" s="445" t="s">
        <v>357</v>
      </c>
      <c r="K122" s="449" t="s">
        <v>386</v>
      </c>
      <c r="L122" s="452" t="s">
        <v>359</v>
      </c>
      <c r="M122" s="455" t="str">
        <f>C122</f>
        <v>(H) KS2 low attainment factor</v>
      </c>
      <c r="N122" s="174"/>
    </row>
    <row r="123" spans="1:14" ht="15" x14ac:dyDescent="0.45">
      <c r="A123" s="174"/>
      <c r="B123" s="174"/>
      <c r="C123" s="441"/>
      <c r="E123" s="174"/>
      <c r="F123" s="458" t="s">
        <v>369</v>
      </c>
      <c r="G123" s="459"/>
      <c r="H123" s="459"/>
      <c r="I123" s="217"/>
      <c r="J123" s="446"/>
      <c r="K123" s="450"/>
      <c r="L123" s="453"/>
      <c r="M123" s="456"/>
      <c r="N123" s="174"/>
    </row>
    <row r="124" spans="1:14" ht="15.75" thickBot="1" x14ac:dyDescent="0.5">
      <c r="A124" s="174"/>
      <c r="B124" s="174"/>
      <c r="C124" s="441"/>
      <c r="E124" s="174"/>
      <c r="F124" s="218" t="s">
        <v>387</v>
      </c>
      <c r="G124" s="219"/>
      <c r="H124" s="220"/>
      <c r="I124" s="221"/>
      <c r="J124" s="447"/>
      <c r="K124" s="451"/>
      <c r="L124" s="454"/>
      <c r="M124" s="457"/>
      <c r="N124" s="174"/>
    </row>
    <row r="125" spans="1:14" ht="14.65" thickBot="1" x14ac:dyDescent="0.5">
      <c r="A125" s="174"/>
      <c r="B125" s="174"/>
      <c r="C125" s="441"/>
      <c r="E125" s="174"/>
      <c r="F125" s="174"/>
      <c r="G125" s="176"/>
      <c r="H125" s="174"/>
      <c r="I125" s="176"/>
      <c r="J125" s="176"/>
      <c r="K125" s="174"/>
      <c r="L125" s="176"/>
      <c r="M125" s="177"/>
      <c r="N125" s="174"/>
    </row>
    <row r="126" spans="1:14" ht="15.4" thickBot="1" x14ac:dyDescent="0.5">
      <c r="A126" s="174"/>
      <c r="B126" s="174"/>
      <c r="C126" s="441"/>
      <c r="E126" s="448" t="s">
        <v>371</v>
      </c>
      <c r="F126" s="208">
        <f>INDEX('2019-20 StepbyStep Allocations'!$AO$9:$AO$158, MATCH($F$7, '2019-20 StepbyStep Allocations'!$C$9:$C$158, 0))</f>
        <v>317</v>
      </c>
      <c r="G126" s="176" t="s">
        <v>357</v>
      </c>
      <c r="H126" s="352">
        <f>$H$6</f>
        <v>1</v>
      </c>
      <c r="I126" s="448" t="s">
        <v>372</v>
      </c>
      <c r="J126" s="444" t="s">
        <v>357</v>
      </c>
      <c r="K126" s="460">
        <f>'2019-20 StepbyStep Allocations'!$AQ$8</f>
        <v>206275374.3699199</v>
      </c>
      <c r="L126" s="444" t="s">
        <v>359</v>
      </c>
      <c r="M126" s="463">
        <f>INDEX('2019-20 StepbyStep Allocations'!$AQ$9:$AQ$158, MATCH($F$7, '2019-20 StepbyStep Allocations'!$C$9:$C$158, 0))</f>
        <v>558350.89511061297</v>
      </c>
      <c r="N126" s="174"/>
    </row>
    <row r="127" spans="1:14" ht="18.399999999999999" thickBot="1" x14ac:dyDescent="0.5">
      <c r="A127" s="174"/>
      <c r="B127" s="174"/>
      <c r="C127" s="441"/>
      <c r="E127" s="448"/>
      <c r="F127" s="466" t="s">
        <v>373</v>
      </c>
      <c r="G127" s="466"/>
      <c r="H127" s="466"/>
      <c r="I127" s="448"/>
      <c r="J127" s="444"/>
      <c r="K127" s="461"/>
      <c r="L127" s="444"/>
      <c r="M127" s="464"/>
      <c r="N127" s="222"/>
    </row>
    <row r="128" spans="1:14" ht="15.4" thickBot="1" x14ac:dyDescent="0.5">
      <c r="A128" s="174"/>
      <c r="B128" s="174"/>
      <c r="C128" s="442"/>
      <c r="E128" s="448"/>
      <c r="F128" s="467">
        <f>'2019-20 StepbyStep Allocations'!$AP$8</f>
        <v>117111.46923532838</v>
      </c>
      <c r="G128" s="468"/>
      <c r="H128" s="469"/>
      <c r="I128" s="448"/>
      <c r="J128" s="444"/>
      <c r="K128" s="462"/>
      <c r="L128" s="444"/>
      <c r="M128" s="465"/>
      <c r="N128" s="174"/>
    </row>
    <row r="129" spans="1:14" ht="14.65" thickBot="1" x14ac:dyDescent="0.5">
      <c r="B129" s="199"/>
      <c r="C129" s="199"/>
      <c r="D129" s="199"/>
      <c r="E129" s="199"/>
      <c r="F129" s="199"/>
      <c r="G129" s="199"/>
      <c r="H129" s="199"/>
      <c r="I129" s="199"/>
      <c r="J129" s="199"/>
      <c r="K129" s="199"/>
      <c r="L129" s="199"/>
      <c r="M129" s="200"/>
      <c r="N129" s="199"/>
    </row>
    <row r="130" spans="1:14" ht="30" customHeight="1" x14ac:dyDescent="0.45">
      <c r="A130" s="174"/>
      <c r="B130" s="174"/>
      <c r="C130" s="440" t="s">
        <v>295</v>
      </c>
      <c r="E130" s="174"/>
      <c r="F130" s="213" t="str">
        <f>"KS4 low attainment population in " &amp; $F$5</f>
        <v>KS4 low attainment population in York</v>
      </c>
      <c r="G130" s="214" t="s">
        <v>357</v>
      </c>
      <c r="H130" s="215" t="s">
        <v>14</v>
      </c>
      <c r="I130" s="216"/>
      <c r="J130" s="445" t="s">
        <v>357</v>
      </c>
      <c r="K130" s="449" t="s">
        <v>388</v>
      </c>
      <c r="L130" s="452" t="s">
        <v>359</v>
      </c>
      <c r="M130" s="455" t="str">
        <f>C130</f>
        <v>(I) KS4 low attainment factor</v>
      </c>
      <c r="N130" s="174"/>
    </row>
    <row r="131" spans="1:14" ht="15" x14ac:dyDescent="0.45">
      <c r="A131" s="174"/>
      <c r="B131" s="174"/>
      <c r="C131" s="441"/>
      <c r="E131" s="174"/>
      <c r="F131" s="458" t="s">
        <v>369</v>
      </c>
      <c r="G131" s="459"/>
      <c r="H131" s="459"/>
      <c r="I131" s="217"/>
      <c r="J131" s="446"/>
      <c r="K131" s="450"/>
      <c r="L131" s="453"/>
      <c r="M131" s="456"/>
      <c r="N131" s="174"/>
    </row>
    <row r="132" spans="1:14" ht="15.75" thickBot="1" x14ac:dyDescent="0.5">
      <c r="A132" s="174"/>
      <c r="B132" s="174"/>
      <c r="C132" s="441"/>
      <c r="E132" s="174"/>
      <c r="F132" s="218" t="s">
        <v>389</v>
      </c>
      <c r="G132" s="219"/>
      <c r="H132" s="220"/>
      <c r="I132" s="221"/>
      <c r="J132" s="447"/>
      <c r="K132" s="451"/>
      <c r="L132" s="454"/>
      <c r="M132" s="457"/>
      <c r="N132" s="174"/>
    </row>
    <row r="133" spans="1:14" ht="14.65" thickBot="1" x14ac:dyDescent="0.5">
      <c r="A133" s="174"/>
      <c r="B133" s="174"/>
      <c r="C133" s="441"/>
      <c r="E133" s="174"/>
      <c r="F133" s="174"/>
      <c r="G133" s="176"/>
      <c r="H133" s="174"/>
      <c r="I133" s="176"/>
      <c r="J133" s="176"/>
      <c r="K133" s="174"/>
      <c r="L133" s="176"/>
      <c r="M133" s="177"/>
      <c r="N133" s="174"/>
    </row>
    <row r="134" spans="1:14" ht="15.4" thickBot="1" x14ac:dyDescent="0.5">
      <c r="A134" s="174"/>
      <c r="B134" s="174"/>
      <c r="C134" s="441"/>
      <c r="E134" s="448" t="s">
        <v>371</v>
      </c>
      <c r="F134" s="208">
        <f>INDEX('2019-20 StepbyStep Allocations'!$AR$9:$AR$158, MATCH($F$7, '2019-20 StepbyStep Allocations'!$C$9:$C$158, 0))</f>
        <v>264</v>
      </c>
      <c r="G134" s="176" t="s">
        <v>357</v>
      </c>
      <c r="H134" s="352">
        <f>$H$6</f>
        <v>1</v>
      </c>
      <c r="I134" s="448" t="s">
        <v>372</v>
      </c>
      <c r="J134" s="444" t="s">
        <v>357</v>
      </c>
      <c r="K134" s="460">
        <f>'2019-20 StepbyStep Allocations'!$AT$8</f>
        <v>206275374.3699199</v>
      </c>
      <c r="L134" s="444" t="s">
        <v>359</v>
      </c>
      <c r="M134" s="463">
        <f>INDEX('2019-20 StepbyStep Allocations'!$AT$9:$AT$158, MATCH($F$7, '2019-20 StepbyStep Allocations'!$C$9:$C$158, 0))</f>
        <v>381918.0432921506</v>
      </c>
      <c r="N134" s="174"/>
    </row>
    <row r="135" spans="1:14" ht="18.399999999999999" thickBot="1" x14ac:dyDescent="0.5">
      <c r="A135" s="174"/>
      <c r="B135" s="174"/>
      <c r="C135" s="441"/>
      <c r="E135" s="448"/>
      <c r="F135" s="466" t="s">
        <v>373</v>
      </c>
      <c r="G135" s="466"/>
      <c r="H135" s="466"/>
      <c r="I135" s="448"/>
      <c r="J135" s="444"/>
      <c r="K135" s="461"/>
      <c r="L135" s="444"/>
      <c r="M135" s="464"/>
      <c r="N135" s="222"/>
    </row>
    <row r="136" spans="1:14" ht="15.4" thickBot="1" x14ac:dyDescent="0.5">
      <c r="A136" s="174"/>
      <c r="B136" s="174"/>
      <c r="C136" s="442"/>
      <c r="E136" s="448"/>
      <c r="F136" s="467">
        <f>'2019-20 StepbyStep Allocations'!$AS$8</f>
        <v>142587.39483539367</v>
      </c>
      <c r="G136" s="468"/>
      <c r="H136" s="469"/>
      <c r="I136" s="448"/>
      <c r="J136" s="444"/>
      <c r="K136" s="462"/>
      <c r="L136" s="444"/>
      <c r="M136" s="465"/>
      <c r="N136" s="174"/>
    </row>
    <row r="137" spans="1:14" ht="14.65" thickBot="1" x14ac:dyDescent="0.5">
      <c r="B137" s="199"/>
      <c r="C137" s="199"/>
      <c r="D137" s="199"/>
      <c r="E137" s="199"/>
      <c r="F137" s="199"/>
      <c r="G137" s="199"/>
      <c r="H137" s="199"/>
      <c r="I137" s="199"/>
      <c r="J137" s="199"/>
      <c r="K137" s="199"/>
      <c r="L137" s="199"/>
      <c r="M137" s="200"/>
      <c r="N137" s="199"/>
    </row>
    <row r="138" spans="1:14" ht="30.4" thickBot="1" x14ac:dyDescent="0.5">
      <c r="C138" s="180" t="s">
        <v>390</v>
      </c>
      <c r="M138" s="203">
        <f>INDEX('2019-20 StepbyStep Allocations'!$AU$9:$AU$158, MATCH($F$7, '2019-20 StepbyStep Allocations'!$C$9:$C$158, 0))</f>
        <v>14797438.044166194</v>
      </c>
    </row>
    <row r="139" spans="1:14" ht="14.65" thickBot="1" x14ac:dyDescent="0.5">
      <c r="B139" s="199"/>
      <c r="C139" s="199"/>
      <c r="D139" s="199"/>
      <c r="E139" s="199"/>
      <c r="F139" s="199"/>
      <c r="G139" s="199"/>
      <c r="H139" s="199"/>
      <c r="I139" s="199"/>
      <c r="J139" s="199"/>
      <c r="K139" s="199"/>
      <c r="L139" s="199"/>
      <c r="M139" s="200"/>
      <c r="N139" s="199"/>
    </row>
    <row r="140" spans="1:14" ht="61.5" thickBot="1" x14ac:dyDescent="1.8">
      <c r="A140" s="174"/>
      <c r="B140" s="174"/>
      <c r="C140" s="440" t="s">
        <v>297</v>
      </c>
      <c r="E140" s="238"/>
      <c r="F140" s="180" t="s">
        <v>391</v>
      </c>
      <c r="G140" s="239"/>
      <c r="H140" s="180" t="s">
        <v>392</v>
      </c>
      <c r="I140" s="238"/>
      <c r="J140" s="238"/>
      <c r="K140" s="180" t="s">
        <v>393</v>
      </c>
      <c r="L140" s="238"/>
      <c r="M140" s="180" t="s">
        <v>394</v>
      </c>
      <c r="N140" s="238"/>
    </row>
    <row r="141" spans="1:14" ht="61.5" thickBot="1" x14ac:dyDescent="1.8">
      <c r="A141" s="174"/>
      <c r="B141" s="174"/>
      <c r="C141" s="441"/>
      <c r="E141" s="238"/>
      <c r="F141" s="240">
        <f>M36</f>
        <v>15988321.475670874</v>
      </c>
      <c r="G141" s="239" t="s">
        <v>395</v>
      </c>
      <c r="H141" s="208">
        <f>INDEX('2019-20 StepbyStep Allocations'!$AW$9:$AW$158,MATCH('Individual LA'!$F$7,'2019-20 StepbyStep Allocations'!$C$9:$C$158,0))</f>
        <v>35365.218000000001</v>
      </c>
      <c r="I141" s="496" t="s">
        <v>359</v>
      </c>
      <c r="J141" s="497"/>
      <c r="K141" s="240">
        <f>F141/H141</f>
        <v>452.09169856300258</v>
      </c>
      <c r="L141" s="241" t="s">
        <v>396</v>
      </c>
      <c r="M141" s="305">
        <f>K141*101%</f>
        <v>456.61261554863262</v>
      </c>
      <c r="N141" s="238"/>
    </row>
    <row r="142" spans="1:14" ht="61.5" thickBot="1" x14ac:dyDescent="1.8">
      <c r="A142" s="174"/>
      <c r="B142" s="174"/>
      <c r="C142" s="441"/>
      <c r="E142" s="238"/>
      <c r="M142"/>
      <c r="N142" s="238"/>
    </row>
    <row r="143" spans="1:14" ht="61.5" thickBot="1" x14ac:dyDescent="1.8">
      <c r="A143" s="174"/>
      <c r="B143" s="174"/>
      <c r="C143" s="441"/>
      <c r="E143" s="238"/>
      <c r="F143" s="180" t="s">
        <v>397</v>
      </c>
      <c r="H143" s="180" t="s">
        <v>398</v>
      </c>
      <c r="M143" s="180" t="s">
        <v>399</v>
      </c>
      <c r="N143" s="238"/>
    </row>
    <row r="144" spans="1:14" ht="61.5" thickBot="1" x14ac:dyDescent="1.8">
      <c r="A144" s="174"/>
      <c r="B144" s="174"/>
      <c r="C144" s="441"/>
      <c r="E144" s="238"/>
      <c r="F144" s="240">
        <f>M138</f>
        <v>14797438.044166194</v>
      </c>
      <c r="G144" s="176" t="s">
        <v>395</v>
      </c>
      <c r="H144" s="208">
        <f>INDEX('2019-20 StepbyStep Allocations'!$J$9:$J$158,MATCH('Individual LA'!$F$7,'2019-20 StepbyStep Allocations'!$C$9:$C$158,0))</f>
        <v>35688.434999999998</v>
      </c>
      <c r="L144" s="242" t="s">
        <v>359</v>
      </c>
      <c r="M144" s="240">
        <f>F144/H144</f>
        <v>414.62838155178827</v>
      </c>
      <c r="N144" s="238"/>
    </row>
    <row r="145" spans="1:14" ht="61.5" thickBot="1" x14ac:dyDescent="1.8">
      <c r="A145" s="174"/>
      <c r="B145" s="174"/>
      <c r="C145" s="441"/>
      <c r="E145" s="238"/>
      <c r="I145" s="238"/>
      <c r="J145" s="238"/>
      <c r="L145" s="238"/>
      <c r="M145" s="243"/>
      <c r="N145" s="238"/>
    </row>
    <row r="146" spans="1:14" ht="61.5" thickBot="1" x14ac:dyDescent="1.8">
      <c r="A146" s="174"/>
      <c r="B146" s="174"/>
      <c r="C146" s="441"/>
      <c r="M146" s="180" t="s">
        <v>400</v>
      </c>
      <c r="N146" s="238"/>
    </row>
    <row r="147" spans="1:14" ht="61.5" thickBot="1" x14ac:dyDescent="1.8">
      <c r="A147" s="174"/>
      <c r="B147" s="174"/>
      <c r="C147" s="441"/>
      <c r="M147" s="240">
        <f>MAX($M$144,$M$141)</f>
        <v>456.61261554863262</v>
      </c>
      <c r="N147" s="238"/>
    </row>
    <row r="148" spans="1:14" ht="61.5" thickBot="1" x14ac:dyDescent="1.8">
      <c r="A148" s="174"/>
      <c r="B148" s="174"/>
      <c r="C148" s="441"/>
      <c r="M148"/>
      <c r="N148" s="238"/>
    </row>
    <row r="149" spans="1:14" ht="61.5" thickBot="1" x14ac:dyDescent="1.8">
      <c r="A149" s="174"/>
      <c r="B149" s="174"/>
      <c r="C149" s="441"/>
      <c r="F149" s="180" t="s">
        <v>401</v>
      </c>
      <c r="H149" s="180" t="s">
        <v>398</v>
      </c>
      <c r="M149" s="180" t="s">
        <v>402</v>
      </c>
      <c r="N149" s="238"/>
    </row>
    <row r="150" spans="1:14" ht="61.5" thickBot="1" x14ac:dyDescent="1.8">
      <c r="A150" s="174"/>
      <c r="B150" s="174"/>
      <c r="C150" s="441"/>
      <c r="F150" s="240">
        <f>M147-M144</f>
        <v>41.984233996844353</v>
      </c>
      <c r="G150" s="176" t="s">
        <v>357</v>
      </c>
      <c r="H150" s="208">
        <f>INDEX('2019-20 StepbyStep Allocations'!$J$9:$J$158,MATCH('Individual LA'!$F$7,'2019-20 StepbyStep Allocations'!$C$9:$C$158,0))</f>
        <v>35688.434999999998</v>
      </c>
      <c r="L150" s="176" t="s">
        <v>359</v>
      </c>
      <c r="M150" s="244">
        <f>F150*H150</f>
        <v>1498351.6060211698</v>
      </c>
      <c r="N150" s="238"/>
    </row>
    <row r="151" spans="1:14" ht="61.5" thickBot="1" x14ac:dyDescent="1.8">
      <c r="A151" s="174"/>
      <c r="B151" s="174"/>
      <c r="C151" s="441"/>
      <c r="M151"/>
      <c r="N151" s="238"/>
    </row>
    <row r="152" spans="1:14" ht="61.5" thickBot="1" x14ac:dyDescent="1.8">
      <c r="A152" s="174"/>
      <c r="B152" s="174"/>
      <c r="C152" s="441"/>
      <c r="M152" s="180" t="s">
        <v>403</v>
      </c>
      <c r="N152" s="238"/>
    </row>
    <row r="153" spans="1:14" ht="61.5" thickBot="1" x14ac:dyDescent="1.8">
      <c r="A153" s="174"/>
      <c r="B153" s="174"/>
      <c r="C153" s="441"/>
      <c r="M153" s="244">
        <f>MAX(0, F141 - (F144 + M150))</f>
        <v>0</v>
      </c>
      <c r="N153" s="238"/>
    </row>
    <row r="154" spans="1:14" ht="14.65" thickBot="1" x14ac:dyDescent="0.5">
      <c r="A154" s="174"/>
      <c r="B154" s="174"/>
      <c r="C154" s="441"/>
      <c r="M154"/>
    </row>
    <row r="155" spans="1:14" ht="15.4" thickBot="1" x14ac:dyDescent="0.5">
      <c r="A155" s="174"/>
      <c r="B155" s="174"/>
      <c r="C155" s="441"/>
      <c r="M155" s="180" t="s">
        <v>404</v>
      </c>
    </row>
    <row r="156" spans="1:14" ht="15.4" thickBot="1" x14ac:dyDescent="0.5">
      <c r="A156" s="174"/>
      <c r="B156" s="174"/>
      <c r="C156" s="441"/>
      <c r="M156" s="244">
        <f>M150 + M153</f>
        <v>1498351.6060211698</v>
      </c>
    </row>
    <row r="157" spans="1:14" ht="14.65" thickBot="1" x14ac:dyDescent="0.5">
      <c r="C157" s="442"/>
      <c r="M157"/>
    </row>
    <row r="158" spans="1:14" ht="14.65" thickBot="1" x14ac:dyDescent="0.5">
      <c r="B158" s="199"/>
      <c r="C158" s="199"/>
      <c r="D158" s="199"/>
      <c r="E158" s="199"/>
      <c r="F158" s="199"/>
      <c r="G158" s="199"/>
      <c r="H158" s="199"/>
      <c r="I158" s="199"/>
      <c r="J158" s="199"/>
      <c r="K158" s="199"/>
      <c r="L158" s="199"/>
      <c r="M158" s="200"/>
      <c r="N158" s="199"/>
    </row>
    <row r="159" spans="1:14" ht="30.4" thickBot="1" x14ac:dyDescent="0.5">
      <c r="A159" s="174"/>
      <c r="B159" s="174"/>
      <c r="C159" s="180" t="s">
        <v>405</v>
      </c>
      <c r="E159" s="174"/>
      <c r="F159" s="174"/>
      <c r="G159" s="239"/>
      <c r="H159" s="174"/>
      <c r="I159" s="176"/>
      <c r="J159" s="176"/>
      <c r="K159" s="174"/>
      <c r="L159" s="176"/>
      <c r="M159" s="203">
        <f>INDEX('2019-20 StepbyStep Allocations'!$BF$9:$BF$158, MATCH($F$7, '2019-20 StepbyStep Allocations'!$C$9:$C$158, 0))</f>
        <v>218387.25</v>
      </c>
      <c r="N159" s="174"/>
    </row>
    <row r="160" spans="1:14" ht="14.65" thickBot="1" x14ac:dyDescent="0.5">
      <c r="B160" s="199"/>
      <c r="C160" s="199"/>
      <c r="D160" s="199"/>
      <c r="E160" s="199"/>
      <c r="F160" s="199"/>
      <c r="G160" s="199"/>
      <c r="H160" s="199"/>
      <c r="I160" s="199"/>
      <c r="J160" s="199"/>
      <c r="K160" s="199"/>
      <c r="L160" s="199"/>
      <c r="M160" s="200"/>
      <c r="N160" s="199"/>
    </row>
    <row r="161" spans="1:14" ht="30.4" thickBot="1" x14ac:dyDescent="0.5">
      <c r="B161" s="174" t="s">
        <v>406</v>
      </c>
      <c r="C161" s="180" t="s">
        <v>407</v>
      </c>
      <c r="G161" s="239"/>
      <c r="I161" s="205"/>
      <c r="J161" s="205"/>
      <c r="L161" s="205"/>
      <c r="M161" s="203">
        <f>SUM(M27,M38,M44,M52,M60,M68,M76,M84,M92,M100,M110,M118,M126,M134,M156,M159)</f>
        <v>17546176.900187366</v>
      </c>
    </row>
    <row r="162" spans="1:14" ht="14.65" thickBot="1" x14ac:dyDescent="0.5">
      <c r="B162" s="199"/>
      <c r="C162" s="199"/>
      <c r="D162" s="199"/>
      <c r="E162" s="199"/>
      <c r="F162" s="199"/>
      <c r="G162" s="199"/>
      <c r="H162" s="199"/>
      <c r="I162" s="199"/>
      <c r="J162" s="199"/>
      <c r="K162" s="199"/>
      <c r="L162" s="199"/>
      <c r="M162" s="200"/>
      <c r="N162" s="199"/>
    </row>
    <row r="163" spans="1:14" ht="15.4" thickBot="1" x14ac:dyDescent="0.5">
      <c r="A163" s="174"/>
      <c r="B163" s="174"/>
      <c r="C163" s="440" t="s">
        <v>408</v>
      </c>
      <c r="E163" s="174"/>
      <c r="F163" s="180" t="s">
        <v>44</v>
      </c>
      <c r="G163" s="239"/>
      <c r="H163" s="245" t="s">
        <v>46</v>
      </c>
      <c r="I163" s="176"/>
      <c r="J163" s="176"/>
      <c r="K163" s="180" t="s">
        <v>409</v>
      </c>
      <c r="L163" s="176"/>
      <c r="M163" s="177"/>
      <c r="N163" s="174"/>
    </row>
    <row r="164" spans="1:14" ht="14.65" thickBot="1" x14ac:dyDescent="0.5">
      <c r="A164" s="174"/>
      <c r="B164" s="174"/>
      <c r="C164" s="441"/>
      <c r="E164" s="174"/>
      <c r="F164" s="174"/>
      <c r="G164" s="239"/>
      <c r="H164" s="174"/>
      <c r="I164" s="176"/>
      <c r="J164" s="176"/>
      <c r="K164" s="174"/>
      <c r="L164" s="176"/>
      <c r="M164" s="177"/>
      <c r="N164" s="174"/>
    </row>
    <row r="165" spans="1:14" ht="15.4" thickBot="1" x14ac:dyDescent="0.5">
      <c r="A165" s="174"/>
      <c r="B165" s="174"/>
      <c r="C165" s="441"/>
      <c r="E165" s="174"/>
      <c r="F165" s="208">
        <f>INDEX('Import|Export Adjustments Data'!P9:$P$159, MATCH($F$7,'Import|Export Adjustments Data'!$C$9:$C$159, 0))</f>
        <v>816.5</v>
      </c>
      <c r="G165" s="239" t="s">
        <v>410</v>
      </c>
      <c r="H165" s="208">
        <f>INDEX('Import|Export Adjustments Data'!J9:$J$159, MATCH($F$7,'Import|Export Adjustments Data'!$C$9:$C$159, 0))</f>
        <v>603.5</v>
      </c>
      <c r="I165" s="496" t="s">
        <v>359</v>
      </c>
      <c r="J165" s="497"/>
      <c r="K165" s="246">
        <f>INDEX('2019-20 StepbyStep Allocations'!$BG$9:$BG$158, MATCH($F$7, '2019-20 StepbyStep Allocations'!$C$9:$C$158, 0))</f>
        <v>213</v>
      </c>
      <c r="L165" s="176"/>
      <c r="M165" s="177"/>
      <c r="N165" s="174"/>
    </row>
    <row r="166" spans="1:14" ht="14.65" thickBot="1" x14ac:dyDescent="0.5">
      <c r="C166" s="441"/>
      <c r="G166" s="205"/>
      <c r="I166" s="205"/>
      <c r="J166" s="205"/>
      <c r="L166" s="176"/>
      <c r="M166" s="177"/>
      <c r="N166" s="174"/>
    </row>
    <row r="167" spans="1:14" ht="30.4" thickBot="1" x14ac:dyDescent="0.5">
      <c r="C167" s="441"/>
      <c r="F167" s="174"/>
      <c r="G167" s="176"/>
      <c r="H167" s="180" t="s">
        <v>411</v>
      </c>
      <c r="I167" s="176"/>
      <c r="J167" s="176"/>
      <c r="K167" s="247" t="s">
        <v>359</v>
      </c>
      <c r="L167" s="176"/>
      <c r="M167" s="201" t="s">
        <v>412</v>
      </c>
      <c r="N167" s="174"/>
    </row>
    <row r="168" spans="1:14" ht="14.65" thickBot="1" x14ac:dyDescent="0.5">
      <c r="C168" s="441"/>
      <c r="F168" s="174"/>
      <c r="G168" s="176"/>
      <c r="H168" s="174"/>
      <c r="I168" s="176"/>
      <c r="J168" s="176"/>
      <c r="L168" s="176"/>
      <c r="M168" s="177"/>
    </row>
    <row r="169" spans="1:14" ht="15.4" thickBot="1" x14ac:dyDescent="0.5">
      <c r="A169" s="174"/>
      <c r="B169" s="174"/>
      <c r="C169" s="442"/>
      <c r="E169" s="174"/>
      <c r="F169" s="174"/>
      <c r="G169" s="176"/>
      <c r="H169" s="182">
        <v>6000</v>
      </c>
      <c r="I169" s="443" t="s">
        <v>357</v>
      </c>
      <c r="J169" s="444"/>
      <c r="K169" s="246">
        <f>K165</f>
        <v>213</v>
      </c>
      <c r="L169" s="176" t="s">
        <v>359</v>
      </c>
      <c r="M169" s="248">
        <f>INDEX('2019-20 StepbyStep Allocations'!$BH$9:$BH$158, MATCH($F$7, '2019-20 StepbyStep Allocations'!$C$9:$C$158, 0))</f>
        <v>1278000</v>
      </c>
      <c r="N169" s="222"/>
    </row>
    <row r="170" spans="1:14" ht="14.65" thickBot="1" x14ac:dyDescent="0.5">
      <c r="B170" s="199"/>
      <c r="C170" s="199"/>
      <c r="D170" s="199"/>
      <c r="E170" s="199"/>
      <c r="F170" s="199"/>
      <c r="G170" s="199"/>
      <c r="H170" s="199"/>
      <c r="I170" s="199"/>
      <c r="J170" s="199"/>
      <c r="K170" s="199"/>
      <c r="L170" s="199"/>
      <c r="M170" s="200"/>
      <c r="N170" s="199"/>
    </row>
    <row r="171" spans="1:14" ht="30.4" thickBot="1" x14ac:dyDescent="0.5">
      <c r="A171" s="174"/>
      <c r="B171" s="174" t="s">
        <v>406</v>
      </c>
      <c r="C171" s="249" t="s">
        <v>413</v>
      </c>
      <c r="E171" s="174"/>
      <c r="F171" s="174"/>
      <c r="G171" s="176"/>
      <c r="H171" s="174"/>
      <c r="I171" s="176"/>
      <c r="J171" s="176"/>
      <c r="K171" s="174"/>
      <c r="L171" s="176"/>
      <c r="M171" s="203">
        <f>SUM(M27,M138,M156,M159,M169)</f>
        <v>18824176.900187366</v>
      </c>
      <c r="N171" s="250"/>
    </row>
    <row r="172" spans="1:14" ht="14.65" thickBot="1" x14ac:dyDescent="0.5">
      <c r="B172" s="199"/>
      <c r="C172" s="199"/>
      <c r="D172" s="199"/>
      <c r="E172" s="199"/>
      <c r="F172" s="199"/>
      <c r="G172" s="199"/>
      <c r="H172" s="199"/>
      <c r="I172" s="199"/>
      <c r="J172" s="199"/>
      <c r="K172" s="199"/>
      <c r="L172" s="199"/>
      <c r="M172" s="200"/>
      <c r="N172" s="199"/>
    </row>
    <row r="173" spans="1:14" ht="30.4" thickBot="1" x14ac:dyDescent="0.5">
      <c r="B173" s="174" t="s">
        <v>406</v>
      </c>
      <c r="C173" s="498" t="s">
        <v>414</v>
      </c>
      <c r="F173" s="180" t="s">
        <v>415</v>
      </c>
      <c r="H173" s="180" t="s">
        <v>416</v>
      </c>
      <c r="K173" s="180" t="s">
        <v>403</v>
      </c>
      <c r="M173" s="180" t="s">
        <v>417</v>
      </c>
    </row>
    <row r="174" spans="1:14" ht="15.4" thickBot="1" x14ac:dyDescent="0.5">
      <c r="C174" s="499"/>
      <c r="E174" s="251" t="s">
        <v>371</v>
      </c>
      <c r="F174" s="240">
        <f>MIN(M147, K141*(100% + 6.09%))</f>
        <v>456.61261554863262</v>
      </c>
      <c r="G174" s="176" t="s">
        <v>357</v>
      </c>
      <c r="H174" s="252">
        <f>INDEX('2019-20 StepbyStep Allocations'!$J$9:$J$158,MATCH($F$7,'2019-20 StepbyStep Allocations'!$C$9:$C$158,0))</f>
        <v>35688.434999999998</v>
      </c>
      <c r="I174" s="205" t="s">
        <v>418</v>
      </c>
      <c r="K174" s="244">
        <f>M153</f>
        <v>0</v>
      </c>
      <c r="L174" s="176" t="s">
        <v>359</v>
      </c>
      <c r="M174" s="244">
        <f>F174*H174+K174</f>
        <v>16295789.650187364</v>
      </c>
    </row>
    <row r="175" spans="1:14" x14ac:dyDescent="0.45">
      <c r="C175" s="499"/>
    </row>
    <row r="176" spans="1:14" ht="14.65" thickBot="1" x14ac:dyDescent="0.5">
      <c r="C176" s="499"/>
    </row>
    <row r="177" spans="3:16" ht="30.4" thickBot="1" x14ac:dyDescent="0.5">
      <c r="C177" s="499"/>
      <c r="F177" s="180" t="s">
        <v>417</v>
      </c>
      <c r="G177" s="176"/>
      <c r="H177" s="180" t="s">
        <v>281</v>
      </c>
      <c r="I177" s="176"/>
      <c r="J177" s="176"/>
      <c r="K177" s="180" t="s">
        <v>299</v>
      </c>
      <c r="L177" s="176"/>
      <c r="M177" s="180" t="s">
        <v>300</v>
      </c>
    </row>
    <row r="178" spans="3:16" ht="15.4" thickBot="1" x14ac:dyDescent="0.5">
      <c r="C178" s="499"/>
      <c r="F178" s="244">
        <f>M174</f>
        <v>16295789.650187364</v>
      </c>
      <c r="G178" s="176" t="s">
        <v>419</v>
      </c>
      <c r="H178" s="244">
        <f>M27</f>
        <v>1032000</v>
      </c>
      <c r="I178" s="496" t="s">
        <v>419</v>
      </c>
      <c r="J178" s="497"/>
      <c r="K178" s="244">
        <f>M159</f>
        <v>218387.25</v>
      </c>
      <c r="L178" s="176" t="s">
        <v>419</v>
      </c>
      <c r="M178" s="248">
        <f>M169</f>
        <v>1278000</v>
      </c>
    </row>
    <row r="179" spans="3:16" ht="14.65" thickBot="1" x14ac:dyDescent="0.5">
      <c r="C179" s="499"/>
      <c r="M179" s="253" t="s">
        <v>359</v>
      </c>
    </row>
    <row r="180" spans="3:16" ht="30.4" thickBot="1" x14ac:dyDescent="0.5">
      <c r="C180" s="499"/>
      <c r="E180" s="174"/>
      <c r="G180" s="205"/>
      <c r="I180" s="205"/>
      <c r="J180" s="205"/>
      <c r="K180" s="174"/>
      <c r="L180" s="176"/>
      <c r="M180" s="209" t="s">
        <v>420</v>
      </c>
    </row>
    <row r="181" spans="3:16" ht="15.4" thickBot="1" x14ac:dyDescent="0.5">
      <c r="C181" s="500"/>
      <c r="M181" s="203">
        <f>F178 + H178 + K178 + M178</f>
        <v>18824176.900187366</v>
      </c>
      <c r="P181" s="10"/>
    </row>
  </sheetData>
  <mergeCells count="182">
    <mergeCell ref="C140:C157"/>
    <mergeCell ref="I141:J141"/>
    <mergeCell ref="C163:C169"/>
    <mergeCell ref="I165:J165"/>
    <mergeCell ref="I169:J169"/>
    <mergeCell ref="C173:C181"/>
    <mergeCell ref="I178:J178"/>
    <mergeCell ref="E134:E136"/>
    <mergeCell ref="I134:I136"/>
    <mergeCell ref="J134:J136"/>
    <mergeCell ref="C130:C136"/>
    <mergeCell ref="K134:K136"/>
    <mergeCell ref="L134:L136"/>
    <mergeCell ref="M134:M136"/>
    <mergeCell ref="F135:H135"/>
    <mergeCell ref="F136:H136"/>
    <mergeCell ref="L126:L128"/>
    <mergeCell ref="M126:M128"/>
    <mergeCell ref="F127:H127"/>
    <mergeCell ref="F128:H128"/>
    <mergeCell ref="J130:J132"/>
    <mergeCell ref="K130:K132"/>
    <mergeCell ref="L130:L132"/>
    <mergeCell ref="M130:M132"/>
    <mergeCell ref="F131:H131"/>
    <mergeCell ref="C114:C120"/>
    <mergeCell ref="J114:J116"/>
    <mergeCell ref="K114:K116"/>
    <mergeCell ref="L114:L116"/>
    <mergeCell ref="M114:M116"/>
    <mergeCell ref="F115:H115"/>
    <mergeCell ref="C106:C112"/>
    <mergeCell ref="J106:J108"/>
    <mergeCell ref="K106:K108"/>
    <mergeCell ref="L106:L108"/>
    <mergeCell ref="M106:M108"/>
    <mergeCell ref="F107:H107"/>
    <mergeCell ref="E110:E112"/>
    <mergeCell ref="I110:I112"/>
    <mergeCell ref="J110:J112"/>
    <mergeCell ref="K110:K112"/>
    <mergeCell ref="E118:E120"/>
    <mergeCell ref="I118:I120"/>
    <mergeCell ref="J118:J120"/>
    <mergeCell ref="K118:K120"/>
    <mergeCell ref="L118:L120"/>
    <mergeCell ref="M118:M120"/>
    <mergeCell ref="F119:H119"/>
    <mergeCell ref="F120:H120"/>
    <mergeCell ref="C122:C128"/>
    <mergeCell ref="J122:J124"/>
    <mergeCell ref="K122:K124"/>
    <mergeCell ref="L122:L124"/>
    <mergeCell ref="M122:M124"/>
    <mergeCell ref="F123:H123"/>
    <mergeCell ref="E126:E128"/>
    <mergeCell ref="I126:I128"/>
    <mergeCell ref="J126:J128"/>
    <mergeCell ref="K126:K128"/>
    <mergeCell ref="L84:L86"/>
    <mergeCell ref="M84:M86"/>
    <mergeCell ref="F85:H85"/>
    <mergeCell ref="F86:H86"/>
    <mergeCell ref="L76:L78"/>
    <mergeCell ref="M76:M78"/>
    <mergeCell ref="F77:H77"/>
    <mergeCell ref="F78:H78"/>
    <mergeCell ref="L110:L112"/>
    <mergeCell ref="M110:M112"/>
    <mergeCell ref="F111:H111"/>
    <mergeCell ref="F112:H112"/>
    <mergeCell ref="I100:I102"/>
    <mergeCell ref="J100:J102"/>
    <mergeCell ref="K100:K102"/>
    <mergeCell ref="L100:L102"/>
    <mergeCell ref="M100:M102"/>
    <mergeCell ref="F101:H101"/>
    <mergeCell ref="F102:H102"/>
    <mergeCell ref="C96:C102"/>
    <mergeCell ref="J96:J98"/>
    <mergeCell ref="K96:K98"/>
    <mergeCell ref="L96:L98"/>
    <mergeCell ref="M96:M98"/>
    <mergeCell ref="F97:H97"/>
    <mergeCell ref="C88:C94"/>
    <mergeCell ref="J88:J90"/>
    <mergeCell ref="K88:K90"/>
    <mergeCell ref="L88:L90"/>
    <mergeCell ref="M88:M90"/>
    <mergeCell ref="F89:H89"/>
    <mergeCell ref="E92:E94"/>
    <mergeCell ref="I92:I94"/>
    <mergeCell ref="J92:J94"/>
    <mergeCell ref="K92:K94"/>
    <mergeCell ref="L92:L94"/>
    <mergeCell ref="M92:M94"/>
    <mergeCell ref="F93:H93"/>
    <mergeCell ref="F94:H94"/>
    <mergeCell ref="E100:E102"/>
    <mergeCell ref="L60:L62"/>
    <mergeCell ref="M60:M62"/>
    <mergeCell ref="F61:H61"/>
    <mergeCell ref="F62:H62"/>
    <mergeCell ref="C80:C86"/>
    <mergeCell ref="J80:J82"/>
    <mergeCell ref="K80:K82"/>
    <mergeCell ref="L80:L82"/>
    <mergeCell ref="M80:M82"/>
    <mergeCell ref="F81:H81"/>
    <mergeCell ref="C72:C78"/>
    <mergeCell ref="J72:J74"/>
    <mergeCell ref="K72:K74"/>
    <mergeCell ref="L72:L74"/>
    <mergeCell ref="M72:M74"/>
    <mergeCell ref="F73:H73"/>
    <mergeCell ref="E76:E78"/>
    <mergeCell ref="I76:I78"/>
    <mergeCell ref="J76:J78"/>
    <mergeCell ref="K76:K78"/>
    <mergeCell ref="E84:E86"/>
    <mergeCell ref="I84:I86"/>
    <mergeCell ref="J84:J86"/>
    <mergeCell ref="K84:K86"/>
    <mergeCell ref="C64:C70"/>
    <mergeCell ref="J64:J66"/>
    <mergeCell ref="K64:K66"/>
    <mergeCell ref="L64:L66"/>
    <mergeCell ref="M64:M66"/>
    <mergeCell ref="F65:H65"/>
    <mergeCell ref="C56:C62"/>
    <mergeCell ref="J56:J58"/>
    <mergeCell ref="K56:K58"/>
    <mergeCell ref="L56:L58"/>
    <mergeCell ref="M56:M58"/>
    <mergeCell ref="F57:H57"/>
    <mergeCell ref="E60:E62"/>
    <mergeCell ref="I60:I62"/>
    <mergeCell ref="J60:J62"/>
    <mergeCell ref="K60:K62"/>
    <mergeCell ref="E68:E70"/>
    <mergeCell ref="I68:I70"/>
    <mergeCell ref="J68:J70"/>
    <mergeCell ref="K68:K70"/>
    <mergeCell ref="L68:L70"/>
    <mergeCell ref="M68:M70"/>
    <mergeCell ref="F69:H69"/>
    <mergeCell ref="F70:H70"/>
    <mergeCell ref="K40:K42"/>
    <mergeCell ref="L40:L42"/>
    <mergeCell ref="M40:M42"/>
    <mergeCell ref="F41:H41"/>
    <mergeCell ref="E44:E46"/>
    <mergeCell ref="I44:I46"/>
    <mergeCell ref="J44:J46"/>
    <mergeCell ref="K44:K46"/>
    <mergeCell ref="K52:K54"/>
    <mergeCell ref="L52:L54"/>
    <mergeCell ref="M52:M54"/>
    <mergeCell ref="F53:H53"/>
    <mergeCell ref="F54:H54"/>
    <mergeCell ref="L44:L46"/>
    <mergeCell ref="M44:M46"/>
    <mergeCell ref="F45:H45"/>
    <mergeCell ref="F46:H46"/>
    <mergeCell ref="K48:K50"/>
    <mergeCell ref="L48:L50"/>
    <mergeCell ref="M48:M50"/>
    <mergeCell ref="F49:H49"/>
    <mergeCell ref="C25:C27"/>
    <mergeCell ref="I25:J25"/>
    <mergeCell ref="I27:J27"/>
    <mergeCell ref="C29:C38"/>
    <mergeCell ref="F33:F35"/>
    <mergeCell ref="I35:J35"/>
    <mergeCell ref="I38:J38"/>
    <mergeCell ref="C48:C54"/>
    <mergeCell ref="J48:J50"/>
    <mergeCell ref="E52:E54"/>
    <mergeCell ref="I52:I54"/>
    <mergeCell ref="J52:J54"/>
    <mergeCell ref="C40:C46"/>
    <mergeCell ref="J40:J42"/>
  </mergeCells>
  <dataValidations count="1">
    <dataValidation type="list" allowBlank="1" showInputMessage="1" showErrorMessage="1" sqref="F5" xr:uid="{00000000-0002-0000-0400-000000000000}">
      <formula1>LA_List</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tabColor theme="5"/>
  </sheetPr>
  <dimension ref="B1:R161"/>
  <sheetViews>
    <sheetView showGridLines="0" zoomScale="70" zoomScaleNormal="70" workbookViewId="0">
      <pane xSplit="4" ySplit="8" topLeftCell="E9" activePane="bottomRight" state="frozen"/>
      <selection pane="topRight"/>
      <selection pane="bottomLeft"/>
      <selection pane="bottomRight"/>
    </sheetView>
  </sheetViews>
  <sheetFormatPr defaultColWidth="9.1328125" defaultRowHeight="14.25" outlineLevelCol="1" x14ac:dyDescent="0.45"/>
  <cols>
    <col min="1" max="1" width="4.6640625" customWidth="1"/>
    <col min="2" max="2" width="38.1328125" customWidth="1"/>
    <col min="4" max="4" width="33.53125" bestFit="1" customWidth="1"/>
    <col min="5" max="5" width="17.86328125" customWidth="1"/>
    <col min="6" max="6" width="20.53125" customWidth="1"/>
    <col min="7" max="7" width="19.1328125" customWidth="1"/>
    <col min="8" max="8" width="21.33203125" customWidth="1" outlineLevel="1"/>
    <col min="9" max="9" width="19.1328125" customWidth="1" outlineLevel="1"/>
    <col min="10" max="10" width="19.53125" customWidth="1"/>
    <col min="11" max="11" width="17.86328125" customWidth="1"/>
    <col min="12" max="14" width="19.1328125" customWidth="1" outlineLevel="1"/>
    <col min="15" max="15" width="20" bestFit="1" customWidth="1"/>
    <col min="16" max="16" width="21.33203125" customWidth="1" outlineLevel="1"/>
    <col min="17" max="17" width="17.1328125" customWidth="1"/>
  </cols>
  <sheetData>
    <row r="1" spans="2:18" ht="25.15" x14ac:dyDescent="0.7">
      <c r="B1" s="2" t="s">
        <v>421</v>
      </c>
      <c r="C1" s="87"/>
      <c r="D1" s="87"/>
      <c r="E1" s="88"/>
      <c r="F1" s="101"/>
      <c r="G1" s="88"/>
      <c r="H1" s="87"/>
      <c r="I1" s="268"/>
      <c r="J1" s="88"/>
      <c r="K1" s="87"/>
      <c r="L1" s="88"/>
      <c r="M1" s="88"/>
      <c r="N1" s="88"/>
      <c r="P1" s="87"/>
      <c r="Q1" s="87"/>
    </row>
    <row r="2" spans="2:18" ht="25.15" x14ac:dyDescent="0.7">
      <c r="B2" s="87" t="s">
        <v>422</v>
      </c>
      <c r="C2" s="87"/>
      <c r="D2" s="87"/>
      <c r="E2" s="88"/>
      <c r="F2" s="269"/>
      <c r="G2" s="87"/>
      <c r="H2" s="87"/>
      <c r="I2" s="87"/>
      <c r="J2" s="88"/>
      <c r="L2" s="87"/>
      <c r="M2" s="87"/>
      <c r="N2" s="87"/>
      <c r="O2" s="87"/>
      <c r="P2" s="87"/>
      <c r="Q2" s="87"/>
    </row>
    <row r="3" spans="2:18" ht="25.15" x14ac:dyDescent="0.7">
      <c r="B3" s="254" t="s">
        <v>483</v>
      </c>
      <c r="C3" s="87"/>
      <c r="D3" s="87"/>
      <c r="E3" s="88"/>
      <c r="F3" s="87"/>
      <c r="G3" s="87"/>
      <c r="H3" s="87"/>
      <c r="I3" s="87"/>
      <c r="J3" s="88"/>
      <c r="L3" s="87"/>
      <c r="M3" s="87"/>
      <c r="N3" s="87"/>
      <c r="O3" s="88"/>
      <c r="P3" s="87"/>
      <c r="Q3" s="88"/>
    </row>
    <row r="4" spans="2:18" ht="15.75" thickBot="1" x14ac:dyDescent="0.5">
      <c r="B4" s="1"/>
      <c r="C4" s="1"/>
      <c r="D4" s="1"/>
      <c r="E4" s="270"/>
      <c r="F4" s="143"/>
      <c r="G4" s="1"/>
      <c r="H4" s="1"/>
      <c r="I4" s="1"/>
      <c r="J4" s="1"/>
      <c r="K4" s="1"/>
      <c r="L4" s="1"/>
      <c r="M4" s="1"/>
      <c r="N4" s="1"/>
      <c r="O4" s="1"/>
      <c r="P4" s="1"/>
      <c r="Q4" s="1"/>
    </row>
    <row r="5" spans="2:18" ht="45.4" thickBot="1" x14ac:dyDescent="0.5">
      <c r="B5" s="104" t="s">
        <v>423</v>
      </c>
      <c r="C5" s="105"/>
      <c r="D5" s="105"/>
      <c r="E5" s="107" t="s">
        <v>424</v>
      </c>
      <c r="F5" s="256"/>
      <c r="G5" s="255" t="s">
        <v>425</v>
      </c>
      <c r="H5" s="256"/>
      <c r="I5" s="256"/>
      <c r="J5" s="256"/>
      <c r="K5" s="256"/>
      <c r="L5" s="256"/>
      <c r="M5" s="256"/>
      <c r="N5" s="256"/>
      <c r="O5" s="257"/>
      <c r="P5" s="255"/>
      <c r="Q5" s="257"/>
    </row>
    <row r="6" spans="2:18" ht="32.25" customHeight="1" thickBot="1" x14ac:dyDescent="0.5">
      <c r="B6" s="415" t="s">
        <v>277</v>
      </c>
      <c r="C6" s="417" t="s">
        <v>278</v>
      </c>
      <c r="D6" s="419" t="s">
        <v>279</v>
      </c>
      <c r="E6" s="501" t="s">
        <v>426</v>
      </c>
      <c r="F6" s="501" t="s">
        <v>427</v>
      </c>
      <c r="G6" s="501" t="s">
        <v>428</v>
      </c>
      <c r="H6" s="503" t="s">
        <v>362</v>
      </c>
      <c r="I6" s="504"/>
      <c r="J6" s="505"/>
      <c r="K6" s="506" t="s">
        <v>429</v>
      </c>
      <c r="L6" s="507" t="s">
        <v>430</v>
      </c>
      <c r="M6" s="508"/>
      <c r="N6" s="508"/>
      <c r="O6" s="509"/>
      <c r="P6" s="510" t="s">
        <v>491</v>
      </c>
      <c r="Q6" s="506" t="s">
        <v>482</v>
      </c>
    </row>
    <row r="7" spans="2:18" ht="111.75" customHeight="1" thickBot="1" x14ac:dyDescent="0.5">
      <c r="B7" s="416"/>
      <c r="C7" s="418"/>
      <c r="D7" s="420"/>
      <c r="E7" s="502"/>
      <c r="F7" s="502"/>
      <c r="G7" s="502"/>
      <c r="H7" s="271" t="s">
        <v>431</v>
      </c>
      <c r="I7" s="272" t="s">
        <v>432</v>
      </c>
      <c r="J7" s="273" t="s">
        <v>433</v>
      </c>
      <c r="K7" s="502"/>
      <c r="L7" s="271" t="s">
        <v>434</v>
      </c>
      <c r="M7" s="274" t="s">
        <v>435</v>
      </c>
      <c r="N7" s="272" t="s">
        <v>436</v>
      </c>
      <c r="O7" s="275" t="s">
        <v>437</v>
      </c>
      <c r="P7" s="507"/>
      <c r="Q7" s="502"/>
    </row>
    <row r="8" spans="2:18" ht="15.75" thickBot="1" x14ac:dyDescent="0.5">
      <c r="B8" s="122" t="s">
        <v>107</v>
      </c>
      <c r="C8" s="258"/>
      <c r="D8" s="124"/>
      <c r="E8" s="276"/>
      <c r="F8" s="259">
        <f>SUM(F9:F159)</f>
        <v>6006906035.8590364</v>
      </c>
      <c r="G8" s="259">
        <f>SUM(G9:G159)</f>
        <v>91302173.357968852</v>
      </c>
      <c r="H8" s="277">
        <f>SUM(H9:H159)</f>
        <v>123727.833333</v>
      </c>
      <c r="I8" s="278"/>
      <c r="J8" s="259">
        <f>SUM(J9:J159)</f>
        <v>508830703.91321349</v>
      </c>
      <c r="K8" s="259">
        <f>SUM(K9:K159)</f>
        <v>73943890.14520143</v>
      </c>
      <c r="L8" s="277">
        <f>SUM(L9:L159)</f>
        <v>242695</v>
      </c>
      <c r="M8" s="279">
        <f>SUM(M9:M159)</f>
        <v>242692</v>
      </c>
      <c r="N8" s="279">
        <f>L8-M8</f>
        <v>3</v>
      </c>
      <c r="O8" s="135"/>
      <c r="P8" s="259">
        <f>SUM(P9:P159)</f>
        <v>5332811268.4426546</v>
      </c>
      <c r="Q8" s="259">
        <f>SUM(Q9:Q159)</f>
        <v>2666405634.2213273</v>
      </c>
    </row>
    <row r="9" spans="2:18" ht="15.4" x14ac:dyDescent="0.45">
      <c r="B9" s="140" t="s">
        <v>109</v>
      </c>
      <c r="C9" s="1">
        <v>831</v>
      </c>
      <c r="D9" s="141" t="s">
        <v>110</v>
      </c>
      <c r="E9" s="348">
        <v>1</v>
      </c>
      <c r="F9" s="261">
        <v>35175614</v>
      </c>
      <c r="G9" s="261">
        <v>997840.14851962111</v>
      </c>
      <c r="H9" s="280">
        <v>651</v>
      </c>
      <c r="I9" s="281">
        <f t="shared" ref="I9:I72" si="0">4000*E9</f>
        <v>4000</v>
      </c>
      <c r="J9" s="261">
        <f>H9*I9</f>
        <v>2604000</v>
      </c>
      <c r="K9" s="261">
        <v>249717</v>
      </c>
      <c r="L9" s="280">
        <v>1231</v>
      </c>
      <c r="M9" s="282">
        <v>1226</v>
      </c>
      <c r="N9" s="283">
        <f>L9-M9</f>
        <v>5</v>
      </c>
      <c r="O9" s="261">
        <f>N9*6000</f>
        <v>30000</v>
      </c>
      <c r="P9" s="261">
        <f t="shared" ref="P9:P72" si="1">F9-G9-J9-K9-O9</f>
        <v>31294056.85148038</v>
      </c>
      <c r="Q9" s="284">
        <f>P9/2</f>
        <v>15647028.42574019</v>
      </c>
      <c r="R9" s="263"/>
    </row>
    <row r="10" spans="2:18" ht="15.4" x14ac:dyDescent="0.45">
      <c r="B10" s="140" t="s">
        <v>109</v>
      </c>
      <c r="C10" s="1">
        <v>830</v>
      </c>
      <c r="D10" s="141" t="s">
        <v>111</v>
      </c>
      <c r="E10" s="348">
        <v>1</v>
      </c>
      <c r="F10" s="261">
        <v>69402000</v>
      </c>
      <c r="G10" s="261">
        <v>1046891.0185228867</v>
      </c>
      <c r="H10" s="280">
        <v>922</v>
      </c>
      <c r="I10" s="281">
        <f t="shared" si="0"/>
        <v>4000</v>
      </c>
      <c r="J10" s="261">
        <f t="shared" ref="J10:J73" si="2">H10*I10</f>
        <v>3688000</v>
      </c>
      <c r="K10" s="261">
        <v>50000</v>
      </c>
      <c r="L10" s="280">
        <v>2849</v>
      </c>
      <c r="M10" s="282">
        <v>3090</v>
      </c>
      <c r="N10" s="283">
        <f t="shared" ref="N10:N73" si="3">L10-M10</f>
        <v>-241</v>
      </c>
      <c r="O10" s="261">
        <f t="shared" ref="O10:O73" si="4">N10*6000</f>
        <v>-1446000</v>
      </c>
      <c r="P10" s="261">
        <f t="shared" si="1"/>
        <v>66063108.981477112</v>
      </c>
      <c r="Q10" s="284">
        <f t="shared" ref="Q10:Q73" si="5">P10/2</f>
        <v>33031554.490738556</v>
      </c>
      <c r="R10" s="263"/>
    </row>
    <row r="11" spans="2:18" ht="15.4" x14ac:dyDescent="0.45">
      <c r="B11" s="140" t="s">
        <v>109</v>
      </c>
      <c r="C11" s="1">
        <v>856</v>
      </c>
      <c r="D11" s="141" t="s">
        <v>112</v>
      </c>
      <c r="E11" s="348">
        <v>1</v>
      </c>
      <c r="F11" s="261">
        <v>48130000</v>
      </c>
      <c r="G11" s="261">
        <v>383875.8950199692</v>
      </c>
      <c r="H11" s="280">
        <v>998</v>
      </c>
      <c r="I11" s="281">
        <f t="shared" si="0"/>
        <v>4000</v>
      </c>
      <c r="J11" s="261">
        <f t="shared" si="2"/>
        <v>3992000</v>
      </c>
      <c r="K11" s="261">
        <v>1833000</v>
      </c>
      <c r="L11" s="280">
        <v>1681</v>
      </c>
      <c r="M11" s="282">
        <v>1706</v>
      </c>
      <c r="N11" s="283">
        <f t="shared" si="3"/>
        <v>-25</v>
      </c>
      <c r="O11" s="261">
        <f t="shared" si="4"/>
        <v>-150000</v>
      </c>
      <c r="P11" s="261">
        <f t="shared" si="1"/>
        <v>42071124.104980029</v>
      </c>
      <c r="Q11" s="284">
        <f t="shared" si="5"/>
        <v>21035562.052490015</v>
      </c>
      <c r="R11" s="263"/>
    </row>
    <row r="12" spans="2:18" ht="15.4" x14ac:dyDescent="0.45">
      <c r="B12" s="140" t="s">
        <v>109</v>
      </c>
      <c r="C12" s="1">
        <v>855</v>
      </c>
      <c r="D12" s="141" t="s">
        <v>113</v>
      </c>
      <c r="E12" s="348">
        <v>1</v>
      </c>
      <c r="F12" s="261">
        <v>66021051.999999993</v>
      </c>
      <c r="G12" s="261">
        <v>945629.97660763597</v>
      </c>
      <c r="H12" s="280">
        <v>1463</v>
      </c>
      <c r="I12" s="281">
        <f t="shared" si="0"/>
        <v>4000</v>
      </c>
      <c r="J12" s="261">
        <f t="shared" si="2"/>
        <v>5852000</v>
      </c>
      <c r="K12" s="261">
        <v>624756</v>
      </c>
      <c r="L12" s="280">
        <v>2700</v>
      </c>
      <c r="M12" s="282">
        <v>2840</v>
      </c>
      <c r="N12" s="283">
        <f t="shared" si="3"/>
        <v>-140</v>
      </c>
      <c r="O12" s="261">
        <f t="shared" si="4"/>
        <v>-840000</v>
      </c>
      <c r="P12" s="261">
        <f t="shared" si="1"/>
        <v>59438666.023392357</v>
      </c>
      <c r="Q12" s="284">
        <f t="shared" si="5"/>
        <v>29719333.011696178</v>
      </c>
      <c r="R12" s="263"/>
    </row>
    <row r="13" spans="2:18" ht="15.4" x14ac:dyDescent="0.45">
      <c r="B13" s="140" t="s">
        <v>109</v>
      </c>
      <c r="C13" s="1">
        <v>925</v>
      </c>
      <c r="D13" s="141" t="s">
        <v>114</v>
      </c>
      <c r="E13" s="348">
        <v>1</v>
      </c>
      <c r="F13" s="261">
        <v>81631706</v>
      </c>
      <c r="G13" s="261">
        <v>0</v>
      </c>
      <c r="H13" s="280">
        <v>1767.5</v>
      </c>
      <c r="I13" s="281">
        <f t="shared" si="0"/>
        <v>4000</v>
      </c>
      <c r="J13" s="261">
        <f t="shared" si="2"/>
        <v>7070000</v>
      </c>
      <c r="K13" s="261">
        <v>1897176</v>
      </c>
      <c r="L13" s="280">
        <v>3089.5</v>
      </c>
      <c r="M13" s="282">
        <v>3130</v>
      </c>
      <c r="N13" s="283">
        <f t="shared" si="3"/>
        <v>-40.5</v>
      </c>
      <c r="O13" s="261">
        <f t="shared" si="4"/>
        <v>-243000</v>
      </c>
      <c r="P13" s="261">
        <f t="shared" si="1"/>
        <v>72907530</v>
      </c>
      <c r="Q13" s="284">
        <f t="shared" si="5"/>
        <v>36453765</v>
      </c>
      <c r="R13" s="263"/>
    </row>
    <row r="14" spans="2:18" ht="15.4" x14ac:dyDescent="0.45">
      <c r="B14" s="140" t="s">
        <v>109</v>
      </c>
      <c r="C14" s="1">
        <v>928</v>
      </c>
      <c r="D14" s="141" t="s">
        <v>115</v>
      </c>
      <c r="E14" s="348">
        <v>1.004938767636737</v>
      </c>
      <c r="F14" s="261">
        <v>69051581</v>
      </c>
      <c r="G14" s="261">
        <v>1415702.1346982997</v>
      </c>
      <c r="H14" s="280">
        <v>1544</v>
      </c>
      <c r="I14" s="281">
        <f t="shared" si="0"/>
        <v>4019.755070546948</v>
      </c>
      <c r="J14" s="261">
        <f t="shared" si="2"/>
        <v>6206501.8289244873</v>
      </c>
      <c r="K14" s="261">
        <v>1309320</v>
      </c>
      <c r="L14" s="280">
        <v>2953</v>
      </c>
      <c r="M14" s="282">
        <v>3046</v>
      </c>
      <c r="N14" s="283">
        <f t="shared" si="3"/>
        <v>-93</v>
      </c>
      <c r="O14" s="261">
        <f t="shared" si="4"/>
        <v>-558000</v>
      </c>
      <c r="P14" s="261">
        <f t="shared" si="1"/>
        <v>60678057.036377214</v>
      </c>
      <c r="Q14" s="284">
        <f t="shared" si="5"/>
        <v>30339028.518188607</v>
      </c>
      <c r="R14" s="263"/>
    </row>
    <row r="15" spans="2:18" ht="15.4" x14ac:dyDescent="0.45">
      <c r="B15" s="140" t="s">
        <v>109</v>
      </c>
      <c r="C15" s="1">
        <v>892</v>
      </c>
      <c r="D15" s="141" t="s">
        <v>116</v>
      </c>
      <c r="E15" s="348">
        <v>1.0041582963367661</v>
      </c>
      <c r="F15" s="261">
        <v>29440297.999999996</v>
      </c>
      <c r="G15" s="261">
        <v>198577.04719640093</v>
      </c>
      <c r="H15" s="280">
        <v>514.5</v>
      </c>
      <c r="I15" s="281">
        <f t="shared" si="0"/>
        <v>4016.6331853470647</v>
      </c>
      <c r="J15" s="261">
        <f t="shared" si="2"/>
        <v>2066557.7738610648</v>
      </c>
      <c r="K15" s="261">
        <v>1368503</v>
      </c>
      <c r="L15" s="280">
        <v>980</v>
      </c>
      <c r="M15" s="282">
        <v>1035</v>
      </c>
      <c r="N15" s="283">
        <f t="shared" si="3"/>
        <v>-55</v>
      </c>
      <c r="O15" s="261">
        <f t="shared" si="4"/>
        <v>-330000</v>
      </c>
      <c r="P15" s="261">
        <f t="shared" si="1"/>
        <v>26136660.178942531</v>
      </c>
      <c r="Q15" s="284">
        <f t="shared" si="5"/>
        <v>13068330.089471266</v>
      </c>
      <c r="R15" s="263"/>
    </row>
    <row r="16" spans="2:18" ht="15.4" x14ac:dyDescent="0.45">
      <c r="B16" s="140" t="s">
        <v>109</v>
      </c>
      <c r="C16" s="1">
        <v>891</v>
      </c>
      <c r="D16" s="141" t="s">
        <v>117</v>
      </c>
      <c r="E16" s="348">
        <v>1.0041582963367661</v>
      </c>
      <c r="F16" s="261">
        <v>60464237.000000007</v>
      </c>
      <c r="G16" s="261">
        <v>0</v>
      </c>
      <c r="H16" s="280">
        <v>1003</v>
      </c>
      <c r="I16" s="281">
        <f t="shared" si="0"/>
        <v>4016.6331853470647</v>
      </c>
      <c r="J16" s="261">
        <f t="shared" si="2"/>
        <v>4028683.0849031061</v>
      </c>
      <c r="K16" s="261">
        <v>0</v>
      </c>
      <c r="L16" s="280">
        <v>2899</v>
      </c>
      <c r="M16" s="282">
        <v>3127</v>
      </c>
      <c r="N16" s="283">
        <f t="shared" si="3"/>
        <v>-228</v>
      </c>
      <c r="O16" s="261">
        <f t="shared" si="4"/>
        <v>-1368000</v>
      </c>
      <c r="P16" s="261">
        <f t="shared" si="1"/>
        <v>57803553.915096901</v>
      </c>
      <c r="Q16" s="284">
        <f t="shared" si="5"/>
        <v>28901776.957548451</v>
      </c>
      <c r="R16" s="263"/>
    </row>
    <row r="17" spans="2:18" ht="15.4" x14ac:dyDescent="0.45">
      <c r="B17" s="140" t="s">
        <v>109</v>
      </c>
      <c r="C17" s="1">
        <v>857</v>
      </c>
      <c r="D17" s="141" t="s">
        <v>118</v>
      </c>
      <c r="E17" s="348">
        <v>1</v>
      </c>
      <c r="F17" s="261">
        <v>3882326.7600000002</v>
      </c>
      <c r="G17" s="261">
        <v>178293.72041617101</v>
      </c>
      <c r="H17" s="280">
        <v>24</v>
      </c>
      <c r="I17" s="281">
        <f t="shared" si="0"/>
        <v>4000</v>
      </c>
      <c r="J17" s="261">
        <f t="shared" si="2"/>
        <v>96000</v>
      </c>
      <c r="K17" s="261">
        <v>0</v>
      </c>
      <c r="L17" s="280">
        <v>82</v>
      </c>
      <c r="M17" s="282">
        <v>112</v>
      </c>
      <c r="N17" s="283">
        <f t="shared" si="3"/>
        <v>-30</v>
      </c>
      <c r="O17" s="261">
        <f t="shared" si="4"/>
        <v>-180000</v>
      </c>
      <c r="P17" s="261">
        <f t="shared" si="1"/>
        <v>3788033.0395838292</v>
      </c>
      <c r="Q17" s="284">
        <f t="shared" si="5"/>
        <v>1894016.5197919146</v>
      </c>
      <c r="R17" s="263"/>
    </row>
    <row r="18" spans="2:18" ht="15.4" x14ac:dyDescent="0.45">
      <c r="B18" s="140" t="s">
        <v>119</v>
      </c>
      <c r="C18" s="1">
        <v>822</v>
      </c>
      <c r="D18" s="141" t="s">
        <v>120</v>
      </c>
      <c r="E18" s="348">
        <v>1.023570261471221</v>
      </c>
      <c r="F18" s="261">
        <v>21226000.000000004</v>
      </c>
      <c r="G18" s="261">
        <v>326264.13097083406</v>
      </c>
      <c r="H18" s="280">
        <v>373.5</v>
      </c>
      <c r="I18" s="281">
        <f t="shared" si="0"/>
        <v>4094.281045884884</v>
      </c>
      <c r="J18" s="261">
        <f t="shared" si="2"/>
        <v>1529213.9706380041</v>
      </c>
      <c r="K18" s="261">
        <v>666000</v>
      </c>
      <c r="L18" s="280">
        <v>830</v>
      </c>
      <c r="M18" s="282">
        <v>779</v>
      </c>
      <c r="N18" s="283">
        <f t="shared" si="3"/>
        <v>51</v>
      </c>
      <c r="O18" s="261">
        <f t="shared" si="4"/>
        <v>306000</v>
      </c>
      <c r="P18" s="261">
        <f t="shared" si="1"/>
        <v>18398521.898391165</v>
      </c>
      <c r="Q18" s="284">
        <f t="shared" si="5"/>
        <v>9199260.9491955824</v>
      </c>
      <c r="R18" s="263"/>
    </row>
    <row r="19" spans="2:18" ht="15.4" x14ac:dyDescent="0.45">
      <c r="B19" s="140" t="s">
        <v>119</v>
      </c>
      <c r="C19" s="1">
        <v>873</v>
      </c>
      <c r="D19" s="141" t="s">
        <v>121</v>
      </c>
      <c r="E19" s="348">
        <v>1.0193022956972073</v>
      </c>
      <c r="F19" s="261">
        <v>65252000</v>
      </c>
      <c r="G19" s="261">
        <v>483780.53951212356</v>
      </c>
      <c r="H19" s="280">
        <v>1121</v>
      </c>
      <c r="I19" s="281">
        <f t="shared" si="0"/>
        <v>4077.2091827888294</v>
      </c>
      <c r="J19" s="261">
        <f t="shared" si="2"/>
        <v>4570551.4939062782</v>
      </c>
      <c r="K19" s="261">
        <v>624000</v>
      </c>
      <c r="L19" s="280">
        <v>2649</v>
      </c>
      <c r="M19" s="282">
        <v>2701</v>
      </c>
      <c r="N19" s="283">
        <f t="shared" si="3"/>
        <v>-52</v>
      </c>
      <c r="O19" s="261">
        <f t="shared" si="4"/>
        <v>-312000</v>
      </c>
      <c r="P19" s="261">
        <f t="shared" si="1"/>
        <v>59885667.966581598</v>
      </c>
      <c r="Q19" s="284">
        <f t="shared" si="5"/>
        <v>29942833.983290799</v>
      </c>
      <c r="R19" s="263"/>
    </row>
    <row r="20" spans="2:18" ht="15.4" x14ac:dyDescent="0.45">
      <c r="B20" s="140" t="s">
        <v>119</v>
      </c>
      <c r="C20" s="1">
        <v>823</v>
      </c>
      <c r="D20" s="141" t="s">
        <v>122</v>
      </c>
      <c r="E20" s="348">
        <v>1.023570261471221</v>
      </c>
      <c r="F20" s="261">
        <v>27406426.664185729</v>
      </c>
      <c r="G20" s="261">
        <v>352749.61643509346</v>
      </c>
      <c r="H20" s="280">
        <v>601</v>
      </c>
      <c r="I20" s="281">
        <f t="shared" si="0"/>
        <v>4094.281045884884</v>
      </c>
      <c r="J20" s="261">
        <f t="shared" si="2"/>
        <v>2460662.9085768154</v>
      </c>
      <c r="K20" s="261">
        <v>662495</v>
      </c>
      <c r="L20" s="280">
        <v>1314</v>
      </c>
      <c r="M20" s="282">
        <v>1276</v>
      </c>
      <c r="N20" s="283">
        <f t="shared" si="3"/>
        <v>38</v>
      </c>
      <c r="O20" s="261">
        <f t="shared" si="4"/>
        <v>228000</v>
      </c>
      <c r="P20" s="261">
        <f t="shared" si="1"/>
        <v>23702519.139173821</v>
      </c>
      <c r="Q20" s="284">
        <f t="shared" si="5"/>
        <v>11851259.56958691</v>
      </c>
      <c r="R20" s="263"/>
    </row>
    <row r="21" spans="2:18" ht="15.4" x14ac:dyDescent="0.45">
      <c r="B21" s="140" t="s">
        <v>119</v>
      </c>
      <c r="C21" s="1">
        <v>881</v>
      </c>
      <c r="D21" s="141" t="s">
        <v>123</v>
      </c>
      <c r="E21" s="348">
        <v>1.0189419796053065</v>
      </c>
      <c r="F21" s="261">
        <v>131999000</v>
      </c>
      <c r="G21" s="261">
        <v>1472750.3402451086</v>
      </c>
      <c r="H21" s="280">
        <v>2657.5</v>
      </c>
      <c r="I21" s="281">
        <f t="shared" si="0"/>
        <v>4075.7679184212261</v>
      </c>
      <c r="J21" s="261">
        <f t="shared" si="2"/>
        <v>10831353.243204409</v>
      </c>
      <c r="K21" s="261">
        <v>0</v>
      </c>
      <c r="L21" s="280">
        <v>6818.5</v>
      </c>
      <c r="M21" s="282">
        <v>6997</v>
      </c>
      <c r="N21" s="283">
        <f t="shared" si="3"/>
        <v>-178.5</v>
      </c>
      <c r="O21" s="261">
        <f t="shared" si="4"/>
        <v>-1071000</v>
      </c>
      <c r="P21" s="261">
        <f t="shared" si="1"/>
        <v>120765896.41655047</v>
      </c>
      <c r="Q21" s="284">
        <f t="shared" si="5"/>
        <v>60382948.208275236</v>
      </c>
      <c r="R21" s="263"/>
    </row>
    <row r="22" spans="2:18" ht="15.4" x14ac:dyDescent="0.45">
      <c r="B22" s="140" t="s">
        <v>119</v>
      </c>
      <c r="C22" s="1">
        <v>919</v>
      </c>
      <c r="D22" s="141" t="s">
        <v>124</v>
      </c>
      <c r="E22" s="348">
        <v>1.0525261171555516</v>
      </c>
      <c r="F22" s="261">
        <v>104161000</v>
      </c>
      <c r="G22" s="261">
        <v>659374.8978464742</v>
      </c>
      <c r="H22" s="280">
        <v>2250.5</v>
      </c>
      <c r="I22" s="281">
        <f t="shared" si="0"/>
        <v>4210.1044686222058</v>
      </c>
      <c r="J22" s="261">
        <f t="shared" si="2"/>
        <v>9474840.1066342741</v>
      </c>
      <c r="K22" s="261">
        <v>1328558</v>
      </c>
      <c r="L22" s="280">
        <v>3560</v>
      </c>
      <c r="M22" s="282">
        <v>3443</v>
      </c>
      <c r="N22" s="283">
        <f t="shared" si="3"/>
        <v>117</v>
      </c>
      <c r="O22" s="261">
        <f t="shared" si="4"/>
        <v>702000</v>
      </c>
      <c r="P22" s="261">
        <f t="shared" si="1"/>
        <v>91996226.995519251</v>
      </c>
      <c r="Q22" s="284">
        <f t="shared" si="5"/>
        <v>45998113.497759625</v>
      </c>
      <c r="R22" s="263"/>
    </row>
    <row r="23" spans="2:18" ht="15.4" x14ac:dyDescent="0.45">
      <c r="B23" s="140" t="s">
        <v>119</v>
      </c>
      <c r="C23" s="1">
        <v>821</v>
      </c>
      <c r="D23" s="141" t="s">
        <v>125</v>
      </c>
      <c r="E23" s="348">
        <v>1.023570261471221</v>
      </c>
      <c r="F23" s="261">
        <v>27392047</v>
      </c>
      <c r="G23" s="261">
        <v>443829.25813738327</v>
      </c>
      <c r="H23" s="280">
        <v>463</v>
      </c>
      <c r="I23" s="281">
        <f t="shared" si="0"/>
        <v>4094.281045884884</v>
      </c>
      <c r="J23" s="261">
        <f t="shared" si="2"/>
        <v>1895652.1242447014</v>
      </c>
      <c r="K23" s="261">
        <v>55271</v>
      </c>
      <c r="L23" s="280">
        <v>1029</v>
      </c>
      <c r="M23" s="282">
        <v>1164</v>
      </c>
      <c r="N23" s="283">
        <f t="shared" si="3"/>
        <v>-135</v>
      </c>
      <c r="O23" s="261">
        <f t="shared" si="4"/>
        <v>-810000</v>
      </c>
      <c r="P23" s="261">
        <f t="shared" si="1"/>
        <v>25807294.617617916</v>
      </c>
      <c r="Q23" s="284">
        <f t="shared" si="5"/>
        <v>12903647.308808958</v>
      </c>
      <c r="R23" s="263"/>
    </row>
    <row r="24" spans="2:18" ht="15.4" x14ac:dyDescent="0.45">
      <c r="B24" s="140" t="s">
        <v>119</v>
      </c>
      <c r="C24" s="1">
        <v>926</v>
      </c>
      <c r="D24" s="141" t="s">
        <v>126</v>
      </c>
      <c r="E24" s="348">
        <v>1</v>
      </c>
      <c r="F24" s="261">
        <v>77048000</v>
      </c>
      <c r="G24" s="261">
        <v>591759.28101622267</v>
      </c>
      <c r="H24" s="280">
        <v>1705</v>
      </c>
      <c r="I24" s="281">
        <f t="shared" si="0"/>
        <v>4000</v>
      </c>
      <c r="J24" s="261">
        <f t="shared" si="2"/>
        <v>6820000</v>
      </c>
      <c r="K24" s="261">
        <v>0</v>
      </c>
      <c r="L24" s="280">
        <v>3043</v>
      </c>
      <c r="M24" s="282">
        <v>3032</v>
      </c>
      <c r="N24" s="283">
        <f t="shared" si="3"/>
        <v>11</v>
      </c>
      <c r="O24" s="261">
        <f t="shared" si="4"/>
        <v>66000</v>
      </c>
      <c r="P24" s="261">
        <f t="shared" si="1"/>
        <v>69570240.718983784</v>
      </c>
      <c r="Q24" s="284">
        <f t="shared" si="5"/>
        <v>34785120.359491892</v>
      </c>
      <c r="R24" s="263"/>
    </row>
    <row r="25" spans="2:18" ht="15.4" x14ac:dyDescent="0.45">
      <c r="B25" s="140" t="s">
        <v>119</v>
      </c>
      <c r="C25" s="1">
        <v>874</v>
      </c>
      <c r="D25" s="141" t="s">
        <v>127</v>
      </c>
      <c r="E25" s="348">
        <v>1.0193022956972073</v>
      </c>
      <c r="F25" s="261">
        <v>27943569.867148217</v>
      </c>
      <c r="G25" s="261">
        <v>482538.00135555898</v>
      </c>
      <c r="H25" s="280">
        <v>588.5</v>
      </c>
      <c r="I25" s="281">
        <f t="shared" si="0"/>
        <v>4077.2091827888294</v>
      </c>
      <c r="J25" s="261">
        <f t="shared" si="2"/>
        <v>2399437.604071226</v>
      </c>
      <c r="K25" s="261">
        <v>249000</v>
      </c>
      <c r="L25" s="280">
        <v>1029</v>
      </c>
      <c r="M25" s="282">
        <v>995</v>
      </c>
      <c r="N25" s="283">
        <f t="shared" si="3"/>
        <v>34</v>
      </c>
      <c r="O25" s="261">
        <f t="shared" si="4"/>
        <v>204000</v>
      </c>
      <c r="P25" s="261">
        <f t="shared" si="1"/>
        <v>24608594.261721432</v>
      </c>
      <c r="Q25" s="284">
        <f t="shared" si="5"/>
        <v>12304297.130860716</v>
      </c>
      <c r="R25" s="263"/>
    </row>
    <row r="26" spans="2:18" ht="15.4" x14ac:dyDescent="0.45">
      <c r="B26" s="140" t="s">
        <v>119</v>
      </c>
      <c r="C26" s="1">
        <v>882</v>
      </c>
      <c r="D26" s="141" t="s">
        <v>128</v>
      </c>
      <c r="E26" s="348">
        <v>1.0053237953143217</v>
      </c>
      <c r="F26" s="261">
        <v>17783562</v>
      </c>
      <c r="G26" s="261">
        <v>244127.57928960444</v>
      </c>
      <c r="H26" s="280">
        <v>534</v>
      </c>
      <c r="I26" s="281">
        <f t="shared" si="0"/>
        <v>4021.2951812572869</v>
      </c>
      <c r="J26" s="261">
        <f t="shared" si="2"/>
        <v>2147371.6267913911</v>
      </c>
      <c r="K26" s="261">
        <v>32000</v>
      </c>
      <c r="L26" s="280">
        <v>1083.5</v>
      </c>
      <c r="M26" s="282">
        <v>1022</v>
      </c>
      <c r="N26" s="283">
        <f t="shared" si="3"/>
        <v>61.5</v>
      </c>
      <c r="O26" s="261">
        <f t="shared" si="4"/>
        <v>369000</v>
      </c>
      <c r="P26" s="261">
        <f t="shared" si="1"/>
        <v>14991062.793919004</v>
      </c>
      <c r="Q26" s="284">
        <f t="shared" si="5"/>
        <v>7495531.3969595022</v>
      </c>
      <c r="R26" s="263"/>
    </row>
    <row r="27" spans="2:18" ht="15.4" x14ac:dyDescent="0.45">
      <c r="B27" s="140" t="s">
        <v>119</v>
      </c>
      <c r="C27" s="1">
        <v>935</v>
      </c>
      <c r="D27" s="141" t="s">
        <v>129</v>
      </c>
      <c r="E27" s="348">
        <v>1.0000359327175439</v>
      </c>
      <c r="F27" s="261">
        <v>57940447</v>
      </c>
      <c r="G27" s="261">
        <v>580716.95684365928</v>
      </c>
      <c r="H27" s="280">
        <v>1116</v>
      </c>
      <c r="I27" s="281">
        <f t="shared" si="0"/>
        <v>4000.1437308701757</v>
      </c>
      <c r="J27" s="261">
        <f t="shared" si="2"/>
        <v>4464160.4036511164</v>
      </c>
      <c r="K27" s="261">
        <v>120000</v>
      </c>
      <c r="L27" s="280">
        <v>3189</v>
      </c>
      <c r="M27" s="282">
        <v>3246</v>
      </c>
      <c r="N27" s="283">
        <f t="shared" si="3"/>
        <v>-57</v>
      </c>
      <c r="O27" s="261">
        <f t="shared" si="4"/>
        <v>-342000</v>
      </c>
      <c r="P27" s="261">
        <f t="shared" si="1"/>
        <v>53117569.639505222</v>
      </c>
      <c r="Q27" s="284">
        <f t="shared" si="5"/>
        <v>26558784.819752611</v>
      </c>
      <c r="R27" s="263"/>
    </row>
    <row r="28" spans="2:18" ht="15.4" x14ac:dyDescent="0.45">
      <c r="B28" s="140" t="s">
        <v>119</v>
      </c>
      <c r="C28" s="1">
        <v>883</v>
      </c>
      <c r="D28" s="141" t="s">
        <v>130</v>
      </c>
      <c r="E28" s="348">
        <v>1.0452520358512145</v>
      </c>
      <c r="F28" s="261">
        <v>22444000</v>
      </c>
      <c r="G28" s="261">
        <v>468941.17032283242</v>
      </c>
      <c r="H28" s="280">
        <v>380</v>
      </c>
      <c r="I28" s="281">
        <f t="shared" si="0"/>
        <v>4181.0081434048579</v>
      </c>
      <c r="J28" s="261">
        <f t="shared" si="2"/>
        <v>1588783.0944938459</v>
      </c>
      <c r="K28" s="261">
        <v>0</v>
      </c>
      <c r="L28" s="280">
        <v>920</v>
      </c>
      <c r="M28" s="282">
        <v>954</v>
      </c>
      <c r="N28" s="283">
        <f t="shared" si="3"/>
        <v>-34</v>
      </c>
      <c r="O28" s="261">
        <f t="shared" si="4"/>
        <v>-204000</v>
      </c>
      <c r="P28" s="261">
        <f t="shared" si="1"/>
        <v>20590275.735183321</v>
      </c>
      <c r="Q28" s="284">
        <f t="shared" si="5"/>
        <v>10295137.86759166</v>
      </c>
      <c r="R28" s="263"/>
    </row>
    <row r="29" spans="2:18" ht="15.4" x14ac:dyDescent="0.45">
      <c r="B29" s="140" t="s">
        <v>131</v>
      </c>
      <c r="C29" s="1">
        <v>202</v>
      </c>
      <c r="D29" s="141" t="s">
        <v>132</v>
      </c>
      <c r="E29" s="348">
        <v>1.205632878027378</v>
      </c>
      <c r="F29" s="261">
        <v>34106825</v>
      </c>
      <c r="G29" s="261">
        <v>494656.39205578808</v>
      </c>
      <c r="H29" s="280">
        <v>332</v>
      </c>
      <c r="I29" s="281">
        <f t="shared" si="0"/>
        <v>4822.5315121095118</v>
      </c>
      <c r="J29" s="261">
        <f t="shared" si="2"/>
        <v>1601080.4620203578</v>
      </c>
      <c r="K29" s="261">
        <v>2484824.9999999995</v>
      </c>
      <c r="L29" s="280">
        <v>1525</v>
      </c>
      <c r="M29" s="282">
        <v>1359</v>
      </c>
      <c r="N29" s="283">
        <f t="shared" si="3"/>
        <v>166</v>
      </c>
      <c r="O29" s="261">
        <f t="shared" si="4"/>
        <v>996000</v>
      </c>
      <c r="P29" s="261">
        <f t="shared" si="1"/>
        <v>28530263.145923857</v>
      </c>
      <c r="Q29" s="284">
        <f t="shared" si="5"/>
        <v>14265131.572961928</v>
      </c>
      <c r="R29" s="263"/>
    </row>
    <row r="30" spans="2:18" ht="15.4" x14ac:dyDescent="0.45">
      <c r="B30" s="140" t="s">
        <v>131</v>
      </c>
      <c r="C30" s="1">
        <v>204</v>
      </c>
      <c r="D30" s="141" t="s">
        <v>133</v>
      </c>
      <c r="E30" s="348">
        <v>1.205632878027378</v>
      </c>
      <c r="F30" s="261">
        <v>41304613.885572702</v>
      </c>
      <c r="G30" s="261">
        <v>415995.43764886772</v>
      </c>
      <c r="H30" s="280">
        <v>586</v>
      </c>
      <c r="I30" s="281">
        <f t="shared" si="0"/>
        <v>4822.5315121095118</v>
      </c>
      <c r="J30" s="261">
        <f t="shared" si="2"/>
        <v>2826003.466096174</v>
      </c>
      <c r="K30" s="261">
        <v>0</v>
      </c>
      <c r="L30" s="280">
        <v>1221</v>
      </c>
      <c r="M30" s="282">
        <v>1358</v>
      </c>
      <c r="N30" s="283">
        <f t="shared" si="3"/>
        <v>-137</v>
      </c>
      <c r="O30" s="261">
        <f t="shared" si="4"/>
        <v>-822000</v>
      </c>
      <c r="P30" s="261">
        <f t="shared" si="1"/>
        <v>38884614.981827661</v>
      </c>
      <c r="Q30" s="284">
        <f t="shared" si="5"/>
        <v>19442307.490913831</v>
      </c>
      <c r="R30" s="263"/>
    </row>
    <row r="31" spans="2:18" ht="15.4" x14ac:dyDescent="0.45">
      <c r="B31" s="140" t="s">
        <v>131</v>
      </c>
      <c r="C31" s="1">
        <v>205</v>
      </c>
      <c r="D31" s="141" t="s">
        <v>134</v>
      </c>
      <c r="E31" s="348">
        <v>1.205632878027378</v>
      </c>
      <c r="F31" s="261">
        <v>20080000</v>
      </c>
      <c r="G31" s="261">
        <v>0</v>
      </c>
      <c r="H31" s="280">
        <v>459.5</v>
      </c>
      <c r="I31" s="281">
        <f t="shared" si="0"/>
        <v>4822.5315121095118</v>
      </c>
      <c r="J31" s="261">
        <f t="shared" si="2"/>
        <v>2215953.2298143208</v>
      </c>
      <c r="K31" s="261">
        <v>300000</v>
      </c>
      <c r="L31" s="280">
        <v>923</v>
      </c>
      <c r="M31" s="282">
        <v>648</v>
      </c>
      <c r="N31" s="283">
        <f t="shared" si="3"/>
        <v>275</v>
      </c>
      <c r="O31" s="261">
        <f t="shared" si="4"/>
        <v>1650000</v>
      </c>
      <c r="P31" s="261">
        <f t="shared" si="1"/>
        <v>15914046.770185679</v>
      </c>
      <c r="Q31" s="284">
        <f t="shared" si="5"/>
        <v>7957023.3850928396</v>
      </c>
      <c r="R31" s="263"/>
    </row>
    <row r="32" spans="2:18" ht="15.4" x14ac:dyDescent="0.45">
      <c r="B32" s="140" t="s">
        <v>131</v>
      </c>
      <c r="C32" s="1">
        <v>309</v>
      </c>
      <c r="D32" s="141" t="s">
        <v>135</v>
      </c>
      <c r="E32" s="348">
        <v>1.1243577599840504</v>
      </c>
      <c r="F32" s="261">
        <v>35854000</v>
      </c>
      <c r="G32" s="261">
        <v>386624.33099017129</v>
      </c>
      <c r="H32" s="280">
        <v>397</v>
      </c>
      <c r="I32" s="281">
        <f t="shared" si="0"/>
        <v>4497.4310399362021</v>
      </c>
      <c r="J32" s="261">
        <f t="shared" si="2"/>
        <v>1785480.1228546721</v>
      </c>
      <c r="K32" s="261">
        <v>320000</v>
      </c>
      <c r="L32" s="280">
        <v>1270</v>
      </c>
      <c r="M32" s="282">
        <v>1196</v>
      </c>
      <c r="N32" s="283">
        <f t="shared" si="3"/>
        <v>74</v>
      </c>
      <c r="O32" s="261">
        <f t="shared" si="4"/>
        <v>444000</v>
      </c>
      <c r="P32" s="261">
        <f t="shared" si="1"/>
        <v>32917895.546155155</v>
      </c>
      <c r="Q32" s="284">
        <f t="shared" si="5"/>
        <v>16458947.773077577</v>
      </c>
      <c r="R32" s="263"/>
    </row>
    <row r="33" spans="2:18" ht="15.4" x14ac:dyDescent="0.45">
      <c r="B33" s="140" t="s">
        <v>131</v>
      </c>
      <c r="C33" s="1">
        <v>206</v>
      </c>
      <c r="D33" s="141" t="s">
        <v>136</v>
      </c>
      <c r="E33" s="348">
        <v>1.205632878027378</v>
      </c>
      <c r="F33" s="261">
        <v>27605000</v>
      </c>
      <c r="G33" s="261">
        <v>402366.58669505478</v>
      </c>
      <c r="H33" s="280">
        <v>398.5</v>
      </c>
      <c r="I33" s="281">
        <f t="shared" si="0"/>
        <v>4822.5315121095118</v>
      </c>
      <c r="J33" s="261">
        <f t="shared" si="2"/>
        <v>1921778.8075756405</v>
      </c>
      <c r="K33" s="261">
        <v>0</v>
      </c>
      <c r="L33" s="280">
        <v>709</v>
      </c>
      <c r="M33" s="282">
        <v>761</v>
      </c>
      <c r="N33" s="283">
        <f t="shared" si="3"/>
        <v>-52</v>
      </c>
      <c r="O33" s="261">
        <f t="shared" si="4"/>
        <v>-312000</v>
      </c>
      <c r="P33" s="261">
        <f t="shared" si="1"/>
        <v>25592854.605729304</v>
      </c>
      <c r="Q33" s="284">
        <f t="shared" si="5"/>
        <v>12796427.302864652</v>
      </c>
      <c r="R33" s="263"/>
    </row>
    <row r="34" spans="2:18" ht="15.4" x14ac:dyDescent="0.45">
      <c r="B34" s="140" t="s">
        <v>131</v>
      </c>
      <c r="C34" s="1">
        <v>207</v>
      </c>
      <c r="D34" s="141" t="s">
        <v>137</v>
      </c>
      <c r="E34" s="348">
        <v>1.205632878027378</v>
      </c>
      <c r="F34" s="261">
        <v>16005000</v>
      </c>
      <c r="G34" s="261">
        <v>209348.1690601767</v>
      </c>
      <c r="H34" s="280">
        <v>135</v>
      </c>
      <c r="I34" s="281">
        <f t="shared" si="0"/>
        <v>4822.5315121095118</v>
      </c>
      <c r="J34" s="261">
        <f t="shared" si="2"/>
        <v>651041.7541347841</v>
      </c>
      <c r="K34" s="261">
        <v>1465000</v>
      </c>
      <c r="L34" s="280">
        <v>389</v>
      </c>
      <c r="M34" s="282">
        <v>379</v>
      </c>
      <c r="N34" s="283">
        <f t="shared" si="3"/>
        <v>10</v>
      </c>
      <c r="O34" s="261">
        <f t="shared" si="4"/>
        <v>60000</v>
      </c>
      <c r="P34" s="261">
        <f t="shared" si="1"/>
        <v>13619610.07680504</v>
      </c>
      <c r="Q34" s="284">
        <f t="shared" si="5"/>
        <v>6809805.0384025201</v>
      </c>
      <c r="R34" s="263"/>
    </row>
    <row r="35" spans="2:18" ht="15.4" x14ac:dyDescent="0.45">
      <c r="B35" s="140" t="s">
        <v>131</v>
      </c>
      <c r="C35" s="1">
        <v>208</v>
      </c>
      <c r="D35" s="141" t="s">
        <v>138</v>
      </c>
      <c r="E35" s="348">
        <v>1.205632878027378</v>
      </c>
      <c r="F35" s="261">
        <v>41803000</v>
      </c>
      <c r="G35" s="261">
        <v>933614.33878633659</v>
      </c>
      <c r="H35" s="280">
        <v>471</v>
      </c>
      <c r="I35" s="281">
        <f t="shared" si="0"/>
        <v>4822.5315121095118</v>
      </c>
      <c r="J35" s="261">
        <f t="shared" si="2"/>
        <v>2271412.3422035798</v>
      </c>
      <c r="K35" s="261">
        <v>0</v>
      </c>
      <c r="L35" s="280">
        <v>1478</v>
      </c>
      <c r="M35" s="282">
        <v>1540</v>
      </c>
      <c r="N35" s="283">
        <f t="shared" si="3"/>
        <v>-62</v>
      </c>
      <c r="O35" s="261">
        <f t="shared" si="4"/>
        <v>-372000</v>
      </c>
      <c r="P35" s="261">
        <f t="shared" si="1"/>
        <v>38969973.319010086</v>
      </c>
      <c r="Q35" s="284">
        <f t="shared" si="5"/>
        <v>19484986.659505043</v>
      </c>
      <c r="R35" s="263"/>
    </row>
    <row r="36" spans="2:18" ht="15.4" x14ac:dyDescent="0.45">
      <c r="B36" s="140" t="s">
        <v>131</v>
      </c>
      <c r="C36" s="1">
        <v>209</v>
      </c>
      <c r="D36" s="141" t="s">
        <v>139</v>
      </c>
      <c r="E36" s="348">
        <v>1.205632878027378</v>
      </c>
      <c r="F36" s="261">
        <v>50703794.649993211</v>
      </c>
      <c r="G36" s="261">
        <v>1030826.8735996054</v>
      </c>
      <c r="H36" s="280">
        <v>674</v>
      </c>
      <c r="I36" s="281">
        <f t="shared" si="0"/>
        <v>4822.5315121095118</v>
      </c>
      <c r="J36" s="261">
        <f t="shared" si="2"/>
        <v>3250386.2391618108</v>
      </c>
      <c r="K36" s="261">
        <v>174361.83130788</v>
      </c>
      <c r="L36" s="280">
        <v>1192</v>
      </c>
      <c r="M36" s="282">
        <v>1399.5</v>
      </c>
      <c r="N36" s="283">
        <f t="shared" si="3"/>
        <v>-207.5</v>
      </c>
      <c r="O36" s="261">
        <f t="shared" si="4"/>
        <v>-1245000</v>
      </c>
      <c r="P36" s="261">
        <f t="shared" si="1"/>
        <v>47493219.705923915</v>
      </c>
      <c r="Q36" s="284">
        <f t="shared" si="5"/>
        <v>23746609.852961957</v>
      </c>
      <c r="R36" s="263"/>
    </row>
    <row r="37" spans="2:18" ht="15.4" x14ac:dyDescent="0.45">
      <c r="B37" s="140" t="s">
        <v>131</v>
      </c>
      <c r="C37" s="1">
        <v>316</v>
      </c>
      <c r="D37" s="141" t="s">
        <v>140</v>
      </c>
      <c r="E37" s="348">
        <v>1.1243577599840504</v>
      </c>
      <c r="F37" s="261">
        <v>47501000</v>
      </c>
      <c r="G37" s="261">
        <v>1705920.7568686462</v>
      </c>
      <c r="H37" s="280">
        <v>142.5</v>
      </c>
      <c r="I37" s="281">
        <f t="shared" si="0"/>
        <v>4497.4310399362021</v>
      </c>
      <c r="J37" s="261">
        <f t="shared" si="2"/>
        <v>640883.92319090874</v>
      </c>
      <c r="K37" s="261">
        <v>0</v>
      </c>
      <c r="L37" s="280">
        <v>1326</v>
      </c>
      <c r="M37" s="282">
        <v>1381</v>
      </c>
      <c r="N37" s="283">
        <f t="shared" si="3"/>
        <v>-55</v>
      </c>
      <c r="O37" s="261">
        <f t="shared" si="4"/>
        <v>-330000</v>
      </c>
      <c r="P37" s="261">
        <f t="shared" si="1"/>
        <v>45484195.319940448</v>
      </c>
      <c r="Q37" s="284">
        <f t="shared" si="5"/>
        <v>22742097.659970224</v>
      </c>
      <c r="R37" s="263"/>
    </row>
    <row r="38" spans="2:18" ht="15.4" x14ac:dyDescent="0.45">
      <c r="B38" s="140" t="s">
        <v>131</v>
      </c>
      <c r="C38" s="1">
        <v>210</v>
      </c>
      <c r="D38" s="141" t="s">
        <v>141</v>
      </c>
      <c r="E38" s="348">
        <v>1.205632878027378</v>
      </c>
      <c r="F38" s="261">
        <v>42884908</v>
      </c>
      <c r="G38" s="261">
        <v>593632.87339193397</v>
      </c>
      <c r="H38" s="280">
        <v>539.5</v>
      </c>
      <c r="I38" s="281">
        <f t="shared" si="0"/>
        <v>4822.5315121095118</v>
      </c>
      <c r="J38" s="261">
        <f t="shared" si="2"/>
        <v>2601755.7507830816</v>
      </c>
      <c r="K38" s="261">
        <v>2105908.0000000005</v>
      </c>
      <c r="L38" s="280">
        <v>1077</v>
      </c>
      <c r="M38" s="282">
        <v>1242</v>
      </c>
      <c r="N38" s="283">
        <f t="shared" si="3"/>
        <v>-165</v>
      </c>
      <c r="O38" s="261">
        <f t="shared" si="4"/>
        <v>-990000</v>
      </c>
      <c r="P38" s="261">
        <f t="shared" si="1"/>
        <v>38573611.375824988</v>
      </c>
      <c r="Q38" s="284">
        <f t="shared" si="5"/>
        <v>19286805.687912494</v>
      </c>
      <c r="R38" s="263"/>
    </row>
    <row r="39" spans="2:18" ht="15.4" x14ac:dyDescent="0.45">
      <c r="B39" s="140" t="s">
        <v>131</v>
      </c>
      <c r="C39" s="1">
        <v>211</v>
      </c>
      <c r="D39" s="141" t="s">
        <v>142</v>
      </c>
      <c r="E39" s="348">
        <v>1.205632878027378</v>
      </c>
      <c r="F39" s="261">
        <v>46677410.285162061</v>
      </c>
      <c r="G39" s="261">
        <v>829952.29212359106</v>
      </c>
      <c r="H39" s="280">
        <v>534</v>
      </c>
      <c r="I39" s="281">
        <f t="shared" si="0"/>
        <v>4822.5315121095118</v>
      </c>
      <c r="J39" s="261">
        <f t="shared" si="2"/>
        <v>2575231.8274664795</v>
      </c>
      <c r="K39" s="261">
        <v>460000</v>
      </c>
      <c r="L39" s="280">
        <v>1911</v>
      </c>
      <c r="M39" s="282">
        <v>1795</v>
      </c>
      <c r="N39" s="283">
        <f t="shared" si="3"/>
        <v>116</v>
      </c>
      <c r="O39" s="261">
        <f t="shared" si="4"/>
        <v>696000</v>
      </c>
      <c r="P39" s="261">
        <f t="shared" si="1"/>
        <v>42116226.165571988</v>
      </c>
      <c r="Q39" s="284">
        <f t="shared" si="5"/>
        <v>21058113.082785994</v>
      </c>
    </row>
    <row r="40" spans="2:18" ht="15.4" x14ac:dyDescent="0.45">
      <c r="B40" s="140" t="s">
        <v>131</v>
      </c>
      <c r="C40" s="1">
        <v>212</v>
      </c>
      <c r="D40" s="141" t="s">
        <v>143</v>
      </c>
      <c r="E40" s="348">
        <v>1.205632878027378</v>
      </c>
      <c r="F40" s="261">
        <v>43284976.999999993</v>
      </c>
      <c r="G40" s="261">
        <v>974675.17446615815</v>
      </c>
      <c r="H40" s="280">
        <v>882</v>
      </c>
      <c r="I40" s="281">
        <f t="shared" si="0"/>
        <v>4822.5315121095118</v>
      </c>
      <c r="J40" s="261">
        <f t="shared" si="2"/>
        <v>4253472.7936805896</v>
      </c>
      <c r="K40" s="261">
        <v>825977</v>
      </c>
      <c r="L40" s="280">
        <v>1512</v>
      </c>
      <c r="M40" s="282">
        <v>1255</v>
      </c>
      <c r="N40" s="283">
        <f t="shared" si="3"/>
        <v>257</v>
      </c>
      <c r="O40" s="261">
        <f t="shared" si="4"/>
        <v>1542000</v>
      </c>
      <c r="P40" s="261">
        <f t="shared" si="1"/>
        <v>35688852.031853244</v>
      </c>
      <c r="Q40" s="284">
        <f t="shared" si="5"/>
        <v>17844426.015926622</v>
      </c>
    </row>
    <row r="41" spans="2:18" ht="15.4" x14ac:dyDescent="0.45">
      <c r="B41" s="140" t="s">
        <v>131</v>
      </c>
      <c r="C41" s="1">
        <v>213</v>
      </c>
      <c r="D41" s="141" t="s">
        <v>144</v>
      </c>
      <c r="E41" s="348">
        <v>1.205632878027378</v>
      </c>
      <c r="F41" s="261">
        <v>24755999.999999996</v>
      </c>
      <c r="G41" s="261">
        <v>418290.12509957771</v>
      </c>
      <c r="H41" s="280">
        <v>221</v>
      </c>
      <c r="I41" s="281">
        <f t="shared" si="0"/>
        <v>4822.5315121095118</v>
      </c>
      <c r="J41" s="261">
        <f t="shared" si="2"/>
        <v>1065779.4641762022</v>
      </c>
      <c r="K41" s="261">
        <v>447000</v>
      </c>
      <c r="L41" s="280">
        <v>736</v>
      </c>
      <c r="M41" s="282">
        <v>745</v>
      </c>
      <c r="N41" s="283">
        <f t="shared" si="3"/>
        <v>-9</v>
      </c>
      <c r="O41" s="261">
        <f t="shared" si="4"/>
        <v>-54000</v>
      </c>
      <c r="P41" s="261">
        <f t="shared" si="1"/>
        <v>22878930.410724215</v>
      </c>
      <c r="Q41" s="284">
        <f t="shared" si="5"/>
        <v>11439465.205362108</v>
      </c>
    </row>
    <row r="42" spans="2:18" ht="15.4" x14ac:dyDescent="0.45">
      <c r="B42" s="140" t="s">
        <v>145</v>
      </c>
      <c r="C42" s="1">
        <v>841</v>
      </c>
      <c r="D42" s="141" t="s">
        <v>146</v>
      </c>
      <c r="E42" s="348">
        <v>1</v>
      </c>
      <c r="F42" s="261">
        <v>12132500</v>
      </c>
      <c r="G42" s="261">
        <v>217205.31125073985</v>
      </c>
      <c r="H42" s="280">
        <v>271</v>
      </c>
      <c r="I42" s="281">
        <f t="shared" si="0"/>
        <v>4000</v>
      </c>
      <c r="J42" s="261">
        <f t="shared" si="2"/>
        <v>1084000</v>
      </c>
      <c r="K42" s="261">
        <v>100500</v>
      </c>
      <c r="L42" s="280">
        <v>489</v>
      </c>
      <c r="M42" s="282">
        <v>464</v>
      </c>
      <c r="N42" s="283">
        <f t="shared" si="3"/>
        <v>25</v>
      </c>
      <c r="O42" s="261">
        <f t="shared" si="4"/>
        <v>150000</v>
      </c>
      <c r="P42" s="261">
        <f t="shared" si="1"/>
        <v>10580794.688749259</v>
      </c>
      <c r="Q42" s="284">
        <f t="shared" si="5"/>
        <v>5290397.3443746297</v>
      </c>
    </row>
    <row r="43" spans="2:18" ht="15.4" x14ac:dyDescent="0.45">
      <c r="B43" s="140" t="s">
        <v>145</v>
      </c>
      <c r="C43" s="1">
        <v>840</v>
      </c>
      <c r="D43" s="141" t="s">
        <v>147</v>
      </c>
      <c r="E43" s="348">
        <v>1</v>
      </c>
      <c r="F43" s="261">
        <v>48936000</v>
      </c>
      <c r="G43" s="261">
        <v>353591.88574060414</v>
      </c>
      <c r="H43" s="280">
        <v>1355.5</v>
      </c>
      <c r="I43" s="281">
        <f t="shared" si="0"/>
        <v>4000</v>
      </c>
      <c r="J43" s="261">
        <f t="shared" si="2"/>
        <v>5422000</v>
      </c>
      <c r="K43" s="261">
        <v>966000</v>
      </c>
      <c r="L43" s="280">
        <v>2144</v>
      </c>
      <c r="M43" s="282">
        <v>2265</v>
      </c>
      <c r="N43" s="283">
        <f t="shared" si="3"/>
        <v>-121</v>
      </c>
      <c r="O43" s="261">
        <f t="shared" si="4"/>
        <v>-726000</v>
      </c>
      <c r="P43" s="261">
        <f t="shared" si="1"/>
        <v>42920408.114259399</v>
      </c>
      <c r="Q43" s="284">
        <f t="shared" si="5"/>
        <v>21460204.0571297</v>
      </c>
    </row>
    <row r="44" spans="2:18" ht="15.4" x14ac:dyDescent="0.45">
      <c r="B44" s="140" t="s">
        <v>145</v>
      </c>
      <c r="C44" s="1">
        <v>390</v>
      </c>
      <c r="D44" s="141" t="s">
        <v>148</v>
      </c>
      <c r="E44" s="348">
        <v>1</v>
      </c>
      <c r="F44" s="261">
        <v>21779000</v>
      </c>
      <c r="G44" s="261">
        <v>236246.103328611</v>
      </c>
      <c r="H44" s="280">
        <v>590</v>
      </c>
      <c r="I44" s="281">
        <f t="shared" si="0"/>
        <v>4000</v>
      </c>
      <c r="J44" s="261">
        <f t="shared" si="2"/>
        <v>2360000</v>
      </c>
      <c r="K44" s="261">
        <v>0</v>
      </c>
      <c r="L44" s="280">
        <v>763</v>
      </c>
      <c r="M44" s="282">
        <v>813</v>
      </c>
      <c r="N44" s="283">
        <f t="shared" si="3"/>
        <v>-50</v>
      </c>
      <c r="O44" s="261">
        <f t="shared" si="4"/>
        <v>-300000</v>
      </c>
      <c r="P44" s="261">
        <f t="shared" si="1"/>
        <v>19482753.896671388</v>
      </c>
      <c r="Q44" s="284">
        <f t="shared" si="5"/>
        <v>9741376.9483356941</v>
      </c>
    </row>
    <row r="45" spans="2:18" ht="15.4" x14ac:dyDescent="0.45">
      <c r="B45" s="140" t="s">
        <v>145</v>
      </c>
      <c r="C45" s="1">
        <v>805</v>
      </c>
      <c r="D45" s="141" t="s">
        <v>149</v>
      </c>
      <c r="E45" s="348">
        <v>1</v>
      </c>
      <c r="F45" s="261">
        <v>10661230.000000002</v>
      </c>
      <c r="G45" s="261">
        <v>422904.04695653066</v>
      </c>
      <c r="H45" s="280">
        <v>226</v>
      </c>
      <c r="I45" s="281">
        <f t="shared" si="0"/>
        <v>4000</v>
      </c>
      <c r="J45" s="261">
        <f t="shared" si="2"/>
        <v>904000</v>
      </c>
      <c r="K45" s="261">
        <v>0</v>
      </c>
      <c r="L45" s="280">
        <v>611</v>
      </c>
      <c r="M45" s="282">
        <v>619</v>
      </c>
      <c r="N45" s="283">
        <f t="shared" si="3"/>
        <v>-8</v>
      </c>
      <c r="O45" s="261">
        <f t="shared" si="4"/>
        <v>-48000</v>
      </c>
      <c r="P45" s="261">
        <f t="shared" si="1"/>
        <v>9382325.953043472</v>
      </c>
      <c r="Q45" s="284">
        <f t="shared" si="5"/>
        <v>4691162.976521736</v>
      </c>
    </row>
    <row r="46" spans="2:18" ht="15.4" x14ac:dyDescent="0.45">
      <c r="B46" s="140" t="s">
        <v>145</v>
      </c>
      <c r="C46" s="1">
        <v>806</v>
      </c>
      <c r="D46" s="141" t="s">
        <v>150</v>
      </c>
      <c r="E46" s="348">
        <v>1</v>
      </c>
      <c r="F46" s="261">
        <v>23289000</v>
      </c>
      <c r="G46" s="261">
        <v>1507276.2183763825</v>
      </c>
      <c r="H46" s="280">
        <v>509</v>
      </c>
      <c r="I46" s="281">
        <f t="shared" si="0"/>
        <v>4000</v>
      </c>
      <c r="J46" s="261">
        <f t="shared" si="2"/>
        <v>2036000</v>
      </c>
      <c r="K46" s="261">
        <v>1167000</v>
      </c>
      <c r="L46" s="280">
        <v>1103</v>
      </c>
      <c r="M46" s="282">
        <v>1048</v>
      </c>
      <c r="N46" s="283">
        <f t="shared" si="3"/>
        <v>55</v>
      </c>
      <c r="O46" s="261">
        <f t="shared" si="4"/>
        <v>330000</v>
      </c>
      <c r="P46" s="261">
        <f t="shared" si="1"/>
        <v>18248723.781623617</v>
      </c>
      <c r="Q46" s="284">
        <f t="shared" si="5"/>
        <v>9124361.8908118084</v>
      </c>
    </row>
    <row r="47" spans="2:18" ht="15.4" x14ac:dyDescent="0.45">
      <c r="B47" s="140" t="s">
        <v>145</v>
      </c>
      <c r="C47" s="1">
        <v>391</v>
      </c>
      <c r="D47" s="141" t="s">
        <v>151</v>
      </c>
      <c r="E47" s="348">
        <v>1</v>
      </c>
      <c r="F47" s="261">
        <v>35824000</v>
      </c>
      <c r="G47" s="261">
        <v>785022.15995137102</v>
      </c>
      <c r="H47" s="280">
        <v>645</v>
      </c>
      <c r="I47" s="281">
        <f t="shared" si="0"/>
        <v>4000</v>
      </c>
      <c r="J47" s="261">
        <f t="shared" si="2"/>
        <v>2580000</v>
      </c>
      <c r="K47" s="261">
        <v>1965000.0000000005</v>
      </c>
      <c r="L47" s="280">
        <v>1268</v>
      </c>
      <c r="M47" s="282">
        <v>1275</v>
      </c>
      <c r="N47" s="283">
        <f t="shared" si="3"/>
        <v>-7</v>
      </c>
      <c r="O47" s="261">
        <f t="shared" si="4"/>
        <v>-42000</v>
      </c>
      <c r="P47" s="261">
        <f t="shared" si="1"/>
        <v>30535977.840048626</v>
      </c>
      <c r="Q47" s="284">
        <f t="shared" si="5"/>
        <v>15267988.920024313</v>
      </c>
    </row>
    <row r="48" spans="2:18" ht="15.4" x14ac:dyDescent="0.45">
      <c r="B48" s="140" t="s">
        <v>145</v>
      </c>
      <c r="C48" s="1">
        <v>392</v>
      </c>
      <c r="D48" s="141" t="s">
        <v>152</v>
      </c>
      <c r="E48" s="348">
        <v>1</v>
      </c>
      <c r="F48" s="261">
        <v>20261000</v>
      </c>
      <c r="G48" s="261">
        <v>690984.36350647185</v>
      </c>
      <c r="H48" s="280">
        <v>527.5</v>
      </c>
      <c r="I48" s="281">
        <f t="shared" si="0"/>
        <v>4000</v>
      </c>
      <c r="J48" s="261">
        <f t="shared" si="2"/>
        <v>2110000</v>
      </c>
      <c r="K48" s="261">
        <v>0</v>
      </c>
      <c r="L48" s="280">
        <v>880</v>
      </c>
      <c r="M48" s="282">
        <v>897</v>
      </c>
      <c r="N48" s="283">
        <f t="shared" si="3"/>
        <v>-17</v>
      </c>
      <c r="O48" s="261">
        <f t="shared" si="4"/>
        <v>-102000</v>
      </c>
      <c r="P48" s="261">
        <f t="shared" si="1"/>
        <v>17562015.636493526</v>
      </c>
      <c r="Q48" s="284">
        <f t="shared" si="5"/>
        <v>8781007.8182467632</v>
      </c>
    </row>
    <row r="49" spans="2:17" ht="15.4" x14ac:dyDescent="0.45">
      <c r="B49" s="140" t="s">
        <v>145</v>
      </c>
      <c r="C49" s="1">
        <v>929</v>
      </c>
      <c r="D49" s="141" t="s">
        <v>153</v>
      </c>
      <c r="E49" s="348">
        <v>1</v>
      </c>
      <c r="F49" s="261">
        <v>32232999.999999996</v>
      </c>
      <c r="G49" s="261">
        <v>435865.72303836117</v>
      </c>
      <c r="H49" s="280">
        <v>733</v>
      </c>
      <c r="I49" s="281">
        <f t="shared" si="0"/>
        <v>4000</v>
      </c>
      <c r="J49" s="261">
        <f t="shared" si="2"/>
        <v>2932000</v>
      </c>
      <c r="K49" s="261">
        <v>0</v>
      </c>
      <c r="L49" s="280">
        <v>1622</v>
      </c>
      <c r="M49" s="282">
        <v>1784</v>
      </c>
      <c r="N49" s="283">
        <f t="shared" si="3"/>
        <v>-162</v>
      </c>
      <c r="O49" s="261">
        <f t="shared" si="4"/>
        <v>-972000</v>
      </c>
      <c r="P49" s="261">
        <f t="shared" si="1"/>
        <v>29837134.276961636</v>
      </c>
      <c r="Q49" s="284">
        <f t="shared" si="5"/>
        <v>14918567.138480818</v>
      </c>
    </row>
    <row r="50" spans="2:17" ht="15.4" x14ac:dyDescent="0.45">
      <c r="B50" s="140" t="s">
        <v>145</v>
      </c>
      <c r="C50" s="1">
        <v>807</v>
      </c>
      <c r="D50" s="141" t="s">
        <v>154</v>
      </c>
      <c r="E50" s="348">
        <v>1</v>
      </c>
      <c r="F50" s="261">
        <v>16108173.466852708</v>
      </c>
      <c r="G50" s="261">
        <v>159147.0441637889</v>
      </c>
      <c r="H50" s="280">
        <v>391</v>
      </c>
      <c r="I50" s="281">
        <f t="shared" si="0"/>
        <v>4000</v>
      </c>
      <c r="J50" s="261">
        <f t="shared" si="2"/>
        <v>1564000</v>
      </c>
      <c r="K50" s="261">
        <v>134000</v>
      </c>
      <c r="L50" s="280">
        <v>835</v>
      </c>
      <c r="M50" s="282">
        <v>864</v>
      </c>
      <c r="N50" s="283">
        <f t="shared" si="3"/>
        <v>-29</v>
      </c>
      <c r="O50" s="261">
        <f t="shared" si="4"/>
        <v>-174000</v>
      </c>
      <c r="P50" s="261">
        <f t="shared" si="1"/>
        <v>14425026.422688918</v>
      </c>
      <c r="Q50" s="284">
        <f t="shared" si="5"/>
        <v>7212513.2113444591</v>
      </c>
    </row>
    <row r="51" spans="2:17" ht="15.4" x14ac:dyDescent="0.45">
      <c r="B51" s="140" t="s">
        <v>145</v>
      </c>
      <c r="C51" s="1">
        <v>393</v>
      </c>
      <c r="D51" s="141" t="s">
        <v>155</v>
      </c>
      <c r="E51" s="348">
        <v>1</v>
      </c>
      <c r="F51" s="261">
        <v>17097000</v>
      </c>
      <c r="G51" s="261">
        <v>541150.50566389807</v>
      </c>
      <c r="H51" s="280">
        <v>477</v>
      </c>
      <c r="I51" s="281">
        <f t="shared" si="0"/>
        <v>4000</v>
      </c>
      <c r="J51" s="261">
        <f t="shared" si="2"/>
        <v>1908000</v>
      </c>
      <c r="K51" s="261">
        <v>0</v>
      </c>
      <c r="L51" s="280">
        <v>658</v>
      </c>
      <c r="M51" s="282">
        <v>665</v>
      </c>
      <c r="N51" s="283">
        <f t="shared" si="3"/>
        <v>-7</v>
      </c>
      <c r="O51" s="261">
        <f t="shared" si="4"/>
        <v>-42000</v>
      </c>
      <c r="P51" s="261">
        <f t="shared" si="1"/>
        <v>14689849.494336102</v>
      </c>
      <c r="Q51" s="284">
        <f t="shared" si="5"/>
        <v>7344924.7471680511</v>
      </c>
    </row>
    <row r="52" spans="2:17" ht="15.4" x14ac:dyDescent="0.45">
      <c r="B52" s="140" t="s">
        <v>145</v>
      </c>
      <c r="C52" s="1">
        <v>808</v>
      </c>
      <c r="D52" s="141" t="s">
        <v>156</v>
      </c>
      <c r="E52" s="348">
        <v>1</v>
      </c>
      <c r="F52" s="261">
        <v>25035326.415687151</v>
      </c>
      <c r="G52" s="261">
        <v>1203703.7238382369</v>
      </c>
      <c r="H52" s="280">
        <v>550.5</v>
      </c>
      <c r="I52" s="281">
        <f t="shared" si="0"/>
        <v>4000</v>
      </c>
      <c r="J52" s="261">
        <f t="shared" si="2"/>
        <v>2202000</v>
      </c>
      <c r="K52" s="261">
        <v>25000</v>
      </c>
      <c r="L52" s="280">
        <v>1034</v>
      </c>
      <c r="M52" s="282">
        <v>1138</v>
      </c>
      <c r="N52" s="283">
        <f t="shared" si="3"/>
        <v>-104</v>
      </c>
      <c r="O52" s="261">
        <f t="shared" si="4"/>
        <v>-624000</v>
      </c>
      <c r="P52" s="261">
        <f t="shared" si="1"/>
        <v>22228622.691848915</v>
      </c>
      <c r="Q52" s="284">
        <f t="shared" si="5"/>
        <v>11114311.345924458</v>
      </c>
    </row>
    <row r="53" spans="2:17" ht="15.4" x14ac:dyDescent="0.45">
      <c r="B53" s="140" t="s">
        <v>145</v>
      </c>
      <c r="C53" s="1">
        <v>394</v>
      </c>
      <c r="D53" s="141" t="s">
        <v>157</v>
      </c>
      <c r="E53" s="348">
        <v>1</v>
      </c>
      <c r="F53" s="261">
        <v>23186530</v>
      </c>
      <c r="G53" s="261">
        <v>859629.21646468272</v>
      </c>
      <c r="H53" s="280">
        <v>686</v>
      </c>
      <c r="I53" s="281">
        <f t="shared" si="0"/>
        <v>4000</v>
      </c>
      <c r="J53" s="261">
        <f t="shared" si="2"/>
        <v>2744000</v>
      </c>
      <c r="K53" s="261">
        <v>0</v>
      </c>
      <c r="L53" s="280">
        <v>1125</v>
      </c>
      <c r="M53" s="282">
        <v>1163</v>
      </c>
      <c r="N53" s="283">
        <f t="shared" si="3"/>
        <v>-38</v>
      </c>
      <c r="O53" s="261">
        <f t="shared" si="4"/>
        <v>-228000</v>
      </c>
      <c r="P53" s="261">
        <f t="shared" si="1"/>
        <v>19810900.783535317</v>
      </c>
      <c r="Q53" s="284">
        <f t="shared" si="5"/>
        <v>9905450.3917676583</v>
      </c>
    </row>
    <row r="54" spans="2:17" ht="15.4" x14ac:dyDescent="0.45">
      <c r="B54" s="140" t="s">
        <v>158</v>
      </c>
      <c r="C54" s="1">
        <v>889</v>
      </c>
      <c r="D54" s="141" t="s">
        <v>159</v>
      </c>
      <c r="E54" s="348">
        <v>1</v>
      </c>
      <c r="F54" s="261">
        <v>18431400</v>
      </c>
      <c r="G54" s="261">
        <v>156280.13740952907</v>
      </c>
      <c r="H54" s="280">
        <v>267.5</v>
      </c>
      <c r="I54" s="281">
        <f t="shared" si="0"/>
        <v>4000</v>
      </c>
      <c r="J54" s="261">
        <f t="shared" si="2"/>
        <v>1070000</v>
      </c>
      <c r="K54" s="261">
        <v>360400.00000000006</v>
      </c>
      <c r="L54" s="280">
        <v>852</v>
      </c>
      <c r="M54" s="282">
        <v>857</v>
      </c>
      <c r="N54" s="283">
        <f t="shared" si="3"/>
        <v>-5</v>
      </c>
      <c r="O54" s="261">
        <f t="shared" si="4"/>
        <v>-30000</v>
      </c>
      <c r="P54" s="261">
        <f t="shared" si="1"/>
        <v>16874719.862590469</v>
      </c>
      <c r="Q54" s="284">
        <f t="shared" si="5"/>
        <v>8437359.9312952347</v>
      </c>
    </row>
    <row r="55" spans="2:17" ht="15.4" x14ac:dyDescent="0.45">
      <c r="B55" s="140" t="s">
        <v>158</v>
      </c>
      <c r="C55" s="1">
        <v>890</v>
      </c>
      <c r="D55" s="141" t="s">
        <v>160</v>
      </c>
      <c r="E55" s="348">
        <v>1</v>
      </c>
      <c r="F55" s="261">
        <v>18654000</v>
      </c>
      <c r="G55" s="261">
        <v>76145.620105377631</v>
      </c>
      <c r="H55" s="280">
        <v>432</v>
      </c>
      <c r="I55" s="281">
        <f t="shared" si="0"/>
        <v>4000</v>
      </c>
      <c r="J55" s="261">
        <f t="shared" si="2"/>
        <v>1728000</v>
      </c>
      <c r="K55" s="261">
        <v>1132000</v>
      </c>
      <c r="L55" s="280">
        <v>597</v>
      </c>
      <c r="M55" s="282">
        <v>538</v>
      </c>
      <c r="N55" s="283">
        <f t="shared" si="3"/>
        <v>59</v>
      </c>
      <c r="O55" s="261">
        <f t="shared" si="4"/>
        <v>354000</v>
      </c>
      <c r="P55" s="261">
        <f t="shared" si="1"/>
        <v>15363854.379894622</v>
      </c>
      <c r="Q55" s="284">
        <f t="shared" si="5"/>
        <v>7681927.1899473108</v>
      </c>
    </row>
    <row r="56" spans="2:17" ht="15.4" x14ac:dyDescent="0.45">
      <c r="B56" s="140" t="s">
        <v>158</v>
      </c>
      <c r="C56" s="1">
        <v>350</v>
      </c>
      <c r="D56" s="141" t="s">
        <v>161</v>
      </c>
      <c r="E56" s="348">
        <v>1.0082072667712707</v>
      </c>
      <c r="F56" s="261">
        <v>33354000.000000007</v>
      </c>
      <c r="G56" s="261">
        <v>115442.5593231403</v>
      </c>
      <c r="H56" s="280">
        <v>721</v>
      </c>
      <c r="I56" s="281">
        <f t="shared" si="0"/>
        <v>4032.8290670850829</v>
      </c>
      <c r="J56" s="261">
        <f t="shared" si="2"/>
        <v>2907669.7573683448</v>
      </c>
      <c r="K56" s="261">
        <v>0</v>
      </c>
      <c r="L56" s="280">
        <v>1570</v>
      </c>
      <c r="M56" s="282">
        <v>1590</v>
      </c>
      <c r="N56" s="283">
        <f t="shared" si="3"/>
        <v>-20</v>
      </c>
      <c r="O56" s="261">
        <f t="shared" si="4"/>
        <v>-120000</v>
      </c>
      <c r="P56" s="261">
        <f t="shared" si="1"/>
        <v>30450887.683308523</v>
      </c>
      <c r="Q56" s="284">
        <f t="shared" si="5"/>
        <v>15225443.841654262</v>
      </c>
    </row>
    <row r="57" spans="2:17" ht="15.4" x14ac:dyDescent="0.45">
      <c r="B57" s="140" t="s">
        <v>158</v>
      </c>
      <c r="C57" s="1">
        <v>351</v>
      </c>
      <c r="D57" s="141" t="s">
        <v>162</v>
      </c>
      <c r="E57" s="348">
        <v>1.0082072667712707</v>
      </c>
      <c r="F57" s="261">
        <v>29308031.976948313</v>
      </c>
      <c r="G57" s="261">
        <v>179309.90701030218</v>
      </c>
      <c r="H57" s="280">
        <v>420</v>
      </c>
      <c r="I57" s="281">
        <f t="shared" si="0"/>
        <v>4032.8290670850829</v>
      </c>
      <c r="J57" s="261">
        <f t="shared" si="2"/>
        <v>1693788.2081757348</v>
      </c>
      <c r="K57" s="261">
        <v>167616</v>
      </c>
      <c r="L57" s="280">
        <v>1062</v>
      </c>
      <c r="M57" s="282">
        <v>1066</v>
      </c>
      <c r="N57" s="283">
        <f t="shared" si="3"/>
        <v>-4</v>
      </c>
      <c r="O57" s="261">
        <f t="shared" si="4"/>
        <v>-24000</v>
      </c>
      <c r="P57" s="261">
        <f t="shared" si="1"/>
        <v>27291317.861762278</v>
      </c>
      <c r="Q57" s="284">
        <f t="shared" si="5"/>
        <v>13645658.930881139</v>
      </c>
    </row>
    <row r="58" spans="2:17" ht="15.4" x14ac:dyDescent="0.45">
      <c r="B58" s="140" t="s">
        <v>158</v>
      </c>
      <c r="C58" s="1">
        <v>895</v>
      </c>
      <c r="D58" s="141" t="s">
        <v>163</v>
      </c>
      <c r="E58" s="348">
        <v>1.0054548012657853</v>
      </c>
      <c r="F58" s="261">
        <v>33924000</v>
      </c>
      <c r="G58" s="261">
        <v>444973.69591645291</v>
      </c>
      <c r="H58" s="280">
        <v>370</v>
      </c>
      <c r="I58" s="281">
        <f t="shared" si="0"/>
        <v>4021.8192050631415</v>
      </c>
      <c r="J58" s="261">
        <f t="shared" si="2"/>
        <v>1488073.1058733624</v>
      </c>
      <c r="K58" s="261">
        <v>0</v>
      </c>
      <c r="L58" s="280">
        <v>1257</v>
      </c>
      <c r="M58" s="282">
        <v>1437</v>
      </c>
      <c r="N58" s="283">
        <f t="shared" si="3"/>
        <v>-180</v>
      </c>
      <c r="O58" s="261">
        <f t="shared" si="4"/>
        <v>-1080000</v>
      </c>
      <c r="P58" s="261">
        <f t="shared" si="1"/>
        <v>33070953.198210187</v>
      </c>
      <c r="Q58" s="284">
        <f t="shared" si="5"/>
        <v>16535476.599105094</v>
      </c>
    </row>
    <row r="59" spans="2:17" ht="15.4" x14ac:dyDescent="0.45">
      <c r="B59" s="140" t="s">
        <v>158</v>
      </c>
      <c r="C59" s="1">
        <v>896</v>
      </c>
      <c r="D59" s="141" t="s">
        <v>164</v>
      </c>
      <c r="E59" s="348">
        <v>1.0054548012657853</v>
      </c>
      <c r="F59" s="261">
        <v>37832252</v>
      </c>
      <c r="G59" s="261">
        <v>405344.62915901246</v>
      </c>
      <c r="H59" s="280">
        <v>946</v>
      </c>
      <c r="I59" s="281">
        <f t="shared" si="0"/>
        <v>4021.8192050631415</v>
      </c>
      <c r="J59" s="261">
        <f t="shared" si="2"/>
        <v>3804640.967989732</v>
      </c>
      <c r="K59" s="261">
        <v>525886.00000000012</v>
      </c>
      <c r="L59" s="280">
        <v>1886</v>
      </c>
      <c r="M59" s="282">
        <v>1809</v>
      </c>
      <c r="N59" s="283">
        <f t="shared" si="3"/>
        <v>77</v>
      </c>
      <c r="O59" s="261">
        <f t="shared" si="4"/>
        <v>462000</v>
      </c>
      <c r="P59" s="261">
        <f t="shared" si="1"/>
        <v>32634380.402851254</v>
      </c>
      <c r="Q59" s="284">
        <f t="shared" si="5"/>
        <v>16317190.201425627</v>
      </c>
    </row>
    <row r="60" spans="2:17" ht="15.4" x14ac:dyDescent="0.45">
      <c r="B60" s="140" t="s">
        <v>158</v>
      </c>
      <c r="C60" s="1">
        <v>909</v>
      </c>
      <c r="D60" s="141" t="s">
        <v>165</v>
      </c>
      <c r="E60" s="348">
        <v>1</v>
      </c>
      <c r="F60" s="261">
        <v>42262637</v>
      </c>
      <c r="G60" s="261">
        <v>409810.4247482249</v>
      </c>
      <c r="H60" s="280">
        <v>558.5</v>
      </c>
      <c r="I60" s="281">
        <f t="shared" si="0"/>
        <v>4000</v>
      </c>
      <c r="J60" s="261">
        <f t="shared" si="2"/>
        <v>2234000</v>
      </c>
      <c r="K60" s="261">
        <v>802637</v>
      </c>
      <c r="L60" s="280">
        <v>2010</v>
      </c>
      <c r="M60" s="282">
        <v>2114</v>
      </c>
      <c r="N60" s="283">
        <f t="shared" si="3"/>
        <v>-104</v>
      </c>
      <c r="O60" s="261">
        <f t="shared" si="4"/>
        <v>-624000</v>
      </c>
      <c r="P60" s="261">
        <f t="shared" si="1"/>
        <v>39440189.575251773</v>
      </c>
      <c r="Q60" s="284">
        <f t="shared" si="5"/>
        <v>19720094.787625886</v>
      </c>
    </row>
    <row r="61" spans="2:17" ht="15.4" x14ac:dyDescent="0.45">
      <c r="B61" s="140" t="s">
        <v>158</v>
      </c>
      <c r="C61" s="1">
        <v>876</v>
      </c>
      <c r="D61" s="141" t="s">
        <v>166</v>
      </c>
      <c r="E61" s="348">
        <v>1.0054548012657853</v>
      </c>
      <c r="F61" s="261">
        <v>16559000.000000002</v>
      </c>
      <c r="G61" s="261">
        <v>491314.31362034404</v>
      </c>
      <c r="H61" s="280">
        <v>351</v>
      </c>
      <c r="I61" s="281">
        <f t="shared" si="0"/>
        <v>4021.8192050631415</v>
      </c>
      <c r="J61" s="261">
        <f t="shared" si="2"/>
        <v>1411658.5409771625</v>
      </c>
      <c r="K61" s="261">
        <v>0</v>
      </c>
      <c r="L61" s="280">
        <v>793.5</v>
      </c>
      <c r="M61" s="282">
        <v>802</v>
      </c>
      <c r="N61" s="283">
        <f t="shared" si="3"/>
        <v>-8.5</v>
      </c>
      <c r="O61" s="261">
        <f t="shared" si="4"/>
        <v>-51000</v>
      </c>
      <c r="P61" s="261">
        <f t="shared" si="1"/>
        <v>14707027.145402495</v>
      </c>
      <c r="Q61" s="284">
        <f t="shared" si="5"/>
        <v>7353513.5727012474</v>
      </c>
    </row>
    <row r="62" spans="2:17" ht="15.4" x14ac:dyDescent="0.45">
      <c r="B62" s="140" t="s">
        <v>158</v>
      </c>
      <c r="C62" s="1">
        <v>340</v>
      </c>
      <c r="D62" s="141" t="s">
        <v>167</v>
      </c>
      <c r="E62" s="348">
        <v>1.0016847182558959</v>
      </c>
      <c r="F62" s="261">
        <v>19610000.000000004</v>
      </c>
      <c r="G62" s="261">
        <v>286730.65848349012</v>
      </c>
      <c r="H62" s="280">
        <v>480</v>
      </c>
      <c r="I62" s="281">
        <f t="shared" si="0"/>
        <v>4006.7388730235834</v>
      </c>
      <c r="J62" s="261">
        <f t="shared" si="2"/>
        <v>1923234.65905132</v>
      </c>
      <c r="K62" s="261">
        <v>113528</v>
      </c>
      <c r="L62" s="280">
        <v>857</v>
      </c>
      <c r="M62" s="282">
        <v>929</v>
      </c>
      <c r="N62" s="283">
        <f t="shared" si="3"/>
        <v>-72</v>
      </c>
      <c r="O62" s="261">
        <f t="shared" si="4"/>
        <v>-432000</v>
      </c>
      <c r="P62" s="261">
        <f t="shared" si="1"/>
        <v>17718506.682465192</v>
      </c>
      <c r="Q62" s="284">
        <f t="shared" si="5"/>
        <v>8859253.341232596</v>
      </c>
    </row>
    <row r="63" spans="2:17" ht="15.4" x14ac:dyDescent="0.45">
      <c r="B63" s="140" t="s">
        <v>158</v>
      </c>
      <c r="C63" s="1">
        <v>888</v>
      </c>
      <c r="D63" s="141" t="s">
        <v>168</v>
      </c>
      <c r="E63" s="348">
        <v>1</v>
      </c>
      <c r="F63" s="261">
        <v>107475969</v>
      </c>
      <c r="G63" s="261">
        <v>474157.52163417335</v>
      </c>
      <c r="H63" s="280">
        <v>2830.5</v>
      </c>
      <c r="I63" s="281">
        <f t="shared" si="0"/>
        <v>4000</v>
      </c>
      <c r="J63" s="261">
        <f t="shared" si="2"/>
        <v>11322000</v>
      </c>
      <c r="K63" s="261">
        <v>610000</v>
      </c>
      <c r="L63" s="280">
        <v>4374</v>
      </c>
      <c r="M63" s="282">
        <v>4549</v>
      </c>
      <c r="N63" s="283">
        <f t="shared" si="3"/>
        <v>-175</v>
      </c>
      <c r="O63" s="261">
        <f t="shared" si="4"/>
        <v>-1050000</v>
      </c>
      <c r="P63" s="261">
        <f t="shared" si="1"/>
        <v>96119811.478365824</v>
      </c>
      <c r="Q63" s="284">
        <f t="shared" si="5"/>
        <v>48059905.739182912</v>
      </c>
    </row>
    <row r="64" spans="2:17" ht="15.4" x14ac:dyDescent="0.45">
      <c r="B64" s="140" t="s">
        <v>158</v>
      </c>
      <c r="C64" s="1">
        <v>341</v>
      </c>
      <c r="D64" s="141" t="s">
        <v>169</v>
      </c>
      <c r="E64" s="348">
        <v>1.0016847182558959</v>
      </c>
      <c r="F64" s="261">
        <v>46055754</v>
      </c>
      <c r="G64" s="261">
        <v>1165713.1810889794</v>
      </c>
      <c r="H64" s="280">
        <v>1298</v>
      </c>
      <c r="I64" s="281">
        <f t="shared" si="0"/>
        <v>4006.7388730235834</v>
      </c>
      <c r="J64" s="261">
        <f t="shared" si="2"/>
        <v>5200747.0571846114</v>
      </c>
      <c r="K64" s="261">
        <v>612365</v>
      </c>
      <c r="L64" s="280">
        <v>1978</v>
      </c>
      <c r="M64" s="282">
        <v>2004</v>
      </c>
      <c r="N64" s="283">
        <f t="shared" si="3"/>
        <v>-26</v>
      </c>
      <c r="O64" s="261">
        <f t="shared" si="4"/>
        <v>-156000</v>
      </c>
      <c r="P64" s="261">
        <f t="shared" si="1"/>
        <v>39232928.761726409</v>
      </c>
      <c r="Q64" s="284">
        <f t="shared" si="5"/>
        <v>19616464.380863205</v>
      </c>
    </row>
    <row r="65" spans="2:17" ht="15.4" x14ac:dyDescent="0.45">
      <c r="B65" s="140" t="s">
        <v>158</v>
      </c>
      <c r="C65" s="1">
        <v>352</v>
      </c>
      <c r="D65" s="141" t="s">
        <v>170</v>
      </c>
      <c r="E65" s="348">
        <v>1.0082072667712707</v>
      </c>
      <c r="F65" s="261">
        <v>70934000</v>
      </c>
      <c r="G65" s="261">
        <v>696595.50358900684</v>
      </c>
      <c r="H65" s="280">
        <v>1358.5</v>
      </c>
      <c r="I65" s="281">
        <f t="shared" si="0"/>
        <v>4032.8290670850829</v>
      </c>
      <c r="J65" s="261">
        <f t="shared" si="2"/>
        <v>5478598.2876350852</v>
      </c>
      <c r="K65" s="261">
        <v>1740275</v>
      </c>
      <c r="L65" s="280">
        <v>2656</v>
      </c>
      <c r="M65" s="282">
        <v>2733</v>
      </c>
      <c r="N65" s="283">
        <f t="shared" si="3"/>
        <v>-77</v>
      </c>
      <c r="O65" s="261">
        <f t="shared" si="4"/>
        <v>-462000</v>
      </c>
      <c r="P65" s="261">
        <f t="shared" si="1"/>
        <v>63480531.208775908</v>
      </c>
      <c r="Q65" s="284">
        <f t="shared" si="5"/>
        <v>31740265.604387954</v>
      </c>
    </row>
    <row r="66" spans="2:17" ht="15.4" x14ac:dyDescent="0.45">
      <c r="B66" s="140" t="s">
        <v>158</v>
      </c>
      <c r="C66" s="1">
        <v>353</v>
      </c>
      <c r="D66" s="141" t="s">
        <v>171</v>
      </c>
      <c r="E66" s="348">
        <v>1.0082072667712707</v>
      </c>
      <c r="F66" s="261">
        <v>29919445</v>
      </c>
      <c r="G66" s="261">
        <v>163003.24434026552</v>
      </c>
      <c r="H66" s="280">
        <v>752.33333300000004</v>
      </c>
      <c r="I66" s="281">
        <f t="shared" si="0"/>
        <v>4032.8290670850829</v>
      </c>
      <c r="J66" s="261">
        <f t="shared" si="2"/>
        <v>3034031.7334594009</v>
      </c>
      <c r="K66" s="261">
        <v>445384</v>
      </c>
      <c r="L66" s="280">
        <v>1339</v>
      </c>
      <c r="M66" s="282">
        <v>1310</v>
      </c>
      <c r="N66" s="283">
        <f t="shared" si="3"/>
        <v>29</v>
      </c>
      <c r="O66" s="261">
        <f t="shared" si="4"/>
        <v>174000</v>
      </c>
      <c r="P66" s="261">
        <f t="shared" si="1"/>
        <v>26103026.022200331</v>
      </c>
      <c r="Q66" s="284">
        <f t="shared" si="5"/>
        <v>13051513.011100166</v>
      </c>
    </row>
    <row r="67" spans="2:17" ht="15.4" x14ac:dyDescent="0.45">
      <c r="B67" s="140" t="s">
        <v>158</v>
      </c>
      <c r="C67" s="1">
        <v>354</v>
      </c>
      <c r="D67" s="141" t="s">
        <v>172</v>
      </c>
      <c r="E67" s="348">
        <v>1.0082072667712707</v>
      </c>
      <c r="F67" s="261">
        <v>21538000</v>
      </c>
      <c r="G67" s="261">
        <v>122374.13042479404</v>
      </c>
      <c r="H67" s="280">
        <v>519</v>
      </c>
      <c r="I67" s="281">
        <f t="shared" si="0"/>
        <v>4032.8290670850829</v>
      </c>
      <c r="J67" s="261">
        <f t="shared" si="2"/>
        <v>2093038.2858171579</v>
      </c>
      <c r="K67" s="261">
        <v>0</v>
      </c>
      <c r="L67" s="280">
        <v>1141</v>
      </c>
      <c r="M67" s="282">
        <v>1214</v>
      </c>
      <c r="N67" s="283">
        <f t="shared" si="3"/>
        <v>-73</v>
      </c>
      <c r="O67" s="261">
        <f t="shared" si="4"/>
        <v>-438000</v>
      </c>
      <c r="P67" s="261">
        <f t="shared" si="1"/>
        <v>19760587.583758049</v>
      </c>
      <c r="Q67" s="284">
        <f t="shared" si="5"/>
        <v>9880293.7918790244</v>
      </c>
    </row>
    <row r="68" spans="2:17" ht="15.4" x14ac:dyDescent="0.45">
      <c r="B68" s="140" t="s">
        <v>158</v>
      </c>
      <c r="C68" s="1">
        <v>355</v>
      </c>
      <c r="D68" s="141" t="s">
        <v>173</v>
      </c>
      <c r="E68" s="348">
        <v>1.0082072667712707</v>
      </c>
      <c r="F68" s="261">
        <v>31575000</v>
      </c>
      <c r="G68" s="261">
        <v>959241.08804117166</v>
      </c>
      <c r="H68" s="280">
        <v>591.5</v>
      </c>
      <c r="I68" s="281">
        <f t="shared" si="0"/>
        <v>4032.8290670850829</v>
      </c>
      <c r="J68" s="261">
        <f t="shared" si="2"/>
        <v>2385418.3931808267</v>
      </c>
      <c r="K68" s="261">
        <v>0</v>
      </c>
      <c r="L68" s="280">
        <v>1145</v>
      </c>
      <c r="M68" s="282">
        <v>1205</v>
      </c>
      <c r="N68" s="283">
        <f t="shared" si="3"/>
        <v>-60</v>
      </c>
      <c r="O68" s="261">
        <f t="shared" si="4"/>
        <v>-360000</v>
      </c>
      <c r="P68" s="261">
        <f t="shared" si="1"/>
        <v>28590340.518778004</v>
      </c>
      <c r="Q68" s="284">
        <f t="shared" si="5"/>
        <v>14295170.259389002</v>
      </c>
    </row>
    <row r="69" spans="2:17" ht="15.4" x14ac:dyDescent="0.45">
      <c r="B69" s="140" t="s">
        <v>158</v>
      </c>
      <c r="C69" s="1">
        <v>343</v>
      </c>
      <c r="D69" s="141" t="s">
        <v>174</v>
      </c>
      <c r="E69" s="348">
        <v>1.0016847182558959</v>
      </c>
      <c r="F69" s="261">
        <v>27556000</v>
      </c>
      <c r="G69" s="261">
        <v>857362.70212377317</v>
      </c>
      <c r="H69" s="280">
        <v>582</v>
      </c>
      <c r="I69" s="281">
        <f t="shared" si="0"/>
        <v>4006.7388730235834</v>
      </c>
      <c r="J69" s="261">
        <f t="shared" si="2"/>
        <v>2331922.0240997258</v>
      </c>
      <c r="K69" s="261">
        <v>0</v>
      </c>
      <c r="L69" s="280">
        <v>1105</v>
      </c>
      <c r="M69" s="282">
        <v>1138</v>
      </c>
      <c r="N69" s="283">
        <f t="shared" si="3"/>
        <v>-33</v>
      </c>
      <c r="O69" s="261">
        <f t="shared" si="4"/>
        <v>-198000</v>
      </c>
      <c r="P69" s="261">
        <f t="shared" si="1"/>
        <v>24564715.273776501</v>
      </c>
      <c r="Q69" s="284">
        <f t="shared" si="5"/>
        <v>12282357.636888251</v>
      </c>
    </row>
    <row r="70" spans="2:17" ht="15.4" x14ac:dyDescent="0.45">
      <c r="B70" s="140" t="s">
        <v>158</v>
      </c>
      <c r="C70" s="1">
        <v>342</v>
      </c>
      <c r="D70" s="141" t="s">
        <v>175</v>
      </c>
      <c r="E70" s="348">
        <v>1.0016847182558959</v>
      </c>
      <c r="F70" s="261">
        <v>21669000</v>
      </c>
      <c r="G70" s="261">
        <v>332402.04285530117</v>
      </c>
      <c r="H70" s="280">
        <v>392</v>
      </c>
      <c r="I70" s="281">
        <f t="shared" si="0"/>
        <v>4006.7388730235834</v>
      </c>
      <c r="J70" s="261">
        <f t="shared" si="2"/>
        <v>1570641.6382252448</v>
      </c>
      <c r="K70" s="261">
        <v>0</v>
      </c>
      <c r="L70" s="280">
        <v>1016</v>
      </c>
      <c r="M70" s="282">
        <v>1029</v>
      </c>
      <c r="N70" s="283">
        <f t="shared" si="3"/>
        <v>-13</v>
      </c>
      <c r="O70" s="261">
        <f t="shared" si="4"/>
        <v>-78000</v>
      </c>
      <c r="P70" s="261">
        <f t="shared" si="1"/>
        <v>19843956.318919454</v>
      </c>
      <c r="Q70" s="284">
        <f t="shared" si="5"/>
        <v>9921978.1594597269</v>
      </c>
    </row>
    <row r="71" spans="2:17" ht="15.4" x14ac:dyDescent="0.45">
      <c r="B71" s="140" t="s">
        <v>158</v>
      </c>
      <c r="C71" s="1">
        <v>356</v>
      </c>
      <c r="D71" s="141" t="s">
        <v>176</v>
      </c>
      <c r="E71" s="348">
        <v>1.0082072667712707</v>
      </c>
      <c r="F71" s="261">
        <v>29822000</v>
      </c>
      <c r="G71" s="261">
        <v>549963.41638873471</v>
      </c>
      <c r="H71" s="280">
        <v>566</v>
      </c>
      <c r="I71" s="281">
        <f t="shared" si="0"/>
        <v>4032.8290670850829</v>
      </c>
      <c r="J71" s="261">
        <f t="shared" si="2"/>
        <v>2282581.251970157</v>
      </c>
      <c r="K71" s="261">
        <v>50000</v>
      </c>
      <c r="L71" s="280">
        <v>1408</v>
      </c>
      <c r="M71" s="282">
        <v>1494</v>
      </c>
      <c r="N71" s="283">
        <f t="shared" si="3"/>
        <v>-86</v>
      </c>
      <c r="O71" s="261">
        <f t="shared" si="4"/>
        <v>-516000</v>
      </c>
      <c r="P71" s="261">
        <f t="shared" si="1"/>
        <v>27455455.331641108</v>
      </c>
      <c r="Q71" s="284">
        <f t="shared" si="5"/>
        <v>13727727.665820554</v>
      </c>
    </row>
    <row r="72" spans="2:17" ht="15.4" x14ac:dyDescent="0.45">
      <c r="B72" s="140" t="s">
        <v>158</v>
      </c>
      <c r="C72" s="1">
        <v>357</v>
      </c>
      <c r="D72" s="141" t="s">
        <v>177</v>
      </c>
      <c r="E72" s="348">
        <v>1.0082072667712707</v>
      </c>
      <c r="F72" s="261">
        <v>19028044.999999996</v>
      </c>
      <c r="G72" s="261">
        <v>323959.76813143422</v>
      </c>
      <c r="H72" s="280">
        <v>410</v>
      </c>
      <c r="I72" s="281">
        <f t="shared" si="0"/>
        <v>4032.8290670850829</v>
      </c>
      <c r="J72" s="261">
        <f t="shared" si="2"/>
        <v>1653459.9175048841</v>
      </c>
      <c r="K72" s="261">
        <v>75000</v>
      </c>
      <c r="L72" s="280">
        <v>568</v>
      </c>
      <c r="M72" s="282">
        <v>624</v>
      </c>
      <c r="N72" s="283">
        <f t="shared" si="3"/>
        <v>-56</v>
      </c>
      <c r="O72" s="261">
        <f t="shared" si="4"/>
        <v>-336000</v>
      </c>
      <c r="P72" s="261">
        <f t="shared" si="1"/>
        <v>17311625.314363677</v>
      </c>
      <c r="Q72" s="284">
        <f t="shared" si="5"/>
        <v>8655812.6571818385</v>
      </c>
    </row>
    <row r="73" spans="2:17" ht="15.4" x14ac:dyDescent="0.45">
      <c r="B73" s="140" t="s">
        <v>158</v>
      </c>
      <c r="C73" s="1">
        <v>358</v>
      </c>
      <c r="D73" s="141" t="s">
        <v>178</v>
      </c>
      <c r="E73" s="348">
        <v>1.0082072667712707</v>
      </c>
      <c r="F73" s="261">
        <v>25038000</v>
      </c>
      <c r="G73" s="261">
        <v>286082.4857532552</v>
      </c>
      <c r="H73" s="280">
        <v>590</v>
      </c>
      <c r="I73" s="281">
        <f t="shared" ref="I73:I136" si="6">4000*E73</f>
        <v>4032.8290670850829</v>
      </c>
      <c r="J73" s="261">
        <f t="shared" si="2"/>
        <v>2379369.1495801988</v>
      </c>
      <c r="K73" s="261">
        <v>0</v>
      </c>
      <c r="L73" s="280">
        <v>1165</v>
      </c>
      <c r="M73" s="282">
        <v>1235</v>
      </c>
      <c r="N73" s="283">
        <f t="shared" si="3"/>
        <v>-70</v>
      </c>
      <c r="O73" s="261">
        <f t="shared" si="4"/>
        <v>-420000</v>
      </c>
      <c r="P73" s="261">
        <f t="shared" ref="P73:P136" si="7">F73-G73-J73-K73-O73</f>
        <v>22792548.364666544</v>
      </c>
      <c r="Q73" s="284">
        <f t="shared" si="5"/>
        <v>11396274.182333272</v>
      </c>
    </row>
    <row r="74" spans="2:17" ht="15.4" x14ac:dyDescent="0.45">
      <c r="B74" s="140" t="s">
        <v>158</v>
      </c>
      <c r="C74" s="1">
        <v>877</v>
      </c>
      <c r="D74" s="141" t="s">
        <v>179</v>
      </c>
      <c r="E74" s="348">
        <v>1.0054548012657853</v>
      </c>
      <c r="F74" s="261">
        <v>20096525</v>
      </c>
      <c r="G74" s="261">
        <v>729150.70558442338</v>
      </c>
      <c r="H74" s="280">
        <v>388</v>
      </c>
      <c r="I74" s="281">
        <f t="shared" si="6"/>
        <v>4021.8192050631415</v>
      </c>
      <c r="J74" s="261">
        <f t="shared" ref="J74:J137" si="8">H74*I74</f>
        <v>1560465.8515644989</v>
      </c>
      <c r="K74" s="261">
        <v>311525</v>
      </c>
      <c r="L74" s="280">
        <v>997.5</v>
      </c>
      <c r="M74" s="282">
        <v>1086</v>
      </c>
      <c r="N74" s="283">
        <f t="shared" ref="N74:N137" si="9">L74-M74</f>
        <v>-88.5</v>
      </c>
      <c r="O74" s="261">
        <f t="shared" ref="O74:O137" si="10">N74*6000</f>
        <v>-531000</v>
      </c>
      <c r="P74" s="261">
        <f t="shared" si="7"/>
        <v>18026383.442851078</v>
      </c>
      <c r="Q74" s="284">
        <f t="shared" ref="Q74:Q137" si="11">P74/2</f>
        <v>9013191.7214255389</v>
      </c>
    </row>
    <row r="75" spans="2:17" ht="15.4" x14ac:dyDescent="0.45">
      <c r="B75" s="140" t="s">
        <v>158</v>
      </c>
      <c r="C75" s="1">
        <v>359</v>
      </c>
      <c r="D75" s="141" t="s">
        <v>180</v>
      </c>
      <c r="E75" s="348">
        <v>1.0082072667712707</v>
      </c>
      <c r="F75" s="261">
        <v>27444000</v>
      </c>
      <c r="G75" s="261">
        <v>153765.86136775918</v>
      </c>
      <c r="H75" s="280">
        <v>685</v>
      </c>
      <c r="I75" s="281">
        <f t="shared" si="6"/>
        <v>4032.8290670850829</v>
      </c>
      <c r="J75" s="261">
        <f t="shared" si="8"/>
        <v>2762487.9109532819</v>
      </c>
      <c r="K75" s="261">
        <v>30000</v>
      </c>
      <c r="L75" s="280">
        <v>1274</v>
      </c>
      <c r="M75" s="282">
        <v>1367</v>
      </c>
      <c r="N75" s="283">
        <f t="shared" si="9"/>
        <v>-93</v>
      </c>
      <c r="O75" s="261">
        <f t="shared" si="10"/>
        <v>-558000</v>
      </c>
      <c r="P75" s="261">
        <f t="shared" si="7"/>
        <v>25055746.227678958</v>
      </c>
      <c r="Q75" s="284">
        <f t="shared" si="11"/>
        <v>12527873.113839479</v>
      </c>
    </row>
    <row r="76" spans="2:17" ht="15.4" x14ac:dyDescent="0.45">
      <c r="B76" s="140" t="s">
        <v>158</v>
      </c>
      <c r="C76" s="1">
        <v>344</v>
      </c>
      <c r="D76" s="141" t="s">
        <v>181</v>
      </c>
      <c r="E76" s="348">
        <v>1.0016847182558959</v>
      </c>
      <c r="F76" s="261">
        <v>35167200</v>
      </c>
      <c r="G76" s="261">
        <v>1164552.3667130102</v>
      </c>
      <c r="H76" s="280">
        <v>996</v>
      </c>
      <c r="I76" s="281">
        <f t="shared" si="6"/>
        <v>4006.7388730235834</v>
      </c>
      <c r="J76" s="261">
        <f t="shared" si="8"/>
        <v>3990711.9175314889</v>
      </c>
      <c r="K76" s="261">
        <v>1359100</v>
      </c>
      <c r="L76" s="280">
        <v>1765</v>
      </c>
      <c r="M76" s="282">
        <v>1829</v>
      </c>
      <c r="N76" s="283">
        <f t="shared" si="9"/>
        <v>-64</v>
      </c>
      <c r="O76" s="261">
        <f t="shared" si="10"/>
        <v>-384000</v>
      </c>
      <c r="P76" s="261">
        <f t="shared" si="7"/>
        <v>29036835.7157555</v>
      </c>
      <c r="Q76" s="284">
        <f t="shared" si="11"/>
        <v>14518417.85787775</v>
      </c>
    </row>
    <row r="77" spans="2:17" ht="15.4" x14ac:dyDescent="0.45">
      <c r="B77" s="140" t="s">
        <v>182</v>
      </c>
      <c r="C77" s="1">
        <v>301</v>
      </c>
      <c r="D77" s="141" t="s">
        <v>183</v>
      </c>
      <c r="E77" s="348">
        <v>1.1243577599840504</v>
      </c>
      <c r="F77" s="261">
        <v>28123480.991856527</v>
      </c>
      <c r="G77" s="261">
        <v>1593040.692482294</v>
      </c>
      <c r="H77" s="280">
        <v>312</v>
      </c>
      <c r="I77" s="281">
        <f t="shared" si="6"/>
        <v>4497.4310399362021</v>
      </c>
      <c r="J77" s="261">
        <f t="shared" si="8"/>
        <v>1403198.4844600949</v>
      </c>
      <c r="K77" s="261">
        <v>0</v>
      </c>
      <c r="L77" s="280">
        <v>1046</v>
      </c>
      <c r="M77" s="282">
        <v>1019</v>
      </c>
      <c r="N77" s="283">
        <f t="shared" si="9"/>
        <v>27</v>
      </c>
      <c r="O77" s="261">
        <f t="shared" si="10"/>
        <v>162000</v>
      </c>
      <c r="P77" s="261">
        <f t="shared" si="7"/>
        <v>24965241.814914137</v>
      </c>
      <c r="Q77" s="284">
        <f t="shared" si="11"/>
        <v>12482620.907457069</v>
      </c>
    </row>
    <row r="78" spans="2:17" ht="15.4" x14ac:dyDescent="0.45">
      <c r="B78" s="140" t="s">
        <v>182</v>
      </c>
      <c r="C78" s="1">
        <v>302</v>
      </c>
      <c r="D78" s="141" t="s">
        <v>184</v>
      </c>
      <c r="E78" s="348">
        <v>1.1116135618035334</v>
      </c>
      <c r="F78" s="261">
        <v>48033977.333333328</v>
      </c>
      <c r="G78" s="261">
        <v>1164984.4055340444</v>
      </c>
      <c r="H78" s="280">
        <v>600</v>
      </c>
      <c r="I78" s="281">
        <f t="shared" si="6"/>
        <v>4446.4542472141338</v>
      </c>
      <c r="J78" s="261">
        <f t="shared" si="8"/>
        <v>2667872.5483284802</v>
      </c>
      <c r="K78" s="261">
        <v>541146</v>
      </c>
      <c r="L78" s="280">
        <v>1603</v>
      </c>
      <c r="M78" s="282">
        <v>1535</v>
      </c>
      <c r="N78" s="283">
        <f t="shared" si="9"/>
        <v>68</v>
      </c>
      <c r="O78" s="261">
        <f t="shared" si="10"/>
        <v>408000</v>
      </c>
      <c r="P78" s="261">
        <f t="shared" si="7"/>
        <v>43251974.379470803</v>
      </c>
      <c r="Q78" s="284">
        <f t="shared" si="11"/>
        <v>21625987.189735401</v>
      </c>
    </row>
    <row r="79" spans="2:17" ht="15.4" x14ac:dyDescent="0.45">
      <c r="B79" s="140" t="s">
        <v>182</v>
      </c>
      <c r="C79" s="1">
        <v>303</v>
      </c>
      <c r="D79" s="141" t="s">
        <v>185</v>
      </c>
      <c r="E79" s="348">
        <v>1.0870826162281</v>
      </c>
      <c r="F79" s="261">
        <v>32109000</v>
      </c>
      <c r="G79" s="261">
        <v>892342.77804640483</v>
      </c>
      <c r="H79" s="280">
        <v>596</v>
      </c>
      <c r="I79" s="281">
        <f t="shared" si="6"/>
        <v>4348.3304649124002</v>
      </c>
      <c r="J79" s="261">
        <f t="shared" si="8"/>
        <v>2591604.9570877906</v>
      </c>
      <c r="K79" s="261">
        <v>295000</v>
      </c>
      <c r="L79" s="280">
        <v>1038</v>
      </c>
      <c r="M79" s="282">
        <v>1215</v>
      </c>
      <c r="N79" s="283">
        <f t="shared" si="9"/>
        <v>-177</v>
      </c>
      <c r="O79" s="261">
        <f t="shared" si="10"/>
        <v>-1062000</v>
      </c>
      <c r="P79" s="261">
        <f t="shared" si="7"/>
        <v>29392052.264865808</v>
      </c>
      <c r="Q79" s="284">
        <f t="shared" si="11"/>
        <v>14696026.132432904</v>
      </c>
    </row>
    <row r="80" spans="2:17" ht="15.4" x14ac:dyDescent="0.45">
      <c r="B80" s="140" t="s">
        <v>182</v>
      </c>
      <c r="C80" s="1">
        <v>304</v>
      </c>
      <c r="D80" s="141" t="s">
        <v>186</v>
      </c>
      <c r="E80" s="348">
        <v>1.1488887055594839</v>
      </c>
      <c r="F80" s="261">
        <v>54220000</v>
      </c>
      <c r="G80" s="261">
        <v>516723.447327842</v>
      </c>
      <c r="H80" s="280">
        <v>768</v>
      </c>
      <c r="I80" s="281">
        <f t="shared" si="6"/>
        <v>4595.5548222379357</v>
      </c>
      <c r="J80" s="261">
        <f t="shared" si="8"/>
        <v>3529386.1034787344</v>
      </c>
      <c r="K80" s="261">
        <v>0</v>
      </c>
      <c r="L80" s="280">
        <v>1510</v>
      </c>
      <c r="M80" s="282">
        <v>1799</v>
      </c>
      <c r="N80" s="283">
        <f t="shared" si="9"/>
        <v>-289</v>
      </c>
      <c r="O80" s="261">
        <f t="shared" si="10"/>
        <v>-1734000</v>
      </c>
      <c r="P80" s="261">
        <f t="shared" si="7"/>
        <v>51907890.449193418</v>
      </c>
      <c r="Q80" s="284">
        <f t="shared" si="11"/>
        <v>25953945.224596709</v>
      </c>
    </row>
    <row r="81" spans="2:17" ht="15.4" x14ac:dyDescent="0.45">
      <c r="B81" s="140" t="s">
        <v>182</v>
      </c>
      <c r="C81" s="1">
        <v>305</v>
      </c>
      <c r="D81" s="141" t="s">
        <v>187</v>
      </c>
      <c r="E81" s="348">
        <v>1.0870826162281</v>
      </c>
      <c r="F81" s="261">
        <v>47061999.999999993</v>
      </c>
      <c r="G81" s="261">
        <v>1538545.0192534071</v>
      </c>
      <c r="H81" s="280">
        <v>757.5</v>
      </c>
      <c r="I81" s="281">
        <f t="shared" si="6"/>
        <v>4348.3304649124002</v>
      </c>
      <c r="J81" s="261">
        <f t="shared" si="8"/>
        <v>3293860.3271711431</v>
      </c>
      <c r="K81" s="261">
        <v>700000</v>
      </c>
      <c r="L81" s="280">
        <v>1634</v>
      </c>
      <c r="M81" s="282">
        <v>1603.5</v>
      </c>
      <c r="N81" s="283">
        <f t="shared" si="9"/>
        <v>30.5</v>
      </c>
      <c r="O81" s="261">
        <f t="shared" si="10"/>
        <v>183000</v>
      </c>
      <c r="P81" s="261">
        <f t="shared" si="7"/>
        <v>41346594.653575435</v>
      </c>
      <c r="Q81" s="284">
        <f t="shared" si="11"/>
        <v>20673297.326787718</v>
      </c>
    </row>
    <row r="82" spans="2:17" ht="15.4" x14ac:dyDescent="0.45">
      <c r="B82" s="140" t="s">
        <v>182</v>
      </c>
      <c r="C82" s="1">
        <v>306</v>
      </c>
      <c r="D82" s="141" t="s">
        <v>188</v>
      </c>
      <c r="E82" s="348">
        <v>1.0870826162281</v>
      </c>
      <c r="F82" s="261">
        <v>58819000</v>
      </c>
      <c r="G82" s="261">
        <v>1241508.511936096</v>
      </c>
      <c r="H82" s="280">
        <v>1000.5</v>
      </c>
      <c r="I82" s="281">
        <f t="shared" si="6"/>
        <v>4348.3304649124002</v>
      </c>
      <c r="J82" s="261">
        <f t="shared" si="8"/>
        <v>4350504.6301448559</v>
      </c>
      <c r="K82" s="261">
        <v>385000</v>
      </c>
      <c r="L82" s="280">
        <v>1754</v>
      </c>
      <c r="M82" s="282">
        <v>2067</v>
      </c>
      <c r="N82" s="283">
        <f t="shared" si="9"/>
        <v>-313</v>
      </c>
      <c r="O82" s="261">
        <f t="shared" si="10"/>
        <v>-1878000</v>
      </c>
      <c r="P82" s="261">
        <f t="shared" si="7"/>
        <v>54719986.857919045</v>
      </c>
      <c r="Q82" s="284">
        <f t="shared" si="11"/>
        <v>27359993.428959522</v>
      </c>
    </row>
    <row r="83" spans="2:17" ht="15.4" x14ac:dyDescent="0.45">
      <c r="B83" s="140" t="s">
        <v>182</v>
      </c>
      <c r="C83" s="1">
        <v>307</v>
      </c>
      <c r="D83" s="141" t="s">
        <v>189</v>
      </c>
      <c r="E83" s="348">
        <v>1.1488887055594839</v>
      </c>
      <c r="F83" s="261">
        <v>52641000</v>
      </c>
      <c r="G83" s="261">
        <v>586684.19229520555</v>
      </c>
      <c r="H83" s="280">
        <v>831.5</v>
      </c>
      <c r="I83" s="281">
        <f t="shared" si="6"/>
        <v>4595.5548222379357</v>
      </c>
      <c r="J83" s="261">
        <f t="shared" si="8"/>
        <v>3821203.8346908437</v>
      </c>
      <c r="K83" s="261">
        <v>0</v>
      </c>
      <c r="L83" s="280">
        <v>1454</v>
      </c>
      <c r="M83" s="282">
        <v>1616</v>
      </c>
      <c r="N83" s="283">
        <f t="shared" si="9"/>
        <v>-162</v>
      </c>
      <c r="O83" s="261">
        <f t="shared" si="10"/>
        <v>-972000</v>
      </c>
      <c r="P83" s="261">
        <f t="shared" si="7"/>
        <v>49205111.973013945</v>
      </c>
      <c r="Q83" s="284">
        <f t="shared" si="11"/>
        <v>24602555.986506972</v>
      </c>
    </row>
    <row r="84" spans="2:17" ht="15.4" x14ac:dyDescent="0.45">
      <c r="B84" s="140" t="s">
        <v>182</v>
      </c>
      <c r="C84" s="1">
        <v>308</v>
      </c>
      <c r="D84" s="141" t="s">
        <v>190</v>
      </c>
      <c r="E84" s="348">
        <v>1.0870826162281</v>
      </c>
      <c r="F84" s="261">
        <v>44604100.471112221</v>
      </c>
      <c r="G84" s="261">
        <v>456895.36640643538</v>
      </c>
      <c r="H84" s="280">
        <v>712</v>
      </c>
      <c r="I84" s="281">
        <f t="shared" si="6"/>
        <v>4348.3304649124002</v>
      </c>
      <c r="J84" s="261">
        <f t="shared" si="8"/>
        <v>3096011.2910176287</v>
      </c>
      <c r="K84" s="261">
        <v>388850</v>
      </c>
      <c r="L84" s="280">
        <v>1306</v>
      </c>
      <c r="M84" s="282">
        <v>1548</v>
      </c>
      <c r="N84" s="283">
        <f t="shared" si="9"/>
        <v>-242</v>
      </c>
      <c r="O84" s="261">
        <f t="shared" si="10"/>
        <v>-1452000</v>
      </c>
      <c r="P84" s="261">
        <f t="shared" si="7"/>
        <v>42114343.813688159</v>
      </c>
      <c r="Q84" s="284">
        <f t="shared" si="11"/>
        <v>21057171.906844079</v>
      </c>
    </row>
    <row r="85" spans="2:17" ht="15.4" x14ac:dyDescent="0.45">
      <c r="B85" s="140" t="s">
        <v>182</v>
      </c>
      <c r="C85" s="1">
        <v>203</v>
      </c>
      <c r="D85" s="141" t="s">
        <v>191</v>
      </c>
      <c r="E85" s="348">
        <v>1.205632878027378</v>
      </c>
      <c r="F85" s="261">
        <v>46008431</v>
      </c>
      <c r="G85" s="261">
        <v>1230942.9700020035</v>
      </c>
      <c r="H85" s="280">
        <v>512.5</v>
      </c>
      <c r="I85" s="281">
        <f t="shared" si="6"/>
        <v>4822.5315121095118</v>
      </c>
      <c r="J85" s="261">
        <f t="shared" si="8"/>
        <v>2471547.3999561248</v>
      </c>
      <c r="K85" s="261">
        <v>463431</v>
      </c>
      <c r="L85" s="280">
        <v>1217</v>
      </c>
      <c r="M85" s="282">
        <v>1184</v>
      </c>
      <c r="N85" s="283">
        <f t="shared" si="9"/>
        <v>33</v>
      </c>
      <c r="O85" s="261">
        <f t="shared" si="10"/>
        <v>198000</v>
      </c>
      <c r="P85" s="261">
        <f t="shared" si="7"/>
        <v>41644509.630041875</v>
      </c>
      <c r="Q85" s="284">
        <f t="shared" si="11"/>
        <v>20822254.815020937</v>
      </c>
    </row>
    <row r="86" spans="2:17" ht="15.4" x14ac:dyDescent="0.45">
      <c r="B86" s="140" t="s">
        <v>182</v>
      </c>
      <c r="C86" s="1">
        <v>310</v>
      </c>
      <c r="D86" s="141" t="s">
        <v>192</v>
      </c>
      <c r="E86" s="348">
        <v>1.1116135618035334</v>
      </c>
      <c r="F86" s="261">
        <v>32204395.814470083</v>
      </c>
      <c r="G86" s="261">
        <v>508789.12820416875</v>
      </c>
      <c r="H86" s="280">
        <v>525</v>
      </c>
      <c r="I86" s="281">
        <f t="shared" si="6"/>
        <v>4446.4542472141338</v>
      </c>
      <c r="J86" s="261">
        <f t="shared" si="8"/>
        <v>2334388.4797874205</v>
      </c>
      <c r="K86" s="261">
        <v>92000</v>
      </c>
      <c r="L86" s="280">
        <v>1151</v>
      </c>
      <c r="M86" s="282">
        <v>1163</v>
      </c>
      <c r="N86" s="283">
        <f t="shared" si="9"/>
        <v>-12</v>
      </c>
      <c r="O86" s="261">
        <f t="shared" si="10"/>
        <v>-72000</v>
      </c>
      <c r="P86" s="261">
        <f t="shared" si="7"/>
        <v>29341218.206478495</v>
      </c>
      <c r="Q86" s="284">
        <f t="shared" si="11"/>
        <v>14670609.103239248</v>
      </c>
    </row>
    <row r="87" spans="2:17" ht="15.4" x14ac:dyDescent="0.45">
      <c r="B87" s="140" t="s">
        <v>182</v>
      </c>
      <c r="C87" s="1">
        <v>311</v>
      </c>
      <c r="D87" s="141" t="s">
        <v>193</v>
      </c>
      <c r="E87" s="348">
        <v>1.0870826162281</v>
      </c>
      <c r="F87" s="261">
        <v>22698263</v>
      </c>
      <c r="G87" s="261">
        <v>321457.20888650371</v>
      </c>
      <c r="H87" s="280">
        <v>313</v>
      </c>
      <c r="I87" s="281">
        <f t="shared" si="6"/>
        <v>4348.3304649124002</v>
      </c>
      <c r="J87" s="261">
        <f t="shared" si="8"/>
        <v>1361027.4355175812</v>
      </c>
      <c r="K87" s="261">
        <v>78150</v>
      </c>
      <c r="L87" s="280">
        <v>989</v>
      </c>
      <c r="M87" s="282">
        <v>1034</v>
      </c>
      <c r="N87" s="283">
        <f t="shared" si="9"/>
        <v>-45</v>
      </c>
      <c r="O87" s="261">
        <f t="shared" si="10"/>
        <v>-270000</v>
      </c>
      <c r="P87" s="261">
        <f t="shared" si="7"/>
        <v>21207628.355595917</v>
      </c>
      <c r="Q87" s="284">
        <f t="shared" si="11"/>
        <v>10603814.177797958</v>
      </c>
    </row>
    <row r="88" spans="2:17" ht="15.4" x14ac:dyDescent="0.45">
      <c r="B88" s="140" t="s">
        <v>182</v>
      </c>
      <c r="C88" s="1">
        <v>312</v>
      </c>
      <c r="D88" s="141" t="s">
        <v>194</v>
      </c>
      <c r="E88" s="348">
        <v>1.1116135618035334</v>
      </c>
      <c r="F88" s="261">
        <v>35129999.999999993</v>
      </c>
      <c r="G88" s="261">
        <v>581675.21295163117</v>
      </c>
      <c r="H88" s="280">
        <v>684</v>
      </c>
      <c r="I88" s="281">
        <f t="shared" si="6"/>
        <v>4446.4542472141338</v>
      </c>
      <c r="J88" s="261">
        <f t="shared" si="8"/>
        <v>3041374.7050944674</v>
      </c>
      <c r="K88" s="261">
        <v>75000</v>
      </c>
      <c r="L88" s="280">
        <v>1448</v>
      </c>
      <c r="M88" s="282">
        <v>1522</v>
      </c>
      <c r="N88" s="283">
        <f t="shared" si="9"/>
        <v>-74</v>
      </c>
      <c r="O88" s="261">
        <f t="shared" si="10"/>
        <v>-444000</v>
      </c>
      <c r="P88" s="261">
        <f t="shared" si="7"/>
        <v>31875950.081953894</v>
      </c>
      <c r="Q88" s="284">
        <f t="shared" si="11"/>
        <v>15937975.040976947</v>
      </c>
    </row>
    <row r="89" spans="2:17" ht="15.4" x14ac:dyDescent="0.45">
      <c r="B89" s="140" t="s">
        <v>182</v>
      </c>
      <c r="C89" s="1">
        <v>313</v>
      </c>
      <c r="D89" s="141" t="s">
        <v>195</v>
      </c>
      <c r="E89" s="348">
        <v>1.1116135618035334</v>
      </c>
      <c r="F89" s="261">
        <v>46277000.000000007</v>
      </c>
      <c r="G89" s="261">
        <v>1405042.976745863</v>
      </c>
      <c r="H89" s="280">
        <v>604</v>
      </c>
      <c r="I89" s="281">
        <f t="shared" si="6"/>
        <v>4446.4542472141338</v>
      </c>
      <c r="J89" s="261">
        <f t="shared" si="8"/>
        <v>2685658.3653173367</v>
      </c>
      <c r="K89" s="261">
        <v>1160000</v>
      </c>
      <c r="L89" s="280">
        <v>1192</v>
      </c>
      <c r="M89" s="282">
        <v>1408</v>
      </c>
      <c r="N89" s="283">
        <f t="shared" si="9"/>
        <v>-216</v>
      </c>
      <c r="O89" s="261">
        <f t="shared" si="10"/>
        <v>-1296000</v>
      </c>
      <c r="P89" s="261">
        <f t="shared" si="7"/>
        <v>42322298.657936804</v>
      </c>
      <c r="Q89" s="284">
        <f t="shared" si="11"/>
        <v>21161149.328968402</v>
      </c>
    </row>
    <row r="90" spans="2:17" ht="15.4" x14ac:dyDescent="0.45">
      <c r="B90" s="140" t="s">
        <v>182</v>
      </c>
      <c r="C90" s="1">
        <v>314</v>
      </c>
      <c r="D90" s="141" t="s">
        <v>196</v>
      </c>
      <c r="E90" s="348">
        <v>1.1116135618035334</v>
      </c>
      <c r="F90" s="261">
        <v>20454999.999999996</v>
      </c>
      <c r="G90" s="261">
        <v>640333.59919178672</v>
      </c>
      <c r="H90" s="280">
        <v>431</v>
      </c>
      <c r="I90" s="281">
        <f t="shared" si="6"/>
        <v>4446.4542472141338</v>
      </c>
      <c r="J90" s="261">
        <f t="shared" si="8"/>
        <v>1916421.7805492918</v>
      </c>
      <c r="K90" s="261">
        <v>0</v>
      </c>
      <c r="L90" s="280">
        <v>685</v>
      </c>
      <c r="M90" s="282">
        <v>694</v>
      </c>
      <c r="N90" s="283">
        <f t="shared" si="9"/>
        <v>-9</v>
      </c>
      <c r="O90" s="261">
        <f t="shared" si="10"/>
        <v>-54000</v>
      </c>
      <c r="P90" s="261">
        <f t="shared" si="7"/>
        <v>17952244.620258916</v>
      </c>
      <c r="Q90" s="284">
        <f t="shared" si="11"/>
        <v>8976122.3101294581</v>
      </c>
    </row>
    <row r="91" spans="2:17" ht="15.4" x14ac:dyDescent="0.45">
      <c r="B91" s="140" t="s">
        <v>182</v>
      </c>
      <c r="C91" s="1">
        <v>315</v>
      </c>
      <c r="D91" s="141" t="s">
        <v>197</v>
      </c>
      <c r="E91" s="348">
        <v>1.1488887055594839</v>
      </c>
      <c r="F91" s="261">
        <v>32355999.999999996</v>
      </c>
      <c r="G91" s="261">
        <v>542044.37921417505</v>
      </c>
      <c r="H91" s="280">
        <v>447</v>
      </c>
      <c r="I91" s="281">
        <f t="shared" si="6"/>
        <v>4595.5548222379357</v>
      </c>
      <c r="J91" s="261">
        <f t="shared" si="8"/>
        <v>2054213.0055403572</v>
      </c>
      <c r="K91" s="261">
        <v>50000</v>
      </c>
      <c r="L91" s="280">
        <v>868</v>
      </c>
      <c r="M91" s="282">
        <v>1009</v>
      </c>
      <c r="N91" s="283">
        <f t="shared" si="9"/>
        <v>-141</v>
      </c>
      <c r="O91" s="261">
        <f t="shared" si="10"/>
        <v>-846000</v>
      </c>
      <c r="P91" s="261">
        <f t="shared" si="7"/>
        <v>30555742.615245465</v>
      </c>
      <c r="Q91" s="284">
        <f t="shared" si="11"/>
        <v>15277871.307622733</v>
      </c>
    </row>
    <row r="92" spans="2:17" ht="15.4" x14ac:dyDescent="0.45">
      <c r="B92" s="140" t="s">
        <v>182</v>
      </c>
      <c r="C92" s="1">
        <v>317</v>
      </c>
      <c r="D92" s="141" t="s">
        <v>198</v>
      </c>
      <c r="E92" s="348">
        <v>1.0870826162281</v>
      </c>
      <c r="F92" s="261">
        <v>41789615.447734587</v>
      </c>
      <c r="G92" s="261">
        <v>593713.49516613921</v>
      </c>
      <c r="H92" s="280">
        <v>567</v>
      </c>
      <c r="I92" s="281">
        <f t="shared" si="6"/>
        <v>4348.3304649124002</v>
      </c>
      <c r="J92" s="261">
        <f t="shared" si="8"/>
        <v>2465503.3736053309</v>
      </c>
      <c r="K92" s="261">
        <v>0</v>
      </c>
      <c r="L92" s="280">
        <v>1261</v>
      </c>
      <c r="M92" s="282">
        <v>1433</v>
      </c>
      <c r="N92" s="283">
        <f t="shared" si="9"/>
        <v>-172</v>
      </c>
      <c r="O92" s="261">
        <f t="shared" si="10"/>
        <v>-1032000</v>
      </c>
      <c r="P92" s="261">
        <f t="shared" si="7"/>
        <v>39762398.578963116</v>
      </c>
      <c r="Q92" s="284">
        <f t="shared" si="11"/>
        <v>19881199.289481558</v>
      </c>
    </row>
    <row r="93" spans="2:17" ht="15.4" x14ac:dyDescent="0.45">
      <c r="B93" s="140" t="s">
        <v>182</v>
      </c>
      <c r="C93" s="1">
        <v>318</v>
      </c>
      <c r="D93" s="141" t="s">
        <v>199</v>
      </c>
      <c r="E93" s="348">
        <v>1.1116135618035334</v>
      </c>
      <c r="F93" s="261">
        <v>24910000</v>
      </c>
      <c r="G93" s="261">
        <v>456458.3677747075</v>
      </c>
      <c r="H93" s="280">
        <v>358</v>
      </c>
      <c r="I93" s="281">
        <f t="shared" si="6"/>
        <v>4446.4542472141338</v>
      </c>
      <c r="J93" s="261">
        <f t="shared" si="8"/>
        <v>1591830.6205026598</v>
      </c>
      <c r="K93" s="261">
        <v>0</v>
      </c>
      <c r="L93" s="280">
        <v>820</v>
      </c>
      <c r="M93" s="282">
        <v>744</v>
      </c>
      <c r="N93" s="283">
        <f t="shared" si="9"/>
        <v>76</v>
      </c>
      <c r="O93" s="261">
        <f t="shared" si="10"/>
        <v>456000</v>
      </c>
      <c r="P93" s="261">
        <f t="shared" si="7"/>
        <v>22405711.011722635</v>
      </c>
      <c r="Q93" s="284">
        <f t="shared" si="11"/>
        <v>11202855.505861318</v>
      </c>
    </row>
    <row r="94" spans="2:17" ht="15.4" x14ac:dyDescent="0.45">
      <c r="B94" s="140" t="s">
        <v>182</v>
      </c>
      <c r="C94" s="1">
        <v>319</v>
      </c>
      <c r="D94" s="141" t="s">
        <v>200</v>
      </c>
      <c r="E94" s="348">
        <v>1.1116135618035334</v>
      </c>
      <c r="F94" s="261">
        <v>36954000</v>
      </c>
      <c r="G94" s="261">
        <v>1444505.6403291493</v>
      </c>
      <c r="H94" s="280">
        <v>462.5</v>
      </c>
      <c r="I94" s="281">
        <f t="shared" si="6"/>
        <v>4446.4542472141338</v>
      </c>
      <c r="J94" s="261">
        <f t="shared" si="8"/>
        <v>2056485.0893365368</v>
      </c>
      <c r="K94" s="261">
        <v>266000</v>
      </c>
      <c r="L94" s="280">
        <v>997</v>
      </c>
      <c r="M94" s="282">
        <v>1076</v>
      </c>
      <c r="N94" s="283">
        <f t="shared" si="9"/>
        <v>-79</v>
      </c>
      <c r="O94" s="261">
        <f t="shared" si="10"/>
        <v>-474000</v>
      </c>
      <c r="P94" s="261">
        <f t="shared" si="7"/>
        <v>33661009.270334311</v>
      </c>
      <c r="Q94" s="284">
        <f t="shared" si="11"/>
        <v>16830504.635167155</v>
      </c>
    </row>
    <row r="95" spans="2:17" ht="15.4" x14ac:dyDescent="0.45">
      <c r="B95" s="140" t="s">
        <v>182</v>
      </c>
      <c r="C95" s="1">
        <v>320</v>
      </c>
      <c r="D95" s="141" t="s">
        <v>201</v>
      </c>
      <c r="E95" s="348">
        <v>1.0870826162281</v>
      </c>
      <c r="F95" s="261">
        <v>36047352.855583295</v>
      </c>
      <c r="G95" s="261">
        <v>725471.47924791754</v>
      </c>
      <c r="H95" s="280">
        <v>746.5</v>
      </c>
      <c r="I95" s="281">
        <f t="shared" si="6"/>
        <v>4348.3304649124002</v>
      </c>
      <c r="J95" s="261">
        <f t="shared" si="8"/>
        <v>3246028.6920571066</v>
      </c>
      <c r="K95" s="261">
        <v>363000</v>
      </c>
      <c r="L95" s="280">
        <v>1385</v>
      </c>
      <c r="M95" s="282">
        <v>1320</v>
      </c>
      <c r="N95" s="283">
        <f t="shared" si="9"/>
        <v>65</v>
      </c>
      <c r="O95" s="261">
        <f t="shared" si="10"/>
        <v>390000</v>
      </c>
      <c r="P95" s="261">
        <f t="shared" si="7"/>
        <v>31322852.684278268</v>
      </c>
      <c r="Q95" s="284">
        <f t="shared" si="11"/>
        <v>15661426.342139134</v>
      </c>
    </row>
    <row r="96" spans="2:17" ht="15.4" x14ac:dyDescent="0.45">
      <c r="B96" s="140" t="s">
        <v>202</v>
      </c>
      <c r="C96" s="1">
        <v>867</v>
      </c>
      <c r="D96" s="141" t="s">
        <v>203</v>
      </c>
      <c r="E96" s="348">
        <v>1.0744343550114952</v>
      </c>
      <c r="F96" s="261">
        <v>15673028</v>
      </c>
      <c r="G96" s="261">
        <v>175451.91710609454</v>
      </c>
      <c r="H96" s="280">
        <v>193</v>
      </c>
      <c r="I96" s="281">
        <f t="shared" si="6"/>
        <v>4297.7374200459808</v>
      </c>
      <c r="J96" s="261">
        <f t="shared" si="8"/>
        <v>829463.32206887426</v>
      </c>
      <c r="K96" s="261">
        <v>20000</v>
      </c>
      <c r="L96" s="280">
        <v>458</v>
      </c>
      <c r="M96" s="282">
        <v>549</v>
      </c>
      <c r="N96" s="283">
        <f t="shared" si="9"/>
        <v>-91</v>
      </c>
      <c r="O96" s="261">
        <f t="shared" si="10"/>
        <v>-546000</v>
      </c>
      <c r="P96" s="261">
        <f t="shared" si="7"/>
        <v>15194112.760825032</v>
      </c>
      <c r="Q96" s="284">
        <f t="shared" si="11"/>
        <v>7597056.3804125162</v>
      </c>
    </row>
    <row r="97" spans="2:17" ht="15.4" x14ac:dyDescent="0.45">
      <c r="B97" s="140" t="s">
        <v>202</v>
      </c>
      <c r="C97" s="1">
        <v>846</v>
      </c>
      <c r="D97" s="141" t="s">
        <v>204</v>
      </c>
      <c r="E97" s="348">
        <v>1.0025438138502634</v>
      </c>
      <c r="F97" s="261">
        <v>24850000</v>
      </c>
      <c r="G97" s="261">
        <v>262623.08538437728</v>
      </c>
      <c r="H97" s="280">
        <v>460</v>
      </c>
      <c r="I97" s="281">
        <f t="shared" si="6"/>
        <v>4010.1752554010536</v>
      </c>
      <c r="J97" s="261">
        <f t="shared" si="8"/>
        <v>1844680.6174844846</v>
      </c>
      <c r="K97" s="261">
        <v>0</v>
      </c>
      <c r="L97" s="280">
        <v>887</v>
      </c>
      <c r="M97" s="282">
        <v>918</v>
      </c>
      <c r="N97" s="283">
        <f t="shared" si="9"/>
        <v>-31</v>
      </c>
      <c r="O97" s="261">
        <f t="shared" si="10"/>
        <v>-186000</v>
      </c>
      <c r="P97" s="261">
        <f t="shared" si="7"/>
        <v>22928696.29713114</v>
      </c>
      <c r="Q97" s="284">
        <f t="shared" si="11"/>
        <v>11464348.14856557</v>
      </c>
    </row>
    <row r="98" spans="2:17" ht="15.4" x14ac:dyDescent="0.45">
      <c r="B98" s="140" t="s">
        <v>202</v>
      </c>
      <c r="C98" s="1">
        <v>825</v>
      </c>
      <c r="D98" s="141" t="s">
        <v>205</v>
      </c>
      <c r="E98" s="348">
        <v>1.0480374594349251</v>
      </c>
      <c r="F98" s="261">
        <v>79785000</v>
      </c>
      <c r="G98" s="261">
        <v>953568.09279727156</v>
      </c>
      <c r="H98" s="280">
        <v>1468</v>
      </c>
      <c r="I98" s="281">
        <f t="shared" si="6"/>
        <v>4192.1498377397002</v>
      </c>
      <c r="J98" s="261">
        <f t="shared" si="8"/>
        <v>6154075.96180188</v>
      </c>
      <c r="K98" s="261">
        <v>237490</v>
      </c>
      <c r="L98" s="280">
        <v>2734</v>
      </c>
      <c r="M98" s="282">
        <v>2932</v>
      </c>
      <c r="N98" s="283">
        <f t="shared" si="9"/>
        <v>-198</v>
      </c>
      <c r="O98" s="261">
        <f t="shared" si="10"/>
        <v>-1188000</v>
      </c>
      <c r="P98" s="261">
        <f t="shared" si="7"/>
        <v>73627865.945400849</v>
      </c>
      <c r="Q98" s="284">
        <f t="shared" si="11"/>
        <v>36813932.972700424</v>
      </c>
    </row>
    <row r="99" spans="2:17" ht="15.4" x14ac:dyDescent="0.45">
      <c r="B99" s="140" t="s">
        <v>202</v>
      </c>
      <c r="C99" s="1">
        <v>845</v>
      </c>
      <c r="D99" s="141" t="s">
        <v>206</v>
      </c>
      <c r="E99" s="348">
        <v>1.0025438138502634</v>
      </c>
      <c r="F99" s="261">
        <v>50509000</v>
      </c>
      <c r="G99" s="261">
        <v>549709.53760675387</v>
      </c>
      <c r="H99" s="280">
        <v>1029.5</v>
      </c>
      <c r="I99" s="281">
        <f t="shared" si="6"/>
        <v>4010.1752554010536</v>
      </c>
      <c r="J99" s="261">
        <f t="shared" si="8"/>
        <v>4128475.4254353847</v>
      </c>
      <c r="K99" s="261">
        <v>0</v>
      </c>
      <c r="L99" s="280">
        <v>2161</v>
      </c>
      <c r="M99" s="282">
        <v>2269</v>
      </c>
      <c r="N99" s="283">
        <f t="shared" si="9"/>
        <v>-108</v>
      </c>
      <c r="O99" s="261">
        <f t="shared" si="10"/>
        <v>-648000</v>
      </c>
      <c r="P99" s="261">
        <f t="shared" si="7"/>
        <v>46478815.03695786</v>
      </c>
      <c r="Q99" s="284">
        <f t="shared" si="11"/>
        <v>23239407.51847893</v>
      </c>
    </row>
    <row r="100" spans="2:17" ht="15.4" x14ac:dyDescent="0.45">
      <c r="B100" s="140" t="s">
        <v>202</v>
      </c>
      <c r="C100" s="1">
        <v>850</v>
      </c>
      <c r="D100" s="141" t="s">
        <v>207</v>
      </c>
      <c r="E100" s="348">
        <v>1.0213260495386489</v>
      </c>
      <c r="F100" s="261">
        <v>107228000</v>
      </c>
      <c r="G100" s="261">
        <v>2093529.8004539716</v>
      </c>
      <c r="H100" s="280">
        <v>2841.5</v>
      </c>
      <c r="I100" s="281">
        <f t="shared" si="6"/>
        <v>4085.3041981545957</v>
      </c>
      <c r="J100" s="261">
        <f t="shared" si="8"/>
        <v>11608391.879056284</v>
      </c>
      <c r="K100" s="261">
        <v>2773000</v>
      </c>
      <c r="L100" s="280">
        <v>5107</v>
      </c>
      <c r="M100" s="282">
        <v>5318</v>
      </c>
      <c r="N100" s="283">
        <f t="shared" si="9"/>
        <v>-211</v>
      </c>
      <c r="O100" s="261">
        <f t="shared" si="10"/>
        <v>-1266000</v>
      </c>
      <c r="P100" s="261">
        <f t="shared" si="7"/>
        <v>92019078.320489734</v>
      </c>
      <c r="Q100" s="284">
        <f t="shared" si="11"/>
        <v>46009539.160244867</v>
      </c>
    </row>
    <row r="101" spans="2:17" ht="15.4" x14ac:dyDescent="0.45">
      <c r="B101" s="140" t="s">
        <v>202</v>
      </c>
      <c r="C101" s="1">
        <v>921</v>
      </c>
      <c r="D101" s="141" t="s">
        <v>208</v>
      </c>
      <c r="E101" s="348">
        <v>1.0213260495386489</v>
      </c>
      <c r="F101" s="261">
        <v>14878000</v>
      </c>
      <c r="G101" s="261">
        <v>187083.39616744313</v>
      </c>
      <c r="H101" s="280">
        <v>234.5</v>
      </c>
      <c r="I101" s="281">
        <f t="shared" si="6"/>
        <v>4085.3041981545957</v>
      </c>
      <c r="J101" s="261">
        <f t="shared" si="8"/>
        <v>958003.83446725272</v>
      </c>
      <c r="K101" s="261">
        <v>12000</v>
      </c>
      <c r="L101" s="280">
        <v>667</v>
      </c>
      <c r="M101" s="282">
        <v>696</v>
      </c>
      <c r="N101" s="283">
        <f t="shared" si="9"/>
        <v>-29</v>
      </c>
      <c r="O101" s="261">
        <f t="shared" si="10"/>
        <v>-174000</v>
      </c>
      <c r="P101" s="261">
        <f t="shared" si="7"/>
        <v>13894912.769365305</v>
      </c>
      <c r="Q101" s="284">
        <f t="shared" si="11"/>
        <v>6947456.3846826525</v>
      </c>
    </row>
    <row r="102" spans="2:17" ht="15.4" x14ac:dyDescent="0.45">
      <c r="B102" s="140" t="s">
        <v>202</v>
      </c>
      <c r="C102" s="1">
        <v>886</v>
      </c>
      <c r="D102" s="141" t="s">
        <v>209</v>
      </c>
      <c r="E102" s="348">
        <v>1.0077014294588473</v>
      </c>
      <c r="F102" s="261">
        <v>198170384.38263196</v>
      </c>
      <c r="G102" s="261">
        <v>3674610.8919223817</v>
      </c>
      <c r="H102" s="280">
        <v>4209.5</v>
      </c>
      <c r="I102" s="281">
        <f t="shared" si="6"/>
        <v>4030.8057178353893</v>
      </c>
      <c r="J102" s="261">
        <f t="shared" si="8"/>
        <v>16967676.669228069</v>
      </c>
      <c r="K102" s="261">
        <v>2972754</v>
      </c>
      <c r="L102" s="280">
        <v>7156</v>
      </c>
      <c r="M102" s="282">
        <v>7360</v>
      </c>
      <c r="N102" s="283">
        <f t="shared" si="9"/>
        <v>-204</v>
      </c>
      <c r="O102" s="261">
        <f t="shared" si="10"/>
        <v>-1224000</v>
      </c>
      <c r="P102" s="261">
        <f t="shared" si="7"/>
        <v>175779342.8214815</v>
      </c>
      <c r="Q102" s="284">
        <f t="shared" si="11"/>
        <v>87889671.410740748</v>
      </c>
    </row>
    <row r="103" spans="2:17" ht="15.4" x14ac:dyDescent="0.45">
      <c r="B103" s="140" t="s">
        <v>202</v>
      </c>
      <c r="C103" s="1">
        <v>887</v>
      </c>
      <c r="D103" s="141" t="s">
        <v>210</v>
      </c>
      <c r="E103" s="348">
        <v>1.0010615758871764</v>
      </c>
      <c r="F103" s="261">
        <v>37383544.019999996</v>
      </c>
      <c r="G103" s="261">
        <v>1658373.3355208421</v>
      </c>
      <c r="H103" s="280">
        <v>837</v>
      </c>
      <c r="I103" s="281">
        <f t="shared" si="6"/>
        <v>4004.2463035487053</v>
      </c>
      <c r="J103" s="261">
        <f t="shared" si="8"/>
        <v>3351554.1560702664</v>
      </c>
      <c r="K103" s="261">
        <v>0</v>
      </c>
      <c r="L103" s="280">
        <v>1115</v>
      </c>
      <c r="M103" s="282">
        <v>1114</v>
      </c>
      <c r="N103" s="283">
        <f t="shared" si="9"/>
        <v>1</v>
      </c>
      <c r="O103" s="261">
        <f t="shared" si="10"/>
        <v>6000</v>
      </c>
      <c r="P103" s="261">
        <f t="shared" si="7"/>
        <v>32367616.528408889</v>
      </c>
      <c r="Q103" s="284">
        <f t="shared" si="11"/>
        <v>16183808.264204444</v>
      </c>
    </row>
    <row r="104" spans="2:17" ht="15.4" x14ac:dyDescent="0.45">
      <c r="B104" s="140" t="s">
        <v>202</v>
      </c>
      <c r="C104" s="1">
        <v>826</v>
      </c>
      <c r="D104" s="141" t="s">
        <v>211</v>
      </c>
      <c r="E104" s="348">
        <v>1.0431206446350318</v>
      </c>
      <c r="F104" s="261">
        <v>39034783.791999996</v>
      </c>
      <c r="G104" s="261">
        <v>510611.8656989641</v>
      </c>
      <c r="H104" s="280">
        <v>822</v>
      </c>
      <c r="I104" s="281">
        <f t="shared" si="6"/>
        <v>4172.4825785401272</v>
      </c>
      <c r="J104" s="261">
        <f t="shared" si="8"/>
        <v>3429780.6795599847</v>
      </c>
      <c r="K104" s="261">
        <v>0</v>
      </c>
      <c r="L104" s="280">
        <v>1367</v>
      </c>
      <c r="M104" s="282">
        <v>1366</v>
      </c>
      <c r="N104" s="283">
        <f t="shared" si="9"/>
        <v>1</v>
      </c>
      <c r="O104" s="261">
        <f t="shared" si="10"/>
        <v>6000</v>
      </c>
      <c r="P104" s="261">
        <f t="shared" si="7"/>
        <v>35088391.246741049</v>
      </c>
      <c r="Q104" s="284">
        <f t="shared" si="11"/>
        <v>17544195.623370524</v>
      </c>
    </row>
    <row r="105" spans="2:17" ht="15.4" x14ac:dyDescent="0.45">
      <c r="B105" s="140" t="s">
        <v>202</v>
      </c>
      <c r="C105" s="1">
        <v>931</v>
      </c>
      <c r="D105" s="141" t="s">
        <v>212</v>
      </c>
      <c r="E105" s="348">
        <v>1.0333689168320959</v>
      </c>
      <c r="F105" s="261">
        <v>58980000.000000007</v>
      </c>
      <c r="G105" s="261">
        <v>579232.0845799332</v>
      </c>
      <c r="H105" s="280">
        <v>1098.5</v>
      </c>
      <c r="I105" s="281">
        <f t="shared" si="6"/>
        <v>4133.4756673283837</v>
      </c>
      <c r="J105" s="261">
        <f t="shared" si="8"/>
        <v>4540623.0205602292</v>
      </c>
      <c r="K105" s="261">
        <v>1607000</v>
      </c>
      <c r="L105" s="280">
        <v>2405</v>
      </c>
      <c r="M105" s="282">
        <v>2240</v>
      </c>
      <c r="N105" s="283">
        <f t="shared" si="9"/>
        <v>165</v>
      </c>
      <c r="O105" s="261">
        <f t="shared" si="10"/>
        <v>990000</v>
      </c>
      <c r="P105" s="261">
        <f t="shared" si="7"/>
        <v>51263144.89485985</v>
      </c>
      <c r="Q105" s="284">
        <f t="shared" si="11"/>
        <v>25631572.447429925</v>
      </c>
    </row>
    <row r="106" spans="2:17" ht="15.4" x14ac:dyDescent="0.45">
      <c r="B106" s="140" t="s">
        <v>202</v>
      </c>
      <c r="C106" s="1">
        <v>851</v>
      </c>
      <c r="D106" s="141" t="s">
        <v>213</v>
      </c>
      <c r="E106" s="348">
        <v>1.0213260495386489</v>
      </c>
      <c r="F106" s="261">
        <v>19459000</v>
      </c>
      <c r="G106" s="261">
        <v>285608.0858518515</v>
      </c>
      <c r="H106" s="280">
        <v>503</v>
      </c>
      <c r="I106" s="281">
        <f t="shared" si="6"/>
        <v>4085.3041981545957</v>
      </c>
      <c r="J106" s="261">
        <f t="shared" si="8"/>
        <v>2054908.0116717617</v>
      </c>
      <c r="K106" s="261">
        <v>660000</v>
      </c>
      <c r="L106" s="280">
        <v>906</v>
      </c>
      <c r="M106" s="282">
        <v>897</v>
      </c>
      <c r="N106" s="283">
        <f t="shared" si="9"/>
        <v>9</v>
      </c>
      <c r="O106" s="261">
        <f t="shared" si="10"/>
        <v>54000</v>
      </c>
      <c r="P106" s="261">
        <f t="shared" si="7"/>
        <v>16404483.902476385</v>
      </c>
      <c r="Q106" s="284">
        <f t="shared" si="11"/>
        <v>8202241.9512381926</v>
      </c>
    </row>
    <row r="107" spans="2:17" ht="15.4" x14ac:dyDescent="0.45">
      <c r="B107" s="140" t="s">
        <v>202</v>
      </c>
      <c r="C107" s="1">
        <v>870</v>
      </c>
      <c r="D107" s="141" t="s">
        <v>214</v>
      </c>
      <c r="E107" s="348">
        <v>1.0522356053683966</v>
      </c>
      <c r="F107" s="261">
        <v>19261400</v>
      </c>
      <c r="G107" s="261">
        <v>378890.64054719941</v>
      </c>
      <c r="H107" s="280">
        <v>239</v>
      </c>
      <c r="I107" s="281">
        <f t="shared" si="6"/>
        <v>4208.9424214735864</v>
      </c>
      <c r="J107" s="261">
        <f t="shared" si="8"/>
        <v>1005937.2387321872</v>
      </c>
      <c r="K107" s="261">
        <v>181000</v>
      </c>
      <c r="L107" s="280">
        <v>408</v>
      </c>
      <c r="M107" s="282">
        <v>731</v>
      </c>
      <c r="N107" s="283">
        <f t="shared" si="9"/>
        <v>-323</v>
      </c>
      <c r="O107" s="261">
        <f t="shared" si="10"/>
        <v>-1938000</v>
      </c>
      <c r="P107" s="261">
        <f t="shared" si="7"/>
        <v>19633572.12072061</v>
      </c>
      <c r="Q107" s="284">
        <f t="shared" si="11"/>
        <v>9816786.060360305</v>
      </c>
    </row>
    <row r="108" spans="2:17" ht="15.4" x14ac:dyDescent="0.45">
      <c r="B108" s="140" t="s">
        <v>202</v>
      </c>
      <c r="C108" s="1">
        <v>871</v>
      </c>
      <c r="D108" s="141" t="s">
        <v>215</v>
      </c>
      <c r="E108" s="348">
        <v>1.0744343550114952</v>
      </c>
      <c r="F108" s="261">
        <v>23221000</v>
      </c>
      <c r="G108" s="261">
        <v>927918.82957875764</v>
      </c>
      <c r="H108" s="280">
        <v>324</v>
      </c>
      <c r="I108" s="281">
        <f t="shared" si="6"/>
        <v>4297.7374200459808</v>
      </c>
      <c r="J108" s="261">
        <f t="shared" si="8"/>
        <v>1392466.9240948977</v>
      </c>
      <c r="K108" s="261">
        <v>120000</v>
      </c>
      <c r="L108" s="280">
        <v>803</v>
      </c>
      <c r="M108" s="282">
        <v>818</v>
      </c>
      <c r="N108" s="283">
        <f t="shared" si="9"/>
        <v>-15</v>
      </c>
      <c r="O108" s="261">
        <f t="shared" si="10"/>
        <v>-90000</v>
      </c>
      <c r="P108" s="261">
        <f t="shared" si="7"/>
        <v>20870614.246326346</v>
      </c>
      <c r="Q108" s="284">
        <f t="shared" si="11"/>
        <v>10435307.123163173</v>
      </c>
    </row>
    <row r="109" spans="2:17" ht="15.4" x14ac:dyDescent="0.45">
      <c r="B109" s="140" t="s">
        <v>202</v>
      </c>
      <c r="C109" s="1">
        <v>852</v>
      </c>
      <c r="D109" s="141" t="s">
        <v>216</v>
      </c>
      <c r="E109" s="348">
        <v>1.0213260495386489</v>
      </c>
      <c r="F109" s="261">
        <v>22619942.427974936</v>
      </c>
      <c r="G109" s="261">
        <v>128107.90828008438</v>
      </c>
      <c r="H109" s="280">
        <v>513</v>
      </c>
      <c r="I109" s="281">
        <f t="shared" si="6"/>
        <v>4085.3041981545957</v>
      </c>
      <c r="J109" s="261">
        <f t="shared" si="8"/>
        <v>2095761.0536533075</v>
      </c>
      <c r="K109" s="261">
        <v>0</v>
      </c>
      <c r="L109" s="280">
        <v>973</v>
      </c>
      <c r="M109" s="282">
        <v>963</v>
      </c>
      <c r="N109" s="283">
        <f t="shared" si="9"/>
        <v>10</v>
      </c>
      <c r="O109" s="261">
        <f t="shared" si="10"/>
        <v>60000</v>
      </c>
      <c r="P109" s="261">
        <f t="shared" si="7"/>
        <v>20336073.466041543</v>
      </c>
      <c r="Q109" s="284">
        <f t="shared" si="11"/>
        <v>10168036.733020771</v>
      </c>
    </row>
    <row r="110" spans="2:17" ht="15.4" x14ac:dyDescent="0.45">
      <c r="B110" s="140" t="s">
        <v>202</v>
      </c>
      <c r="C110" s="1">
        <v>936</v>
      </c>
      <c r="D110" s="141" t="s">
        <v>217</v>
      </c>
      <c r="E110" s="348">
        <v>1.0744343550114952</v>
      </c>
      <c r="F110" s="261">
        <v>142348000.00000003</v>
      </c>
      <c r="G110" s="261">
        <v>2602419.425808995</v>
      </c>
      <c r="H110" s="280">
        <v>2631</v>
      </c>
      <c r="I110" s="281">
        <f t="shared" si="6"/>
        <v>4297.7374200459808</v>
      </c>
      <c r="J110" s="261">
        <f t="shared" si="8"/>
        <v>11307347.152140975</v>
      </c>
      <c r="K110" s="261">
        <v>634000</v>
      </c>
      <c r="L110" s="280">
        <v>5132</v>
      </c>
      <c r="M110" s="282">
        <v>5326</v>
      </c>
      <c r="N110" s="283">
        <f t="shared" si="9"/>
        <v>-194</v>
      </c>
      <c r="O110" s="261">
        <f t="shared" si="10"/>
        <v>-1164000</v>
      </c>
      <c r="P110" s="261">
        <f t="shared" si="7"/>
        <v>128968233.42205006</v>
      </c>
      <c r="Q110" s="284">
        <f t="shared" si="11"/>
        <v>64484116.711025029</v>
      </c>
    </row>
    <row r="111" spans="2:17" ht="15.4" x14ac:dyDescent="0.45">
      <c r="B111" s="140" t="s">
        <v>202</v>
      </c>
      <c r="C111" s="1">
        <v>869</v>
      </c>
      <c r="D111" s="141" t="s">
        <v>218</v>
      </c>
      <c r="E111" s="348">
        <v>1.0522356053683966</v>
      </c>
      <c r="F111" s="261">
        <v>20056000</v>
      </c>
      <c r="G111" s="261">
        <v>548007.61759583943</v>
      </c>
      <c r="H111" s="280">
        <v>420.5</v>
      </c>
      <c r="I111" s="281">
        <f t="shared" si="6"/>
        <v>4208.9424214735864</v>
      </c>
      <c r="J111" s="261">
        <f t="shared" si="8"/>
        <v>1769860.2882296431</v>
      </c>
      <c r="K111" s="261">
        <v>45000</v>
      </c>
      <c r="L111" s="280">
        <v>834.5</v>
      </c>
      <c r="M111" s="282">
        <v>692</v>
      </c>
      <c r="N111" s="283">
        <f t="shared" si="9"/>
        <v>142.5</v>
      </c>
      <c r="O111" s="261">
        <f t="shared" si="10"/>
        <v>855000</v>
      </c>
      <c r="P111" s="261">
        <f t="shared" si="7"/>
        <v>16838132.094174515</v>
      </c>
      <c r="Q111" s="284">
        <f t="shared" si="11"/>
        <v>8419066.0470872577</v>
      </c>
    </row>
    <row r="112" spans="2:17" ht="15.4" x14ac:dyDescent="0.45">
      <c r="B112" s="140" t="s">
        <v>202</v>
      </c>
      <c r="C112" s="1">
        <v>938</v>
      </c>
      <c r="D112" s="141" t="s">
        <v>219</v>
      </c>
      <c r="E112" s="348">
        <v>1.0111639788232589</v>
      </c>
      <c r="F112" s="261">
        <v>77405999.999999985</v>
      </c>
      <c r="G112" s="261">
        <v>1336101.5975757418</v>
      </c>
      <c r="H112" s="280">
        <v>1858.5</v>
      </c>
      <c r="I112" s="281">
        <f t="shared" si="6"/>
        <v>4044.6559152930358</v>
      </c>
      <c r="J112" s="261">
        <f t="shared" si="8"/>
        <v>7516993.018572107</v>
      </c>
      <c r="K112" s="261">
        <v>529100</v>
      </c>
      <c r="L112" s="280">
        <v>3202</v>
      </c>
      <c r="M112" s="282">
        <v>3412</v>
      </c>
      <c r="N112" s="283">
        <f t="shared" si="9"/>
        <v>-210</v>
      </c>
      <c r="O112" s="261">
        <f t="shared" si="10"/>
        <v>-1260000</v>
      </c>
      <c r="P112" s="261">
        <f t="shared" si="7"/>
        <v>69283805.383852139</v>
      </c>
      <c r="Q112" s="284">
        <f t="shared" si="11"/>
        <v>34641902.69192607</v>
      </c>
    </row>
    <row r="113" spans="2:17" ht="15.4" x14ac:dyDescent="0.45">
      <c r="B113" s="140" t="s">
        <v>202</v>
      </c>
      <c r="C113" s="1">
        <v>868</v>
      </c>
      <c r="D113" s="141" t="s">
        <v>220</v>
      </c>
      <c r="E113" s="348">
        <v>1.0744343550114952</v>
      </c>
      <c r="F113" s="261">
        <v>18718499.999999996</v>
      </c>
      <c r="G113" s="261">
        <v>226427.81189704058</v>
      </c>
      <c r="H113" s="280">
        <v>317</v>
      </c>
      <c r="I113" s="281">
        <f t="shared" si="6"/>
        <v>4297.7374200459808</v>
      </c>
      <c r="J113" s="261">
        <f t="shared" si="8"/>
        <v>1362382.7621545759</v>
      </c>
      <c r="K113" s="261">
        <v>32700</v>
      </c>
      <c r="L113" s="280">
        <v>736</v>
      </c>
      <c r="M113" s="282">
        <v>633</v>
      </c>
      <c r="N113" s="283">
        <f t="shared" si="9"/>
        <v>103</v>
      </c>
      <c r="O113" s="261">
        <f t="shared" si="10"/>
        <v>618000</v>
      </c>
      <c r="P113" s="261">
        <f t="shared" si="7"/>
        <v>16478989.425948381</v>
      </c>
      <c r="Q113" s="284">
        <f t="shared" si="11"/>
        <v>8239494.7129741907</v>
      </c>
    </row>
    <row r="114" spans="2:17" ht="15.4" x14ac:dyDescent="0.45">
      <c r="B114" s="140" t="s">
        <v>202</v>
      </c>
      <c r="C114" s="1">
        <v>872</v>
      </c>
      <c r="D114" s="141" t="s">
        <v>221</v>
      </c>
      <c r="E114" s="348">
        <v>1.0522356053683966</v>
      </c>
      <c r="F114" s="261">
        <v>18049607.629999999</v>
      </c>
      <c r="G114" s="261">
        <v>263710.77786043065</v>
      </c>
      <c r="H114" s="280">
        <v>299</v>
      </c>
      <c r="I114" s="281">
        <f t="shared" si="6"/>
        <v>4208.9424214735864</v>
      </c>
      <c r="J114" s="261">
        <f t="shared" si="8"/>
        <v>1258473.7840206022</v>
      </c>
      <c r="K114" s="261">
        <v>220000</v>
      </c>
      <c r="L114" s="280">
        <v>629</v>
      </c>
      <c r="M114" s="282">
        <v>718</v>
      </c>
      <c r="N114" s="283">
        <f t="shared" si="9"/>
        <v>-89</v>
      </c>
      <c r="O114" s="261">
        <f t="shared" si="10"/>
        <v>-534000</v>
      </c>
      <c r="P114" s="261">
        <f t="shared" si="7"/>
        <v>16841423.068118967</v>
      </c>
      <c r="Q114" s="284">
        <f t="shared" si="11"/>
        <v>8420711.5340594836</v>
      </c>
    </row>
    <row r="115" spans="2:17" ht="15.4" x14ac:dyDescent="0.45">
      <c r="B115" s="140" t="s">
        <v>222</v>
      </c>
      <c r="C115" s="1">
        <v>800</v>
      </c>
      <c r="D115" s="141" t="s">
        <v>223</v>
      </c>
      <c r="E115" s="348">
        <v>1.021975426906069</v>
      </c>
      <c r="F115" s="261">
        <v>22832000</v>
      </c>
      <c r="G115" s="261">
        <v>131208.26762753667</v>
      </c>
      <c r="H115" s="280">
        <v>482</v>
      </c>
      <c r="I115" s="281">
        <f t="shared" si="6"/>
        <v>4087.9017076242762</v>
      </c>
      <c r="J115" s="261">
        <f t="shared" si="8"/>
        <v>1970368.6230749011</v>
      </c>
      <c r="K115" s="261">
        <v>308000</v>
      </c>
      <c r="L115" s="280">
        <v>985</v>
      </c>
      <c r="M115" s="282">
        <v>943</v>
      </c>
      <c r="N115" s="283">
        <f t="shared" si="9"/>
        <v>42</v>
      </c>
      <c r="O115" s="261">
        <f t="shared" si="10"/>
        <v>252000</v>
      </c>
      <c r="P115" s="261">
        <f t="shared" si="7"/>
        <v>20170423.109297562</v>
      </c>
      <c r="Q115" s="284">
        <f t="shared" si="11"/>
        <v>10085211.554648781</v>
      </c>
    </row>
    <row r="116" spans="2:17" ht="15.4" x14ac:dyDescent="0.45">
      <c r="B116" s="140" t="s">
        <v>222</v>
      </c>
      <c r="C116" s="1">
        <v>837</v>
      </c>
      <c r="D116" s="141" t="s">
        <v>224</v>
      </c>
      <c r="E116" s="348">
        <v>1</v>
      </c>
      <c r="F116" s="261">
        <v>18040000</v>
      </c>
      <c r="G116" s="261">
        <v>66987.764110322576</v>
      </c>
      <c r="H116" s="280">
        <v>431.5</v>
      </c>
      <c r="I116" s="281">
        <f t="shared" si="6"/>
        <v>4000</v>
      </c>
      <c r="J116" s="261">
        <f t="shared" si="8"/>
        <v>1726000</v>
      </c>
      <c r="K116" s="261">
        <v>0</v>
      </c>
      <c r="L116" s="280">
        <v>679</v>
      </c>
      <c r="M116" s="282">
        <v>712</v>
      </c>
      <c r="N116" s="283">
        <f t="shared" si="9"/>
        <v>-33</v>
      </c>
      <c r="O116" s="261">
        <f t="shared" si="10"/>
        <v>-198000</v>
      </c>
      <c r="P116" s="261">
        <f t="shared" si="7"/>
        <v>16445012.235889677</v>
      </c>
      <c r="Q116" s="284">
        <f t="shared" si="11"/>
        <v>8222506.1179448385</v>
      </c>
    </row>
    <row r="117" spans="2:17" ht="15.4" x14ac:dyDescent="0.45">
      <c r="B117" s="140" t="s">
        <v>222</v>
      </c>
      <c r="C117" s="1">
        <v>801</v>
      </c>
      <c r="D117" s="141" t="s">
        <v>225</v>
      </c>
      <c r="E117" s="348">
        <v>1.021975426906069</v>
      </c>
      <c r="F117" s="261">
        <v>50667390.000000007</v>
      </c>
      <c r="G117" s="261">
        <v>997239.24013789243</v>
      </c>
      <c r="H117" s="280">
        <v>831</v>
      </c>
      <c r="I117" s="281">
        <f t="shared" si="6"/>
        <v>4087.9017076242762</v>
      </c>
      <c r="J117" s="261">
        <f t="shared" si="8"/>
        <v>3397046.3190357736</v>
      </c>
      <c r="K117" s="261">
        <v>2005710</v>
      </c>
      <c r="L117" s="280">
        <v>2015</v>
      </c>
      <c r="M117" s="282">
        <v>2020</v>
      </c>
      <c r="N117" s="283">
        <f t="shared" si="9"/>
        <v>-5</v>
      </c>
      <c r="O117" s="261">
        <f t="shared" si="10"/>
        <v>-30000</v>
      </c>
      <c r="P117" s="261">
        <f t="shared" si="7"/>
        <v>44297394.440826342</v>
      </c>
      <c r="Q117" s="284">
        <f t="shared" si="11"/>
        <v>22148697.220413171</v>
      </c>
    </row>
    <row r="118" spans="2:17" ht="15.4" x14ac:dyDescent="0.45">
      <c r="B118" s="140" t="s">
        <v>222</v>
      </c>
      <c r="C118" s="1">
        <v>908</v>
      </c>
      <c r="D118" s="141" t="s">
        <v>226</v>
      </c>
      <c r="E118" s="348">
        <v>1</v>
      </c>
      <c r="F118" s="261">
        <v>40068000</v>
      </c>
      <c r="G118" s="261">
        <v>1046572.6709775293</v>
      </c>
      <c r="H118" s="280">
        <v>467</v>
      </c>
      <c r="I118" s="281">
        <f t="shared" si="6"/>
        <v>4000</v>
      </c>
      <c r="J118" s="261">
        <f t="shared" si="8"/>
        <v>1868000</v>
      </c>
      <c r="K118" s="261">
        <v>894000</v>
      </c>
      <c r="L118" s="280">
        <v>1580</v>
      </c>
      <c r="M118" s="282">
        <v>1595</v>
      </c>
      <c r="N118" s="283">
        <f t="shared" si="9"/>
        <v>-15</v>
      </c>
      <c r="O118" s="261">
        <f t="shared" si="10"/>
        <v>-90000</v>
      </c>
      <c r="P118" s="261">
        <f t="shared" si="7"/>
        <v>36349427.329022467</v>
      </c>
      <c r="Q118" s="284">
        <f t="shared" si="11"/>
        <v>18174713.664511234</v>
      </c>
    </row>
    <row r="119" spans="2:17" ht="15.4" x14ac:dyDescent="0.45">
      <c r="B119" s="140" t="s">
        <v>222</v>
      </c>
      <c r="C119" s="1">
        <v>878</v>
      </c>
      <c r="D119" s="141" t="s">
        <v>227</v>
      </c>
      <c r="E119" s="348">
        <v>1</v>
      </c>
      <c r="F119" s="261">
        <v>66640572</v>
      </c>
      <c r="G119" s="261">
        <v>356112.68446020212</v>
      </c>
      <c r="H119" s="280">
        <v>1200</v>
      </c>
      <c r="I119" s="281">
        <f t="shared" si="6"/>
        <v>4000</v>
      </c>
      <c r="J119" s="261">
        <f t="shared" si="8"/>
        <v>4800000</v>
      </c>
      <c r="K119" s="261">
        <v>1912000.0000000002</v>
      </c>
      <c r="L119" s="280">
        <v>3461</v>
      </c>
      <c r="M119" s="282">
        <v>3769</v>
      </c>
      <c r="N119" s="283">
        <f t="shared" si="9"/>
        <v>-308</v>
      </c>
      <c r="O119" s="261">
        <f t="shared" si="10"/>
        <v>-1848000</v>
      </c>
      <c r="P119" s="261">
        <f t="shared" si="7"/>
        <v>61420459.3155398</v>
      </c>
      <c r="Q119" s="284">
        <f t="shared" si="11"/>
        <v>30710229.6577699</v>
      </c>
    </row>
    <row r="120" spans="2:17" ht="15.4" x14ac:dyDescent="0.45">
      <c r="B120" s="140" t="s">
        <v>222</v>
      </c>
      <c r="C120" s="1">
        <v>835</v>
      </c>
      <c r="D120" s="141" t="s">
        <v>228</v>
      </c>
      <c r="E120" s="348">
        <v>1</v>
      </c>
      <c r="F120" s="261">
        <v>38870940</v>
      </c>
      <c r="G120" s="261">
        <v>616453.43595910491</v>
      </c>
      <c r="H120" s="280">
        <v>714</v>
      </c>
      <c r="I120" s="281">
        <f t="shared" si="6"/>
        <v>4000</v>
      </c>
      <c r="J120" s="261">
        <f t="shared" si="8"/>
        <v>2856000</v>
      </c>
      <c r="K120" s="261">
        <v>0</v>
      </c>
      <c r="L120" s="280">
        <v>1334</v>
      </c>
      <c r="M120" s="282">
        <v>1442</v>
      </c>
      <c r="N120" s="283">
        <f t="shared" si="9"/>
        <v>-108</v>
      </c>
      <c r="O120" s="261">
        <f t="shared" si="10"/>
        <v>-648000</v>
      </c>
      <c r="P120" s="261">
        <f t="shared" si="7"/>
        <v>36046486.564040892</v>
      </c>
      <c r="Q120" s="284">
        <f t="shared" si="11"/>
        <v>18023243.282020446</v>
      </c>
    </row>
    <row r="121" spans="2:17" ht="15.4" x14ac:dyDescent="0.45">
      <c r="B121" s="140" t="s">
        <v>222</v>
      </c>
      <c r="C121" s="1">
        <v>916</v>
      </c>
      <c r="D121" s="141" t="s">
        <v>229</v>
      </c>
      <c r="E121" s="348">
        <v>1.0094696081392127</v>
      </c>
      <c r="F121" s="261">
        <v>57213334.371047452</v>
      </c>
      <c r="G121" s="261">
        <v>276695.28558154788</v>
      </c>
      <c r="H121" s="280">
        <v>1163</v>
      </c>
      <c r="I121" s="281">
        <f t="shared" si="6"/>
        <v>4037.8784325568508</v>
      </c>
      <c r="J121" s="261">
        <f t="shared" si="8"/>
        <v>4696052.6170636173</v>
      </c>
      <c r="K121" s="261">
        <v>1676183.3886031068</v>
      </c>
      <c r="L121" s="280">
        <v>2441</v>
      </c>
      <c r="M121" s="282">
        <v>2564</v>
      </c>
      <c r="N121" s="283">
        <f t="shared" si="9"/>
        <v>-123</v>
      </c>
      <c r="O121" s="261">
        <f t="shared" si="10"/>
        <v>-738000</v>
      </c>
      <c r="P121" s="261">
        <f t="shared" si="7"/>
        <v>51302403.079799175</v>
      </c>
      <c r="Q121" s="284">
        <f t="shared" si="11"/>
        <v>25651201.539899588</v>
      </c>
    </row>
    <row r="122" spans="2:17" ht="15.4" x14ac:dyDescent="0.45">
      <c r="B122" s="140" t="s">
        <v>222</v>
      </c>
      <c r="C122" s="1">
        <v>802</v>
      </c>
      <c r="D122" s="141" t="s">
        <v>230</v>
      </c>
      <c r="E122" s="348">
        <v>1.021975426906069</v>
      </c>
      <c r="F122" s="261">
        <v>23072107</v>
      </c>
      <c r="G122" s="261">
        <v>90871.958231121302</v>
      </c>
      <c r="H122" s="280">
        <v>341.5</v>
      </c>
      <c r="I122" s="281">
        <f t="shared" si="6"/>
        <v>4087.9017076242762</v>
      </c>
      <c r="J122" s="261">
        <f t="shared" si="8"/>
        <v>1396018.4331536903</v>
      </c>
      <c r="K122" s="261">
        <v>0</v>
      </c>
      <c r="L122" s="280">
        <v>1086.5</v>
      </c>
      <c r="M122" s="282">
        <v>1068.5</v>
      </c>
      <c r="N122" s="283">
        <f t="shared" si="9"/>
        <v>18</v>
      </c>
      <c r="O122" s="261">
        <f t="shared" si="10"/>
        <v>108000</v>
      </c>
      <c r="P122" s="261">
        <f t="shared" si="7"/>
        <v>21477216.60861519</v>
      </c>
      <c r="Q122" s="284">
        <f t="shared" si="11"/>
        <v>10738608.304307595</v>
      </c>
    </row>
    <row r="123" spans="2:17" ht="15.4" x14ac:dyDescent="0.45">
      <c r="B123" s="140" t="s">
        <v>222</v>
      </c>
      <c r="C123" s="1">
        <v>879</v>
      </c>
      <c r="D123" s="141" t="s">
        <v>231</v>
      </c>
      <c r="E123" s="348">
        <v>1</v>
      </c>
      <c r="F123" s="261">
        <v>29624000</v>
      </c>
      <c r="G123" s="261">
        <v>523688.74204949103</v>
      </c>
      <c r="H123" s="280">
        <v>644</v>
      </c>
      <c r="I123" s="281">
        <f t="shared" si="6"/>
        <v>4000</v>
      </c>
      <c r="J123" s="261">
        <f t="shared" si="8"/>
        <v>2576000</v>
      </c>
      <c r="K123" s="261">
        <v>626000</v>
      </c>
      <c r="L123" s="280">
        <v>1493</v>
      </c>
      <c r="M123" s="282">
        <v>1412</v>
      </c>
      <c r="N123" s="283">
        <f t="shared" si="9"/>
        <v>81</v>
      </c>
      <c r="O123" s="261">
        <f t="shared" si="10"/>
        <v>486000</v>
      </c>
      <c r="P123" s="261">
        <f t="shared" si="7"/>
        <v>25412311.257950507</v>
      </c>
      <c r="Q123" s="284">
        <f t="shared" si="11"/>
        <v>12706155.628975254</v>
      </c>
    </row>
    <row r="124" spans="2:17" ht="15.4" x14ac:dyDescent="0.45">
      <c r="B124" s="140" t="s">
        <v>222</v>
      </c>
      <c r="C124" s="1">
        <v>836</v>
      </c>
      <c r="D124" s="141" t="s">
        <v>232</v>
      </c>
      <c r="E124" s="348">
        <v>1</v>
      </c>
      <c r="F124" s="261">
        <v>15261999.999999998</v>
      </c>
      <c r="G124" s="261">
        <v>0</v>
      </c>
      <c r="H124" s="280">
        <v>259</v>
      </c>
      <c r="I124" s="281">
        <f t="shared" si="6"/>
        <v>4000</v>
      </c>
      <c r="J124" s="261">
        <f t="shared" si="8"/>
        <v>1036000</v>
      </c>
      <c r="K124" s="261">
        <v>906000</v>
      </c>
      <c r="L124" s="280">
        <v>391</v>
      </c>
      <c r="M124" s="282">
        <v>480</v>
      </c>
      <c r="N124" s="283">
        <f t="shared" si="9"/>
        <v>-89</v>
      </c>
      <c r="O124" s="261">
        <f t="shared" si="10"/>
        <v>-534000</v>
      </c>
      <c r="P124" s="261">
        <f t="shared" si="7"/>
        <v>13853999.999999998</v>
      </c>
      <c r="Q124" s="284">
        <f t="shared" si="11"/>
        <v>6926999.9999999991</v>
      </c>
    </row>
    <row r="125" spans="2:17" ht="15.4" x14ac:dyDescent="0.45">
      <c r="B125" s="140" t="s">
        <v>222</v>
      </c>
      <c r="C125" s="1">
        <v>933</v>
      </c>
      <c r="D125" s="141" t="s">
        <v>233</v>
      </c>
      <c r="E125" s="348">
        <v>1</v>
      </c>
      <c r="F125" s="261">
        <v>49758400</v>
      </c>
      <c r="G125" s="261">
        <v>256924.57672702218</v>
      </c>
      <c r="H125" s="280">
        <v>690</v>
      </c>
      <c r="I125" s="281">
        <f t="shared" si="6"/>
        <v>4000</v>
      </c>
      <c r="J125" s="261">
        <f t="shared" si="8"/>
        <v>2760000</v>
      </c>
      <c r="K125" s="261">
        <v>2105800.0000000005</v>
      </c>
      <c r="L125" s="280">
        <v>2313</v>
      </c>
      <c r="M125" s="282">
        <v>2437</v>
      </c>
      <c r="N125" s="283">
        <f t="shared" si="9"/>
        <v>-124</v>
      </c>
      <c r="O125" s="261">
        <f t="shared" si="10"/>
        <v>-744000</v>
      </c>
      <c r="P125" s="261">
        <f t="shared" si="7"/>
        <v>45379675.423272975</v>
      </c>
      <c r="Q125" s="284">
        <f t="shared" si="11"/>
        <v>22689837.711636487</v>
      </c>
    </row>
    <row r="126" spans="2:17" ht="15.4" x14ac:dyDescent="0.45">
      <c r="B126" s="140" t="s">
        <v>222</v>
      </c>
      <c r="C126" s="1">
        <v>803</v>
      </c>
      <c r="D126" s="141" t="s">
        <v>234</v>
      </c>
      <c r="E126" s="348">
        <v>1.021975426906069</v>
      </c>
      <c r="F126" s="261">
        <v>31202526.118049797</v>
      </c>
      <c r="G126" s="261">
        <v>539349.06618078216</v>
      </c>
      <c r="H126" s="280">
        <v>470</v>
      </c>
      <c r="I126" s="281">
        <f t="shared" si="6"/>
        <v>4087.9017076242762</v>
      </c>
      <c r="J126" s="261">
        <f t="shared" si="8"/>
        <v>1921313.8025834099</v>
      </c>
      <c r="K126" s="261">
        <v>10000</v>
      </c>
      <c r="L126" s="280">
        <v>1302.5</v>
      </c>
      <c r="M126" s="282">
        <v>1284</v>
      </c>
      <c r="N126" s="283">
        <f t="shared" si="9"/>
        <v>18.5</v>
      </c>
      <c r="O126" s="261">
        <f t="shared" si="10"/>
        <v>111000</v>
      </c>
      <c r="P126" s="261">
        <f t="shared" si="7"/>
        <v>28620863.249285605</v>
      </c>
      <c r="Q126" s="284">
        <f t="shared" si="11"/>
        <v>14310431.624642802</v>
      </c>
    </row>
    <row r="127" spans="2:17" ht="15.4" x14ac:dyDescent="0.45">
      <c r="B127" s="140" t="s">
        <v>222</v>
      </c>
      <c r="C127" s="1">
        <v>866</v>
      </c>
      <c r="D127" s="141" t="s">
        <v>235</v>
      </c>
      <c r="E127" s="348">
        <v>1.0107827425534024</v>
      </c>
      <c r="F127" s="261">
        <v>30232000</v>
      </c>
      <c r="G127" s="261">
        <v>699685.45100388629</v>
      </c>
      <c r="H127" s="280">
        <v>586</v>
      </c>
      <c r="I127" s="281">
        <f t="shared" si="6"/>
        <v>4043.1309702136095</v>
      </c>
      <c r="J127" s="261">
        <f t="shared" si="8"/>
        <v>2369274.7485451754</v>
      </c>
      <c r="K127" s="261">
        <v>468000</v>
      </c>
      <c r="L127" s="280">
        <v>1418</v>
      </c>
      <c r="M127" s="282">
        <v>1459</v>
      </c>
      <c r="N127" s="283">
        <f t="shared" si="9"/>
        <v>-41</v>
      </c>
      <c r="O127" s="261">
        <f t="shared" si="10"/>
        <v>-246000</v>
      </c>
      <c r="P127" s="261">
        <f t="shared" si="7"/>
        <v>26941039.800450936</v>
      </c>
      <c r="Q127" s="284">
        <f t="shared" si="11"/>
        <v>13470519.900225468</v>
      </c>
    </row>
    <row r="128" spans="2:17" ht="15.4" x14ac:dyDescent="0.45">
      <c r="B128" s="140" t="s">
        <v>222</v>
      </c>
      <c r="C128" s="1">
        <v>880</v>
      </c>
      <c r="D128" s="141" t="s">
        <v>236</v>
      </c>
      <c r="E128" s="348">
        <v>1</v>
      </c>
      <c r="F128" s="261">
        <v>17218000</v>
      </c>
      <c r="G128" s="261">
        <v>246081.91024885024</v>
      </c>
      <c r="H128" s="280">
        <v>529</v>
      </c>
      <c r="I128" s="281">
        <f t="shared" si="6"/>
        <v>4000</v>
      </c>
      <c r="J128" s="261">
        <f t="shared" si="8"/>
        <v>2116000</v>
      </c>
      <c r="K128" s="261">
        <v>65000</v>
      </c>
      <c r="L128" s="280">
        <v>1035</v>
      </c>
      <c r="M128" s="282">
        <v>963</v>
      </c>
      <c r="N128" s="283">
        <f t="shared" si="9"/>
        <v>72</v>
      </c>
      <c r="O128" s="261">
        <f t="shared" si="10"/>
        <v>432000</v>
      </c>
      <c r="P128" s="261">
        <f t="shared" si="7"/>
        <v>14358918.08975115</v>
      </c>
      <c r="Q128" s="284">
        <f t="shared" si="11"/>
        <v>7179459.0448755752</v>
      </c>
    </row>
    <row r="129" spans="2:17" ht="15.4" x14ac:dyDescent="0.45">
      <c r="B129" s="140" t="s">
        <v>222</v>
      </c>
      <c r="C129" s="1">
        <v>865</v>
      </c>
      <c r="D129" s="141" t="s">
        <v>237</v>
      </c>
      <c r="E129" s="348">
        <v>1.0107827425534024</v>
      </c>
      <c r="F129" s="261">
        <v>47147500</v>
      </c>
      <c r="G129" s="261">
        <v>2364913.7865305021</v>
      </c>
      <c r="H129" s="280">
        <v>711.5</v>
      </c>
      <c r="I129" s="281">
        <f t="shared" si="6"/>
        <v>4043.1309702136095</v>
      </c>
      <c r="J129" s="261">
        <f t="shared" si="8"/>
        <v>2876687.6853069831</v>
      </c>
      <c r="K129" s="261">
        <v>653000</v>
      </c>
      <c r="L129" s="280">
        <v>2069</v>
      </c>
      <c r="M129" s="282">
        <v>2301</v>
      </c>
      <c r="N129" s="283">
        <f t="shared" si="9"/>
        <v>-232</v>
      </c>
      <c r="O129" s="261">
        <f t="shared" si="10"/>
        <v>-1392000</v>
      </c>
      <c r="P129" s="261">
        <f t="shared" si="7"/>
        <v>42644898.528162517</v>
      </c>
      <c r="Q129" s="284">
        <f t="shared" si="11"/>
        <v>21322449.264081258</v>
      </c>
    </row>
    <row r="130" spans="2:17" ht="15.4" x14ac:dyDescent="0.45">
      <c r="B130" s="140" t="s">
        <v>238</v>
      </c>
      <c r="C130" s="1">
        <v>330</v>
      </c>
      <c r="D130" s="141" t="s">
        <v>239</v>
      </c>
      <c r="E130" s="348">
        <v>1.0050794999200126</v>
      </c>
      <c r="F130" s="261">
        <v>150967000</v>
      </c>
      <c r="G130" s="261">
        <v>3058544.3719227025</v>
      </c>
      <c r="H130" s="280">
        <v>4345</v>
      </c>
      <c r="I130" s="281">
        <f t="shared" si="6"/>
        <v>4020.3179996800504</v>
      </c>
      <c r="J130" s="261">
        <f t="shared" si="8"/>
        <v>17468281.708609819</v>
      </c>
      <c r="K130" s="261">
        <v>4887000</v>
      </c>
      <c r="L130" s="280">
        <v>5491.5</v>
      </c>
      <c r="M130" s="282">
        <v>5900</v>
      </c>
      <c r="N130" s="283">
        <f t="shared" si="9"/>
        <v>-408.5</v>
      </c>
      <c r="O130" s="261">
        <f t="shared" si="10"/>
        <v>-2451000</v>
      </c>
      <c r="P130" s="261">
        <f t="shared" si="7"/>
        <v>128004173.91946748</v>
      </c>
      <c r="Q130" s="284">
        <f t="shared" si="11"/>
        <v>64002086.959733739</v>
      </c>
    </row>
    <row r="131" spans="2:17" ht="15.4" x14ac:dyDescent="0.45">
      <c r="B131" s="140" t="s">
        <v>238</v>
      </c>
      <c r="C131" s="1">
        <v>331</v>
      </c>
      <c r="D131" s="141" t="s">
        <v>240</v>
      </c>
      <c r="E131" s="348">
        <v>1.0050794999200126</v>
      </c>
      <c r="F131" s="261">
        <v>35395000</v>
      </c>
      <c r="G131" s="261">
        <v>233365.10221901583</v>
      </c>
      <c r="H131" s="280">
        <v>893.5</v>
      </c>
      <c r="I131" s="281">
        <f t="shared" si="6"/>
        <v>4020.3179996800504</v>
      </c>
      <c r="J131" s="261">
        <f t="shared" si="8"/>
        <v>3592154.1327141249</v>
      </c>
      <c r="K131" s="261">
        <v>493000</v>
      </c>
      <c r="L131" s="280">
        <v>1565</v>
      </c>
      <c r="M131" s="282">
        <v>1439</v>
      </c>
      <c r="N131" s="283">
        <f t="shared" si="9"/>
        <v>126</v>
      </c>
      <c r="O131" s="261">
        <f t="shared" si="10"/>
        <v>756000</v>
      </c>
      <c r="P131" s="261">
        <f t="shared" si="7"/>
        <v>30320480.765066858</v>
      </c>
      <c r="Q131" s="284">
        <f t="shared" si="11"/>
        <v>15160240.382533429</v>
      </c>
    </row>
    <row r="132" spans="2:17" ht="15.4" x14ac:dyDescent="0.45">
      <c r="B132" s="140" t="s">
        <v>238</v>
      </c>
      <c r="C132" s="1">
        <v>332</v>
      </c>
      <c r="D132" s="141" t="s">
        <v>241</v>
      </c>
      <c r="E132" s="348">
        <v>1.0050794999200126</v>
      </c>
      <c r="F132" s="261">
        <v>29970000</v>
      </c>
      <c r="G132" s="261">
        <v>182330.52932004677</v>
      </c>
      <c r="H132" s="280">
        <v>836</v>
      </c>
      <c r="I132" s="281">
        <f t="shared" si="6"/>
        <v>4020.3179996800504</v>
      </c>
      <c r="J132" s="261">
        <f t="shared" si="8"/>
        <v>3360985.8477325221</v>
      </c>
      <c r="K132" s="261">
        <v>1231000</v>
      </c>
      <c r="L132" s="280">
        <v>1341</v>
      </c>
      <c r="M132" s="282">
        <v>1269</v>
      </c>
      <c r="N132" s="283">
        <f t="shared" si="9"/>
        <v>72</v>
      </c>
      <c r="O132" s="261">
        <f t="shared" si="10"/>
        <v>432000</v>
      </c>
      <c r="P132" s="261">
        <f t="shared" si="7"/>
        <v>24763683.622947432</v>
      </c>
      <c r="Q132" s="284">
        <f t="shared" si="11"/>
        <v>12381841.811473716</v>
      </c>
    </row>
    <row r="133" spans="2:17" ht="15.4" x14ac:dyDescent="0.45">
      <c r="B133" s="140" t="s">
        <v>238</v>
      </c>
      <c r="C133" s="1">
        <v>884</v>
      </c>
      <c r="D133" s="141" t="s">
        <v>242</v>
      </c>
      <c r="E133" s="348">
        <v>1</v>
      </c>
      <c r="F133" s="261">
        <v>14329000</v>
      </c>
      <c r="G133" s="261">
        <v>127758.84399797698</v>
      </c>
      <c r="H133" s="280">
        <v>335</v>
      </c>
      <c r="I133" s="281">
        <f t="shared" si="6"/>
        <v>4000</v>
      </c>
      <c r="J133" s="261">
        <f t="shared" si="8"/>
        <v>1340000</v>
      </c>
      <c r="K133" s="261">
        <v>278000</v>
      </c>
      <c r="L133" s="280">
        <v>640</v>
      </c>
      <c r="M133" s="282">
        <v>678</v>
      </c>
      <c r="N133" s="283">
        <f t="shared" si="9"/>
        <v>-38</v>
      </c>
      <c r="O133" s="261">
        <f t="shared" si="10"/>
        <v>-228000</v>
      </c>
      <c r="P133" s="261">
        <f t="shared" si="7"/>
        <v>12811241.156002022</v>
      </c>
      <c r="Q133" s="284">
        <f t="shared" si="11"/>
        <v>6405620.5780010112</v>
      </c>
    </row>
    <row r="134" spans="2:17" ht="15.4" x14ac:dyDescent="0.45">
      <c r="B134" s="140" t="s">
        <v>238</v>
      </c>
      <c r="C134" s="1">
        <v>333</v>
      </c>
      <c r="D134" s="141" t="s">
        <v>243</v>
      </c>
      <c r="E134" s="348">
        <v>1.0050794999200126</v>
      </c>
      <c r="F134" s="261">
        <v>38667228.063631669</v>
      </c>
      <c r="G134" s="261">
        <v>956496.16492051468</v>
      </c>
      <c r="H134" s="280">
        <v>563</v>
      </c>
      <c r="I134" s="281">
        <f t="shared" si="6"/>
        <v>4020.3179996800504</v>
      </c>
      <c r="J134" s="261">
        <f t="shared" si="8"/>
        <v>2263439.0338198682</v>
      </c>
      <c r="K134" s="261">
        <v>984000</v>
      </c>
      <c r="L134" s="280">
        <v>1510</v>
      </c>
      <c r="M134" s="282">
        <v>1616</v>
      </c>
      <c r="N134" s="283">
        <f t="shared" si="9"/>
        <v>-106</v>
      </c>
      <c r="O134" s="261">
        <f t="shared" si="10"/>
        <v>-636000</v>
      </c>
      <c r="P134" s="261">
        <f t="shared" si="7"/>
        <v>35099292.864891283</v>
      </c>
      <c r="Q134" s="284">
        <f t="shared" si="11"/>
        <v>17549646.432445642</v>
      </c>
    </row>
    <row r="135" spans="2:17" ht="15.4" x14ac:dyDescent="0.45">
      <c r="B135" s="140" t="s">
        <v>238</v>
      </c>
      <c r="C135" s="1">
        <v>893</v>
      </c>
      <c r="D135" s="141" t="s">
        <v>244</v>
      </c>
      <c r="E135" s="348">
        <v>1</v>
      </c>
      <c r="F135" s="261">
        <v>25079000</v>
      </c>
      <c r="G135" s="261">
        <v>51599.524907632731</v>
      </c>
      <c r="H135" s="280">
        <v>465</v>
      </c>
      <c r="I135" s="281">
        <f t="shared" si="6"/>
        <v>4000</v>
      </c>
      <c r="J135" s="261">
        <f t="shared" si="8"/>
        <v>1860000</v>
      </c>
      <c r="K135" s="261">
        <v>105000</v>
      </c>
      <c r="L135" s="280">
        <v>1361</v>
      </c>
      <c r="M135" s="282">
        <v>1495</v>
      </c>
      <c r="N135" s="283">
        <f t="shared" si="9"/>
        <v>-134</v>
      </c>
      <c r="O135" s="261">
        <f t="shared" si="10"/>
        <v>-804000</v>
      </c>
      <c r="P135" s="261">
        <f t="shared" si="7"/>
        <v>23866400.475092366</v>
      </c>
      <c r="Q135" s="284">
        <f t="shared" si="11"/>
        <v>11933200.237546183</v>
      </c>
    </row>
    <row r="136" spans="2:17" ht="15.4" x14ac:dyDescent="0.45">
      <c r="B136" s="140" t="s">
        <v>238</v>
      </c>
      <c r="C136" s="1">
        <v>334</v>
      </c>
      <c r="D136" s="141" t="s">
        <v>245</v>
      </c>
      <c r="E136" s="348">
        <v>1.0050794999200126</v>
      </c>
      <c r="F136" s="261">
        <v>26742580.040048122</v>
      </c>
      <c r="G136" s="261">
        <v>379132.66928367037</v>
      </c>
      <c r="H136" s="280">
        <v>713</v>
      </c>
      <c r="I136" s="281">
        <f t="shared" si="6"/>
        <v>4020.3179996800504</v>
      </c>
      <c r="J136" s="261">
        <f t="shared" si="8"/>
        <v>2866486.733771876</v>
      </c>
      <c r="K136" s="261">
        <v>0</v>
      </c>
      <c r="L136" s="280">
        <v>1054</v>
      </c>
      <c r="M136" s="282">
        <v>1028</v>
      </c>
      <c r="N136" s="283">
        <f t="shared" si="9"/>
        <v>26</v>
      </c>
      <c r="O136" s="261">
        <f t="shared" si="10"/>
        <v>156000</v>
      </c>
      <c r="P136" s="261">
        <f t="shared" si="7"/>
        <v>23340960.636992577</v>
      </c>
      <c r="Q136" s="284">
        <f t="shared" si="11"/>
        <v>11670480.318496289</v>
      </c>
    </row>
    <row r="137" spans="2:17" ht="15.4" x14ac:dyDescent="0.45">
      <c r="B137" s="140" t="s">
        <v>238</v>
      </c>
      <c r="C137" s="1">
        <v>860</v>
      </c>
      <c r="D137" s="141" t="s">
        <v>246</v>
      </c>
      <c r="E137" s="348">
        <v>1</v>
      </c>
      <c r="F137" s="261">
        <v>71442921.002095804</v>
      </c>
      <c r="G137" s="261">
        <v>129722.94396348135</v>
      </c>
      <c r="H137" s="280">
        <v>2464</v>
      </c>
      <c r="I137" s="281">
        <f t="shared" ref="I137:I159" si="12">4000*E137</f>
        <v>4000</v>
      </c>
      <c r="J137" s="261">
        <f t="shared" si="8"/>
        <v>9856000</v>
      </c>
      <c r="K137" s="261">
        <v>333999.99999999994</v>
      </c>
      <c r="L137" s="280">
        <v>3407</v>
      </c>
      <c r="M137" s="282">
        <v>3229</v>
      </c>
      <c r="N137" s="283">
        <f t="shared" si="9"/>
        <v>178</v>
      </c>
      <c r="O137" s="261">
        <f t="shared" si="10"/>
        <v>1068000</v>
      </c>
      <c r="P137" s="261">
        <f t="shared" ref="P137:P159" si="13">F137-G137-J137-K137-O137</f>
        <v>60055198.058132321</v>
      </c>
      <c r="Q137" s="284">
        <f t="shared" si="11"/>
        <v>30027599.02906616</v>
      </c>
    </row>
    <row r="138" spans="2:17" ht="15.4" x14ac:dyDescent="0.45">
      <c r="B138" s="140" t="s">
        <v>238</v>
      </c>
      <c r="C138" s="1">
        <v>861</v>
      </c>
      <c r="D138" s="141" t="s">
        <v>247</v>
      </c>
      <c r="E138" s="348">
        <v>1</v>
      </c>
      <c r="F138" s="261">
        <v>29493036.99861303</v>
      </c>
      <c r="G138" s="261">
        <v>0</v>
      </c>
      <c r="H138" s="280">
        <v>697</v>
      </c>
      <c r="I138" s="281">
        <f t="shared" si="12"/>
        <v>4000</v>
      </c>
      <c r="J138" s="261">
        <f t="shared" ref="J138:J159" si="14">H138*I138</f>
        <v>2788000</v>
      </c>
      <c r="K138" s="261">
        <v>182550</v>
      </c>
      <c r="L138" s="280">
        <v>1251</v>
      </c>
      <c r="M138" s="282">
        <v>1422</v>
      </c>
      <c r="N138" s="283">
        <f t="shared" ref="N138:N159" si="15">L138-M138</f>
        <v>-171</v>
      </c>
      <c r="O138" s="261">
        <f t="shared" ref="O138:O159" si="16">N138*6000</f>
        <v>-1026000</v>
      </c>
      <c r="P138" s="261">
        <f t="shared" si="13"/>
        <v>27548486.99861303</v>
      </c>
      <c r="Q138" s="284">
        <f t="shared" ref="Q138:Q159" si="17">P138/2</f>
        <v>13774243.499306515</v>
      </c>
    </row>
    <row r="139" spans="2:17" ht="15.4" x14ac:dyDescent="0.45">
      <c r="B139" s="140" t="s">
        <v>238</v>
      </c>
      <c r="C139" s="1">
        <v>894</v>
      </c>
      <c r="D139" s="141" t="s">
        <v>248</v>
      </c>
      <c r="E139" s="348">
        <v>1</v>
      </c>
      <c r="F139" s="261">
        <v>20801209.000000004</v>
      </c>
      <c r="G139" s="261">
        <v>275016.12712351792</v>
      </c>
      <c r="H139" s="280">
        <v>538</v>
      </c>
      <c r="I139" s="281">
        <f t="shared" si="12"/>
        <v>4000</v>
      </c>
      <c r="J139" s="261">
        <f t="shared" si="14"/>
        <v>2152000</v>
      </c>
      <c r="K139" s="261">
        <v>20066</v>
      </c>
      <c r="L139" s="280">
        <v>1019</v>
      </c>
      <c r="M139" s="282">
        <v>1012</v>
      </c>
      <c r="N139" s="283">
        <f t="shared" si="15"/>
        <v>7</v>
      </c>
      <c r="O139" s="261">
        <f t="shared" si="16"/>
        <v>42000</v>
      </c>
      <c r="P139" s="261">
        <f t="shared" si="13"/>
        <v>18312126.872876488</v>
      </c>
      <c r="Q139" s="284">
        <f t="shared" si="17"/>
        <v>9156063.4364382438</v>
      </c>
    </row>
    <row r="140" spans="2:17" ht="15.4" x14ac:dyDescent="0.45">
      <c r="B140" s="140" t="s">
        <v>238</v>
      </c>
      <c r="C140" s="1">
        <v>335</v>
      </c>
      <c r="D140" s="141" t="s">
        <v>249</v>
      </c>
      <c r="E140" s="348">
        <v>1.0050794999200126</v>
      </c>
      <c r="F140" s="261">
        <v>29893639.669936098</v>
      </c>
      <c r="G140" s="261">
        <v>360529.82493455464</v>
      </c>
      <c r="H140" s="280">
        <v>629</v>
      </c>
      <c r="I140" s="281">
        <f t="shared" si="12"/>
        <v>4020.3179996800504</v>
      </c>
      <c r="J140" s="261">
        <f t="shared" si="14"/>
        <v>2528780.0217987518</v>
      </c>
      <c r="K140" s="261">
        <v>0</v>
      </c>
      <c r="L140" s="280">
        <v>1230</v>
      </c>
      <c r="M140" s="282">
        <v>1250</v>
      </c>
      <c r="N140" s="283">
        <f t="shared" si="15"/>
        <v>-20</v>
      </c>
      <c r="O140" s="261">
        <f t="shared" si="16"/>
        <v>-120000</v>
      </c>
      <c r="P140" s="261">
        <f t="shared" si="13"/>
        <v>27124329.823202793</v>
      </c>
      <c r="Q140" s="284">
        <f t="shared" si="17"/>
        <v>13562164.911601396</v>
      </c>
    </row>
    <row r="141" spans="2:17" ht="15.4" x14ac:dyDescent="0.45">
      <c r="B141" s="140" t="s">
        <v>238</v>
      </c>
      <c r="C141" s="1">
        <v>937</v>
      </c>
      <c r="D141" s="141" t="s">
        <v>250</v>
      </c>
      <c r="E141" s="348">
        <v>1.0105351699887246</v>
      </c>
      <c r="F141" s="261">
        <v>59201332.98529046</v>
      </c>
      <c r="G141" s="261">
        <v>49785.215758428443</v>
      </c>
      <c r="H141" s="280">
        <v>1531</v>
      </c>
      <c r="I141" s="281">
        <f t="shared" si="12"/>
        <v>4042.1406799548986</v>
      </c>
      <c r="J141" s="261">
        <f t="shared" si="14"/>
        <v>6188517.3810109496</v>
      </c>
      <c r="K141" s="261">
        <v>103272.92529045421</v>
      </c>
      <c r="L141" s="280">
        <v>2190</v>
      </c>
      <c r="M141" s="282">
        <v>2256</v>
      </c>
      <c r="N141" s="283">
        <f t="shared" si="15"/>
        <v>-66</v>
      </c>
      <c r="O141" s="261">
        <f t="shared" si="16"/>
        <v>-396000</v>
      </c>
      <c r="P141" s="261">
        <f t="shared" si="13"/>
        <v>53255757.463230625</v>
      </c>
      <c r="Q141" s="284">
        <f t="shared" si="17"/>
        <v>26627878.731615312</v>
      </c>
    </row>
    <row r="142" spans="2:17" ht="15.4" x14ac:dyDescent="0.45">
      <c r="B142" s="140" t="s">
        <v>238</v>
      </c>
      <c r="C142" s="1">
        <v>336</v>
      </c>
      <c r="D142" s="141" t="s">
        <v>251</v>
      </c>
      <c r="E142" s="348">
        <v>1.0050794999200126</v>
      </c>
      <c r="F142" s="261">
        <v>33071000</v>
      </c>
      <c r="G142" s="261">
        <v>536352.07979333925</v>
      </c>
      <c r="H142" s="280">
        <v>789</v>
      </c>
      <c r="I142" s="281">
        <f t="shared" si="12"/>
        <v>4020.3179996800504</v>
      </c>
      <c r="J142" s="261">
        <f t="shared" si="14"/>
        <v>3172030.9017475597</v>
      </c>
      <c r="K142" s="261">
        <v>437000</v>
      </c>
      <c r="L142" s="280">
        <v>1261.5</v>
      </c>
      <c r="M142" s="282">
        <v>1247.5</v>
      </c>
      <c r="N142" s="283">
        <f t="shared" si="15"/>
        <v>14</v>
      </c>
      <c r="O142" s="261">
        <f t="shared" si="16"/>
        <v>84000</v>
      </c>
      <c r="P142" s="261">
        <f t="shared" si="13"/>
        <v>28841617.018459104</v>
      </c>
      <c r="Q142" s="284">
        <f t="shared" si="17"/>
        <v>14420808.509229552</v>
      </c>
    </row>
    <row r="143" spans="2:17" ht="15.4" x14ac:dyDescent="0.45">
      <c r="B143" s="140" t="s">
        <v>238</v>
      </c>
      <c r="C143" s="1">
        <v>885</v>
      </c>
      <c r="D143" s="141" t="s">
        <v>252</v>
      </c>
      <c r="E143" s="348">
        <v>1</v>
      </c>
      <c r="F143" s="261">
        <v>48080000</v>
      </c>
      <c r="G143" s="261">
        <v>726969.95299938356</v>
      </c>
      <c r="H143" s="280">
        <v>1372.5</v>
      </c>
      <c r="I143" s="281">
        <f t="shared" si="12"/>
        <v>4000</v>
      </c>
      <c r="J143" s="261">
        <f t="shared" si="14"/>
        <v>5490000</v>
      </c>
      <c r="K143" s="261">
        <v>559000</v>
      </c>
      <c r="L143" s="280">
        <v>2093</v>
      </c>
      <c r="M143" s="282">
        <v>2211</v>
      </c>
      <c r="N143" s="283">
        <f t="shared" si="15"/>
        <v>-118</v>
      </c>
      <c r="O143" s="261">
        <f t="shared" si="16"/>
        <v>-708000</v>
      </c>
      <c r="P143" s="261">
        <f t="shared" si="13"/>
        <v>42012030.047000617</v>
      </c>
      <c r="Q143" s="284">
        <f t="shared" si="17"/>
        <v>21006015.023500308</v>
      </c>
    </row>
    <row r="144" spans="2:17" ht="15.4" x14ac:dyDescent="0.45">
      <c r="B144" s="140" t="s">
        <v>253</v>
      </c>
      <c r="C144" s="1">
        <v>370</v>
      </c>
      <c r="D144" s="141" t="s">
        <v>254</v>
      </c>
      <c r="E144" s="348">
        <v>1</v>
      </c>
      <c r="F144" s="261">
        <v>21530000</v>
      </c>
      <c r="G144" s="261">
        <v>330254.691463758</v>
      </c>
      <c r="H144" s="280">
        <v>463</v>
      </c>
      <c r="I144" s="281">
        <f t="shared" si="12"/>
        <v>4000</v>
      </c>
      <c r="J144" s="261">
        <f t="shared" si="14"/>
        <v>1852000</v>
      </c>
      <c r="K144" s="261">
        <v>0</v>
      </c>
      <c r="L144" s="280">
        <v>1427</v>
      </c>
      <c r="M144" s="282">
        <v>1466</v>
      </c>
      <c r="N144" s="283">
        <f t="shared" si="15"/>
        <v>-39</v>
      </c>
      <c r="O144" s="261">
        <f t="shared" si="16"/>
        <v>-234000</v>
      </c>
      <c r="P144" s="261">
        <f t="shared" si="13"/>
        <v>19581745.308536243</v>
      </c>
      <c r="Q144" s="284">
        <f t="shared" si="17"/>
        <v>9790872.6542681213</v>
      </c>
    </row>
    <row r="145" spans="2:17" ht="15.4" x14ac:dyDescent="0.45">
      <c r="B145" s="140" t="s">
        <v>253</v>
      </c>
      <c r="C145" s="1">
        <v>380</v>
      </c>
      <c r="D145" s="141" t="s">
        <v>255</v>
      </c>
      <c r="E145" s="348">
        <v>1.0002429734488885</v>
      </c>
      <c r="F145" s="261">
        <v>65012778.738428071</v>
      </c>
      <c r="G145" s="261">
        <v>1172668.397269144</v>
      </c>
      <c r="H145" s="280">
        <v>1079</v>
      </c>
      <c r="I145" s="281">
        <f t="shared" si="12"/>
        <v>4000.971893795554</v>
      </c>
      <c r="J145" s="261">
        <f t="shared" si="14"/>
        <v>4317048.6734054023</v>
      </c>
      <c r="K145" s="261">
        <v>1644000</v>
      </c>
      <c r="L145" s="280">
        <v>2334</v>
      </c>
      <c r="M145" s="282">
        <v>2478</v>
      </c>
      <c r="N145" s="283">
        <f t="shared" si="15"/>
        <v>-144</v>
      </c>
      <c r="O145" s="261">
        <f t="shared" si="16"/>
        <v>-864000</v>
      </c>
      <c r="P145" s="261">
        <f t="shared" si="13"/>
        <v>58743061.667753525</v>
      </c>
      <c r="Q145" s="284">
        <f t="shared" si="17"/>
        <v>29371530.833876763</v>
      </c>
    </row>
    <row r="146" spans="2:17" ht="15.4" x14ac:dyDescent="0.45">
      <c r="B146" s="140" t="s">
        <v>253</v>
      </c>
      <c r="C146" s="1">
        <v>381</v>
      </c>
      <c r="D146" s="141" t="s">
        <v>256</v>
      </c>
      <c r="E146" s="348">
        <v>1.0002429734488885</v>
      </c>
      <c r="F146" s="261">
        <v>17665000</v>
      </c>
      <c r="G146" s="261">
        <v>88070.317362427246</v>
      </c>
      <c r="H146" s="280">
        <v>332</v>
      </c>
      <c r="I146" s="281">
        <f t="shared" si="12"/>
        <v>4000.971893795554</v>
      </c>
      <c r="J146" s="261">
        <f t="shared" si="14"/>
        <v>1328322.668740124</v>
      </c>
      <c r="K146" s="261">
        <v>0</v>
      </c>
      <c r="L146" s="280">
        <v>795</v>
      </c>
      <c r="M146" s="282">
        <v>834</v>
      </c>
      <c r="N146" s="283">
        <f t="shared" si="15"/>
        <v>-39</v>
      </c>
      <c r="O146" s="261">
        <f t="shared" si="16"/>
        <v>-234000</v>
      </c>
      <c r="P146" s="261">
        <f t="shared" si="13"/>
        <v>16482607.013897449</v>
      </c>
      <c r="Q146" s="284">
        <f t="shared" si="17"/>
        <v>8241303.5069487244</v>
      </c>
    </row>
    <row r="147" spans="2:17" ht="15.4" x14ac:dyDescent="0.45">
      <c r="B147" s="140" t="s">
        <v>253</v>
      </c>
      <c r="C147" s="1">
        <v>371</v>
      </c>
      <c r="D147" s="141" t="s">
        <v>257</v>
      </c>
      <c r="E147" s="348">
        <v>1</v>
      </c>
      <c r="F147" s="261">
        <v>28932000</v>
      </c>
      <c r="G147" s="261">
        <v>59441.022309022257</v>
      </c>
      <c r="H147" s="280">
        <v>604</v>
      </c>
      <c r="I147" s="281">
        <f t="shared" si="12"/>
        <v>4000</v>
      </c>
      <c r="J147" s="261">
        <f t="shared" si="14"/>
        <v>2416000</v>
      </c>
      <c r="K147" s="261">
        <v>256000</v>
      </c>
      <c r="L147" s="280">
        <v>1034</v>
      </c>
      <c r="M147" s="282">
        <v>1124</v>
      </c>
      <c r="N147" s="283">
        <f t="shared" si="15"/>
        <v>-90</v>
      </c>
      <c r="O147" s="261">
        <f t="shared" si="16"/>
        <v>-540000</v>
      </c>
      <c r="P147" s="261">
        <f t="shared" si="13"/>
        <v>26740558.977690976</v>
      </c>
      <c r="Q147" s="284">
        <f t="shared" si="17"/>
        <v>13370279.488845488</v>
      </c>
    </row>
    <row r="148" spans="2:17" ht="15.4" x14ac:dyDescent="0.45">
      <c r="B148" s="140" t="s">
        <v>253</v>
      </c>
      <c r="C148" s="1">
        <v>811</v>
      </c>
      <c r="D148" s="141" t="s">
        <v>258</v>
      </c>
      <c r="E148" s="348">
        <v>1</v>
      </c>
      <c r="F148" s="261">
        <v>21526496</v>
      </c>
      <c r="G148" s="261">
        <v>0</v>
      </c>
      <c r="H148" s="280">
        <v>389</v>
      </c>
      <c r="I148" s="281">
        <f t="shared" si="12"/>
        <v>4000</v>
      </c>
      <c r="J148" s="261">
        <f t="shared" si="14"/>
        <v>1556000</v>
      </c>
      <c r="K148" s="261">
        <v>0</v>
      </c>
      <c r="L148" s="280">
        <v>1072</v>
      </c>
      <c r="M148" s="282">
        <v>1129</v>
      </c>
      <c r="N148" s="283">
        <f t="shared" si="15"/>
        <v>-57</v>
      </c>
      <c r="O148" s="261">
        <f t="shared" si="16"/>
        <v>-342000</v>
      </c>
      <c r="P148" s="261">
        <f t="shared" si="13"/>
        <v>20312496</v>
      </c>
      <c r="Q148" s="284">
        <f t="shared" si="17"/>
        <v>10156248</v>
      </c>
    </row>
    <row r="149" spans="2:17" ht="15.4" x14ac:dyDescent="0.45">
      <c r="B149" s="140" t="s">
        <v>253</v>
      </c>
      <c r="C149" s="1">
        <v>810</v>
      </c>
      <c r="D149" s="141" t="s">
        <v>259</v>
      </c>
      <c r="E149" s="348">
        <v>1</v>
      </c>
      <c r="F149" s="261">
        <v>27369000</v>
      </c>
      <c r="G149" s="261">
        <v>0</v>
      </c>
      <c r="H149" s="280">
        <v>598</v>
      </c>
      <c r="I149" s="281">
        <f t="shared" si="12"/>
        <v>4000</v>
      </c>
      <c r="J149" s="261">
        <f t="shared" si="14"/>
        <v>2392000</v>
      </c>
      <c r="K149" s="261">
        <v>0</v>
      </c>
      <c r="L149" s="280">
        <v>1054</v>
      </c>
      <c r="M149" s="282">
        <v>1046</v>
      </c>
      <c r="N149" s="283">
        <f t="shared" si="15"/>
        <v>8</v>
      </c>
      <c r="O149" s="261">
        <f t="shared" si="16"/>
        <v>48000</v>
      </c>
      <c r="P149" s="261">
        <f t="shared" si="13"/>
        <v>24929000</v>
      </c>
      <c r="Q149" s="284">
        <f t="shared" si="17"/>
        <v>12464500</v>
      </c>
    </row>
    <row r="150" spans="2:17" ht="15.4" x14ac:dyDescent="0.45">
      <c r="B150" s="140" t="s">
        <v>253</v>
      </c>
      <c r="C150" s="1">
        <v>382</v>
      </c>
      <c r="D150" s="141" t="s">
        <v>260</v>
      </c>
      <c r="E150" s="348">
        <v>1.0002429734488885</v>
      </c>
      <c r="F150" s="261">
        <v>34398000</v>
      </c>
      <c r="G150" s="261">
        <v>773463.38328220346</v>
      </c>
      <c r="H150" s="280">
        <v>755</v>
      </c>
      <c r="I150" s="281">
        <f t="shared" si="12"/>
        <v>4000.971893795554</v>
      </c>
      <c r="J150" s="261">
        <f t="shared" si="14"/>
        <v>3020733.7798156431</v>
      </c>
      <c r="K150" s="261">
        <v>0</v>
      </c>
      <c r="L150" s="280">
        <v>1937</v>
      </c>
      <c r="M150" s="282">
        <v>1975</v>
      </c>
      <c r="N150" s="283">
        <f t="shared" si="15"/>
        <v>-38</v>
      </c>
      <c r="O150" s="261">
        <f t="shared" si="16"/>
        <v>-228000</v>
      </c>
      <c r="P150" s="261">
        <f t="shared" si="13"/>
        <v>30831802.836902149</v>
      </c>
      <c r="Q150" s="284">
        <f t="shared" si="17"/>
        <v>15415901.418451075</v>
      </c>
    </row>
    <row r="151" spans="2:17" ht="15.4" x14ac:dyDescent="0.45">
      <c r="B151" s="140" t="s">
        <v>253</v>
      </c>
      <c r="C151" s="1">
        <v>383</v>
      </c>
      <c r="D151" s="141" t="s">
        <v>261</v>
      </c>
      <c r="E151" s="348">
        <v>1.0002429734488885</v>
      </c>
      <c r="F151" s="261">
        <v>64812671.999999993</v>
      </c>
      <c r="G151" s="261">
        <v>829696.54910799465</v>
      </c>
      <c r="H151" s="280">
        <v>1184</v>
      </c>
      <c r="I151" s="281">
        <f t="shared" si="12"/>
        <v>4000.971893795554</v>
      </c>
      <c r="J151" s="261">
        <f t="shared" si="14"/>
        <v>4737150.7222539363</v>
      </c>
      <c r="K151" s="261">
        <v>987500</v>
      </c>
      <c r="L151" s="280">
        <v>3067</v>
      </c>
      <c r="M151" s="282">
        <v>3095</v>
      </c>
      <c r="N151" s="283">
        <f t="shared" si="15"/>
        <v>-28</v>
      </c>
      <c r="O151" s="261">
        <f t="shared" si="16"/>
        <v>-168000</v>
      </c>
      <c r="P151" s="261">
        <f t="shared" si="13"/>
        <v>58426324.728638068</v>
      </c>
      <c r="Q151" s="284">
        <f t="shared" si="17"/>
        <v>29213162.364319034</v>
      </c>
    </row>
    <row r="152" spans="2:17" ht="15.4" x14ac:dyDescent="0.45">
      <c r="B152" s="140" t="s">
        <v>253</v>
      </c>
      <c r="C152" s="1">
        <v>812</v>
      </c>
      <c r="D152" s="141" t="s">
        <v>262</v>
      </c>
      <c r="E152" s="348">
        <v>1</v>
      </c>
      <c r="F152" s="261">
        <v>17110000</v>
      </c>
      <c r="G152" s="261">
        <v>0</v>
      </c>
      <c r="H152" s="280">
        <v>338.5</v>
      </c>
      <c r="I152" s="281">
        <f t="shared" si="12"/>
        <v>4000</v>
      </c>
      <c r="J152" s="261">
        <f t="shared" si="14"/>
        <v>1354000</v>
      </c>
      <c r="K152" s="261">
        <v>0</v>
      </c>
      <c r="L152" s="280">
        <v>510</v>
      </c>
      <c r="M152" s="282">
        <v>503</v>
      </c>
      <c r="N152" s="283">
        <f t="shared" si="15"/>
        <v>7</v>
      </c>
      <c r="O152" s="261">
        <f t="shared" si="16"/>
        <v>42000</v>
      </c>
      <c r="P152" s="261">
        <f t="shared" si="13"/>
        <v>15714000</v>
      </c>
      <c r="Q152" s="284">
        <f t="shared" si="17"/>
        <v>7857000</v>
      </c>
    </row>
    <row r="153" spans="2:17" ht="15.4" x14ac:dyDescent="0.45">
      <c r="B153" s="140" t="s">
        <v>253</v>
      </c>
      <c r="C153" s="1">
        <v>813</v>
      </c>
      <c r="D153" s="141" t="s">
        <v>263</v>
      </c>
      <c r="E153" s="348">
        <v>1</v>
      </c>
      <c r="F153" s="261">
        <v>15742246.895976501</v>
      </c>
      <c r="G153" s="261">
        <v>0</v>
      </c>
      <c r="H153" s="280">
        <v>343</v>
      </c>
      <c r="I153" s="281">
        <f t="shared" si="12"/>
        <v>4000</v>
      </c>
      <c r="J153" s="261">
        <f t="shared" si="14"/>
        <v>1372000</v>
      </c>
      <c r="K153" s="261">
        <v>0</v>
      </c>
      <c r="L153" s="280">
        <v>664</v>
      </c>
      <c r="M153" s="282">
        <v>684</v>
      </c>
      <c r="N153" s="283">
        <f t="shared" si="15"/>
        <v>-20</v>
      </c>
      <c r="O153" s="261">
        <f t="shared" si="16"/>
        <v>-120000</v>
      </c>
      <c r="P153" s="261">
        <f t="shared" si="13"/>
        <v>14490246.895976501</v>
      </c>
      <c r="Q153" s="284">
        <f t="shared" si="17"/>
        <v>7245123.4479882503</v>
      </c>
    </row>
    <row r="154" spans="2:17" ht="15.4" x14ac:dyDescent="0.45">
      <c r="B154" s="140" t="s">
        <v>253</v>
      </c>
      <c r="C154" s="1">
        <v>815</v>
      </c>
      <c r="D154" s="141" t="s">
        <v>264</v>
      </c>
      <c r="E154" s="348">
        <v>1</v>
      </c>
      <c r="F154" s="261">
        <v>47902000</v>
      </c>
      <c r="G154" s="261">
        <v>0</v>
      </c>
      <c r="H154" s="280">
        <v>849</v>
      </c>
      <c r="I154" s="281">
        <f t="shared" si="12"/>
        <v>4000</v>
      </c>
      <c r="J154" s="261">
        <f t="shared" si="14"/>
        <v>3396000</v>
      </c>
      <c r="K154" s="261">
        <v>100000</v>
      </c>
      <c r="L154" s="280">
        <v>1712</v>
      </c>
      <c r="M154" s="282">
        <v>1835</v>
      </c>
      <c r="N154" s="283">
        <f t="shared" si="15"/>
        <v>-123</v>
      </c>
      <c r="O154" s="261">
        <f t="shared" si="16"/>
        <v>-738000</v>
      </c>
      <c r="P154" s="261">
        <f t="shared" si="13"/>
        <v>45144000</v>
      </c>
      <c r="Q154" s="284">
        <f t="shared" si="17"/>
        <v>22572000</v>
      </c>
    </row>
    <row r="155" spans="2:17" ht="15.4" x14ac:dyDescent="0.45">
      <c r="B155" s="140" t="s">
        <v>253</v>
      </c>
      <c r="C155" s="1">
        <v>372</v>
      </c>
      <c r="D155" s="141" t="s">
        <v>265</v>
      </c>
      <c r="E155" s="348">
        <v>1</v>
      </c>
      <c r="F155" s="261">
        <v>28730000</v>
      </c>
      <c r="G155" s="261">
        <v>253368.25474926585</v>
      </c>
      <c r="H155" s="280">
        <v>673</v>
      </c>
      <c r="I155" s="281">
        <f t="shared" si="12"/>
        <v>4000</v>
      </c>
      <c r="J155" s="261">
        <f t="shared" si="14"/>
        <v>2692000</v>
      </c>
      <c r="K155" s="261">
        <v>0</v>
      </c>
      <c r="L155" s="280">
        <v>1206.5</v>
      </c>
      <c r="M155" s="282">
        <v>1176</v>
      </c>
      <c r="N155" s="283">
        <f t="shared" si="15"/>
        <v>30.5</v>
      </c>
      <c r="O155" s="261">
        <f t="shared" si="16"/>
        <v>183000</v>
      </c>
      <c r="P155" s="261">
        <f t="shared" si="13"/>
        <v>25601631.745250735</v>
      </c>
      <c r="Q155" s="284">
        <f t="shared" si="17"/>
        <v>12800815.872625368</v>
      </c>
    </row>
    <row r="156" spans="2:17" ht="15.4" x14ac:dyDescent="0.45">
      <c r="B156" s="140" t="s">
        <v>253</v>
      </c>
      <c r="C156" s="1">
        <v>373</v>
      </c>
      <c r="D156" s="141" t="s">
        <v>266</v>
      </c>
      <c r="E156" s="348">
        <v>1</v>
      </c>
      <c r="F156" s="261">
        <v>52725000</v>
      </c>
      <c r="G156" s="261">
        <v>660770.669033602</v>
      </c>
      <c r="H156" s="280">
        <v>1094</v>
      </c>
      <c r="I156" s="281">
        <f t="shared" si="12"/>
        <v>4000</v>
      </c>
      <c r="J156" s="261">
        <f t="shared" si="14"/>
        <v>4376000</v>
      </c>
      <c r="K156" s="261">
        <v>1567000</v>
      </c>
      <c r="L156" s="280">
        <v>1962.5</v>
      </c>
      <c r="M156" s="282">
        <v>2011</v>
      </c>
      <c r="N156" s="283">
        <f t="shared" si="15"/>
        <v>-48.5</v>
      </c>
      <c r="O156" s="261">
        <f t="shared" si="16"/>
        <v>-291000</v>
      </c>
      <c r="P156" s="261">
        <f t="shared" si="13"/>
        <v>46412229.330966398</v>
      </c>
      <c r="Q156" s="284">
        <f t="shared" si="17"/>
        <v>23206114.665483199</v>
      </c>
    </row>
    <row r="157" spans="2:17" ht="15.4" x14ac:dyDescent="0.45">
      <c r="B157" s="140" t="s">
        <v>253</v>
      </c>
      <c r="C157" s="1">
        <v>384</v>
      </c>
      <c r="D157" s="141" t="s">
        <v>267</v>
      </c>
      <c r="E157" s="348">
        <v>1.0002429734488885</v>
      </c>
      <c r="F157" s="261">
        <v>28074000</v>
      </c>
      <c r="G157" s="261">
        <v>311602.6173565191</v>
      </c>
      <c r="H157" s="280">
        <v>478.5</v>
      </c>
      <c r="I157" s="281">
        <f t="shared" si="12"/>
        <v>4000.971893795554</v>
      </c>
      <c r="J157" s="261">
        <f t="shared" si="14"/>
        <v>1914465.0511811725</v>
      </c>
      <c r="K157" s="261">
        <v>681878</v>
      </c>
      <c r="L157" s="280">
        <v>1410.5</v>
      </c>
      <c r="M157" s="282">
        <v>1412</v>
      </c>
      <c r="N157" s="283">
        <f t="shared" si="15"/>
        <v>-1.5</v>
      </c>
      <c r="O157" s="261">
        <f t="shared" si="16"/>
        <v>-9000</v>
      </c>
      <c r="P157" s="261">
        <f t="shared" si="13"/>
        <v>25175054.331462309</v>
      </c>
      <c r="Q157" s="284">
        <f t="shared" si="17"/>
        <v>12587527.165731154</v>
      </c>
    </row>
    <row r="158" spans="2:17" ht="15.4" x14ac:dyDescent="0.45">
      <c r="B158" s="140" t="s">
        <v>253</v>
      </c>
      <c r="C158" s="1">
        <v>816</v>
      </c>
      <c r="D158" s="141" t="s">
        <v>268</v>
      </c>
      <c r="E158" s="348">
        <v>1</v>
      </c>
      <c r="F158" s="261">
        <v>18417902.837672602</v>
      </c>
      <c r="G158" s="261">
        <v>133356.36200172931</v>
      </c>
      <c r="H158" s="280">
        <v>241</v>
      </c>
      <c r="I158" s="281">
        <f t="shared" si="12"/>
        <v>4000</v>
      </c>
      <c r="J158" s="261">
        <f t="shared" si="14"/>
        <v>964000</v>
      </c>
      <c r="K158" s="261">
        <v>216225</v>
      </c>
      <c r="L158" s="280">
        <v>733</v>
      </c>
      <c r="M158" s="282">
        <v>547</v>
      </c>
      <c r="N158" s="283">
        <f t="shared" si="15"/>
        <v>186</v>
      </c>
      <c r="O158" s="261">
        <f t="shared" si="16"/>
        <v>1116000</v>
      </c>
      <c r="P158" s="261">
        <f t="shared" si="13"/>
        <v>15988321.475670874</v>
      </c>
      <c r="Q158" s="284">
        <f t="shared" si="17"/>
        <v>7994160.7378354371</v>
      </c>
    </row>
    <row r="159" spans="2:17" ht="15.75" thickBot="1" x14ac:dyDescent="0.5">
      <c r="B159" s="159" t="s">
        <v>18</v>
      </c>
      <c r="C159" s="265">
        <v>9999</v>
      </c>
      <c r="D159" s="161" t="s">
        <v>18</v>
      </c>
      <c r="E159" s="349">
        <v>1</v>
      </c>
      <c r="F159" s="266">
        <v>71745000</v>
      </c>
      <c r="G159" s="266">
        <v>0</v>
      </c>
      <c r="H159" s="285">
        <v>7174.5</v>
      </c>
      <c r="I159" s="286">
        <f t="shared" si="12"/>
        <v>4000</v>
      </c>
      <c r="J159" s="266">
        <f t="shared" si="14"/>
        <v>28698000</v>
      </c>
      <c r="K159" s="266">
        <v>0</v>
      </c>
      <c r="L159" s="285">
        <v>7174.5</v>
      </c>
      <c r="M159" s="287">
        <v>0</v>
      </c>
      <c r="N159" s="288">
        <f t="shared" si="15"/>
        <v>7174.5</v>
      </c>
      <c r="O159" s="266">
        <f t="shared" si="16"/>
        <v>43047000</v>
      </c>
      <c r="P159" s="266">
        <f t="shared" si="13"/>
        <v>0</v>
      </c>
      <c r="Q159" s="266">
        <f t="shared" si="17"/>
        <v>0</v>
      </c>
    </row>
    <row r="160" spans="2:17" ht="15" customHeight="1" x14ac:dyDescent="0.45"/>
    <row r="161" ht="15" customHeight="1" x14ac:dyDescent="0.45"/>
  </sheetData>
  <mergeCells count="11">
    <mergeCell ref="H6:J6"/>
    <mergeCell ref="K6:K7"/>
    <mergeCell ref="L6:O6"/>
    <mergeCell ref="P6:P7"/>
    <mergeCell ref="Q6:Q7"/>
    <mergeCell ref="G6:G7"/>
    <mergeCell ref="B6:B7"/>
    <mergeCell ref="C6:C7"/>
    <mergeCell ref="D6:D7"/>
    <mergeCell ref="E6:E7"/>
    <mergeCell ref="F6:F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3">
    <tabColor theme="5"/>
  </sheetPr>
  <dimension ref="A1:Q159"/>
  <sheetViews>
    <sheetView showGridLines="0" zoomScale="80" zoomScaleNormal="80" workbookViewId="0">
      <pane xSplit="4" ySplit="8" topLeftCell="E9" activePane="bottomRight" state="frozen"/>
      <selection pane="topRight"/>
      <selection pane="bottomLeft"/>
      <selection pane="bottomRight"/>
    </sheetView>
  </sheetViews>
  <sheetFormatPr defaultColWidth="9.1328125" defaultRowHeight="14.25" x14ac:dyDescent="0.45"/>
  <cols>
    <col min="1" max="1" width="3.86328125" customWidth="1"/>
    <col min="2" max="2" width="34.33203125" customWidth="1"/>
    <col min="4" max="4" width="33.53125" bestFit="1" customWidth="1"/>
    <col min="5" max="9" width="21.33203125" customWidth="1"/>
    <col min="10" max="10" width="29.1328125" customWidth="1"/>
    <col min="11" max="11" width="20.53125" customWidth="1"/>
    <col min="12" max="12" width="22.33203125" customWidth="1"/>
    <col min="13" max="13" width="21.33203125" customWidth="1"/>
    <col min="14" max="15" width="20.53125" customWidth="1"/>
    <col min="16" max="16" width="27.1328125" customWidth="1"/>
    <col min="17" max="17" width="24.6640625" customWidth="1"/>
  </cols>
  <sheetData>
    <row r="1" spans="1:17" ht="25.15" x14ac:dyDescent="0.65">
      <c r="A1" s="87"/>
      <c r="B1" s="331" t="s">
        <v>438</v>
      </c>
      <c r="C1" s="87"/>
      <c r="D1" s="87"/>
      <c r="H1" s="324"/>
      <c r="N1" s="324"/>
      <c r="O1" s="324"/>
    </row>
    <row r="2" spans="1:17" ht="25.15" x14ac:dyDescent="0.7">
      <c r="A2" s="87"/>
      <c r="B2" s="88"/>
      <c r="C2" s="87"/>
      <c r="D2" s="87"/>
    </row>
    <row r="3" spans="1:17" ht="24.75" x14ac:dyDescent="0.65">
      <c r="A3" s="87"/>
      <c r="B3" s="325" t="s">
        <v>439</v>
      </c>
      <c r="C3" s="87"/>
      <c r="D3" s="87"/>
    </row>
    <row r="4" spans="1:17" ht="15.75" thickBot="1" x14ac:dyDescent="0.5">
      <c r="A4" s="1"/>
      <c r="B4" s="1"/>
      <c r="C4" s="1"/>
      <c r="D4" s="1"/>
    </row>
    <row r="5" spans="1:17" ht="63" customHeight="1" thickBot="1" x14ac:dyDescent="0.5">
      <c r="A5" s="289"/>
      <c r="B5" s="104" t="s">
        <v>423</v>
      </c>
      <c r="C5" s="105"/>
      <c r="D5" s="106"/>
      <c r="E5" s="511" t="s">
        <v>440</v>
      </c>
      <c r="F5" s="512"/>
      <c r="G5" s="513"/>
      <c r="H5" s="429" t="s">
        <v>441</v>
      </c>
      <c r="I5" s="431"/>
      <c r="J5" s="290"/>
      <c r="K5" s="514" t="s">
        <v>442</v>
      </c>
      <c r="L5" s="515"/>
      <c r="M5" s="516"/>
      <c r="N5" s="426" t="s">
        <v>443</v>
      </c>
      <c r="O5" s="428"/>
      <c r="P5" s="291"/>
      <c r="Q5" s="292"/>
    </row>
    <row r="6" spans="1:17" ht="54.75" customHeight="1" x14ac:dyDescent="0.45">
      <c r="A6" s="293"/>
      <c r="B6" s="415" t="s">
        <v>277</v>
      </c>
      <c r="C6" s="417" t="s">
        <v>278</v>
      </c>
      <c r="D6" s="419" t="s">
        <v>279</v>
      </c>
      <c r="E6" s="501" t="s">
        <v>444</v>
      </c>
      <c r="F6" s="501" t="s">
        <v>445</v>
      </c>
      <c r="G6" s="501" t="s">
        <v>446</v>
      </c>
      <c r="H6" s="517" t="s">
        <v>447</v>
      </c>
      <c r="I6" s="501" t="s">
        <v>448</v>
      </c>
      <c r="J6" s="501" t="s">
        <v>484</v>
      </c>
      <c r="K6" s="501" t="s">
        <v>485</v>
      </c>
      <c r="L6" s="501" t="s">
        <v>486</v>
      </c>
      <c r="M6" s="501" t="s">
        <v>487</v>
      </c>
      <c r="N6" s="517" t="s">
        <v>488</v>
      </c>
      <c r="O6" s="501" t="s">
        <v>489</v>
      </c>
      <c r="P6" s="501" t="s">
        <v>490</v>
      </c>
      <c r="Q6" s="501" t="s">
        <v>497</v>
      </c>
    </row>
    <row r="7" spans="1:17" ht="95.2" customHeight="1" thickBot="1" x14ac:dyDescent="0.5">
      <c r="A7" s="293"/>
      <c r="B7" s="416"/>
      <c r="C7" s="418"/>
      <c r="D7" s="420"/>
      <c r="E7" s="502"/>
      <c r="F7" s="502"/>
      <c r="G7" s="502"/>
      <c r="H7" s="502"/>
      <c r="I7" s="502"/>
      <c r="J7" s="502"/>
      <c r="K7" s="502"/>
      <c r="L7" s="502"/>
      <c r="M7" s="502"/>
      <c r="N7" s="502"/>
      <c r="O7" s="502"/>
      <c r="P7" s="502"/>
      <c r="Q7" s="502"/>
    </row>
    <row r="8" spans="1:17" ht="15.75" thickBot="1" x14ac:dyDescent="0.5">
      <c r="A8" s="294"/>
      <c r="B8" s="122" t="s">
        <v>107</v>
      </c>
      <c r="C8" s="258"/>
      <c r="D8" s="124"/>
      <c r="E8" s="295">
        <f t="shared" ref="E8:P8" si="0">SUM(E9:E159)</f>
        <v>110951.333333</v>
      </c>
      <c r="F8" s="296">
        <f t="shared" si="0"/>
        <v>116388.5</v>
      </c>
      <c r="G8" s="296">
        <f t="shared" si="0"/>
        <v>26607.5</v>
      </c>
      <c r="H8" s="296">
        <f t="shared" si="0"/>
        <v>3472.333333</v>
      </c>
      <c r="I8" s="297">
        <f t="shared" si="0"/>
        <v>3781</v>
      </c>
      <c r="J8" s="298">
        <f t="shared" si="0"/>
        <v>261200.666666</v>
      </c>
      <c r="K8" s="299">
        <f t="shared" si="0"/>
        <v>110953.333333</v>
      </c>
      <c r="L8" s="300">
        <f t="shared" si="0"/>
        <v>116388.5</v>
      </c>
      <c r="M8" s="301">
        <f t="shared" si="0"/>
        <v>26608.5</v>
      </c>
      <c r="N8" s="296">
        <f t="shared" si="0"/>
        <v>3474.333333</v>
      </c>
      <c r="O8" s="297">
        <f t="shared" si="0"/>
        <v>3781</v>
      </c>
      <c r="P8" s="298">
        <f t="shared" si="0"/>
        <v>261205.666666</v>
      </c>
      <c r="Q8" s="135"/>
    </row>
    <row r="9" spans="1:17" ht="15.4" x14ac:dyDescent="0.45">
      <c r="A9" s="1"/>
      <c r="B9" s="140" t="s">
        <v>109</v>
      </c>
      <c r="C9" s="1">
        <v>831</v>
      </c>
      <c r="D9" s="141" t="s">
        <v>110</v>
      </c>
      <c r="E9" s="142">
        <v>649</v>
      </c>
      <c r="F9" s="142">
        <v>525</v>
      </c>
      <c r="G9" s="142">
        <v>165</v>
      </c>
      <c r="H9" s="142">
        <v>54</v>
      </c>
      <c r="I9" s="142">
        <v>9</v>
      </c>
      <c r="J9" s="302">
        <f t="shared" ref="J9:J72" si="1">SUM(E9:I9)</f>
        <v>1402</v>
      </c>
      <c r="K9" s="142">
        <v>623</v>
      </c>
      <c r="L9" s="142">
        <v>519</v>
      </c>
      <c r="M9" s="142">
        <v>301</v>
      </c>
      <c r="N9" s="142">
        <v>0</v>
      </c>
      <c r="O9" s="142">
        <v>0</v>
      </c>
      <c r="P9" s="302">
        <f>SUM(K9:O9)</f>
        <v>1443</v>
      </c>
      <c r="Q9" s="302">
        <f t="shared" ref="Q9:Q72" si="2">P9 - J9</f>
        <v>41</v>
      </c>
    </row>
    <row r="10" spans="1:17" ht="15.4" x14ac:dyDescent="0.45">
      <c r="A10" s="1"/>
      <c r="B10" s="140" t="s">
        <v>109</v>
      </c>
      <c r="C10" s="1">
        <v>830</v>
      </c>
      <c r="D10" s="141" t="s">
        <v>111</v>
      </c>
      <c r="E10" s="142">
        <v>946.5</v>
      </c>
      <c r="F10" s="142">
        <v>1961.5</v>
      </c>
      <c r="G10" s="142">
        <v>284</v>
      </c>
      <c r="H10" s="142">
        <v>35</v>
      </c>
      <c r="I10" s="142">
        <v>56</v>
      </c>
      <c r="J10" s="302">
        <f t="shared" si="1"/>
        <v>3283</v>
      </c>
      <c r="K10" s="142">
        <v>877.5</v>
      </c>
      <c r="L10" s="142">
        <v>1970.5</v>
      </c>
      <c r="M10" s="142">
        <v>122</v>
      </c>
      <c r="N10" s="142">
        <v>0</v>
      </c>
      <c r="O10" s="142">
        <v>0</v>
      </c>
      <c r="P10" s="302">
        <f t="shared" ref="P10:P73" si="3">SUM(K10:O10)</f>
        <v>2970</v>
      </c>
      <c r="Q10" s="302">
        <f t="shared" si="2"/>
        <v>-313</v>
      </c>
    </row>
    <row r="11" spans="1:17" ht="15.4" x14ac:dyDescent="0.45">
      <c r="A11" s="1"/>
      <c r="B11" s="140" t="s">
        <v>109</v>
      </c>
      <c r="C11" s="1">
        <v>856</v>
      </c>
      <c r="D11" s="141" t="s">
        <v>112</v>
      </c>
      <c r="E11" s="142">
        <v>965</v>
      </c>
      <c r="F11" s="142">
        <v>861</v>
      </c>
      <c r="G11" s="142">
        <v>119</v>
      </c>
      <c r="H11" s="142">
        <v>11</v>
      </c>
      <c r="I11" s="142">
        <v>18</v>
      </c>
      <c r="J11" s="302">
        <f t="shared" si="1"/>
        <v>1974</v>
      </c>
      <c r="K11" s="142">
        <v>1011</v>
      </c>
      <c r="L11" s="142">
        <v>799</v>
      </c>
      <c r="M11" s="142">
        <v>147</v>
      </c>
      <c r="N11" s="142">
        <v>0</v>
      </c>
      <c r="O11" s="142">
        <v>0</v>
      </c>
      <c r="P11" s="302">
        <f t="shared" si="3"/>
        <v>1957</v>
      </c>
      <c r="Q11" s="302">
        <f t="shared" si="2"/>
        <v>-17</v>
      </c>
    </row>
    <row r="12" spans="1:17" ht="15.4" x14ac:dyDescent="0.45">
      <c r="A12" s="1"/>
      <c r="B12" s="140" t="s">
        <v>109</v>
      </c>
      <c r="C12" s="1">
        <v>855</v>
      </c>
      <c r="D12" s="141" t="s">
        <v>113</v>
      </c>
      <c r="E12" s="142">
        <v>1248</v>
      </c>
      <c r="F12" s="142">
        <v>1529</v>
      </c>
      <c r="G12" s="142">
        <v>195</v>
      </c>
      <c r="H12" s="142">
        <v>12</v>
      </c>
      <c r="I12" s="142">
        <v>84</v>
      </c>
      <c r="J12" s="302">
        <f t="shared" si="1"/>
        <v>3068</v>
      </c>
      <c r="K12" s="142">
        <v>1213</v>
      </c>
      <c r="L12" s="142">
        <v>1595</v>
      </c>
      <c r="M12" s="142">
        <v>121</v>
      </c>
      <c r="N12" s="142">
        <v>0</v>
      </c>
      <c r="O12" s="142">
        <v>0</v>
      </c>
      <c r="P12" s="302">
        <f t="shared" si="3"/>
        <v>2929</v>
      </c>
      <c r="Q12" s="302">
        <f t="shared" si="2"/>
        <v>-139</v>
      </c>
    </row>
    <row r="13" spans="1:17" ht="15.4" x14ac:dyDescent="0.45">
      <c r="A13" s="1"/>
      <c r="B13" s="140" t="s">
        <v>109</v>
      </c>
      <c r="C13" s="1">
        <v>925</v>
      </c>
      <c r="D13" s="141" t="s">
        <v>114</v>
      </c>
      <c r="E13" s="142">
        <v>1768</v>
      </c>
      <c r="F13" s="142">
        <v>1231</v>
      </c>
      <c r="G13" s="142">
        <v>289.5</v>
      </c>
      <c r="H13" s="142">
        <v>16</v>
      </c>
      <c r="I13" s="142">
        <v>61</v>
      </c>
      <c r="J13" s="302">
        <f t="shared" si="1"/>
        <v>3365.5</v>
      </c>
      <c r="K13" s="142">
        <v>1778</v>
      </c>
      <c r="L13" s="142">
        <v>1233</v>
      </c>
      <c r="M13" s="142">
        <v>317.5</v>
      </c>
      <c r="N13" s="142">
        <v>0</v>
      </c>
      <c r="O13" s="142">
        <v>0</v>
      </c>
      <c r="P13" s="302">
        <f t="shared" si="3"/>
        <v>3328.5</v>
      </c>
      <c r="Q13" s="302">
        <f t="shared" si="2"/>
        <v>-37</v>
      </c>
    </row>
    <row r="14" spans="1:17" ht="15.4" x14ac:dyDescent="0.45">
      <c r="A14" s="1"/>
      <c r="B14" s="140" t="s">
        <v>109</v>
      </c>
      <c r="C14" s="1">
        <v>928</v>
      </c>
      <c r="D14" s="141" t="s">
        <v>115</v>
      </c>
      <c r="E14" s="142">
        <v>1564.5</v>
      </c>
      <c r="F14" s="142">
        <v>1375</v>
      </c>
      <c r="G14" s="142">
        <v>348</v>
      </c>
      <c r="H14" s="142">
        <v>14</v>
      </c>
      <c r="I14" s="142">
        <v>17</v>
      </c>
      <c r="J14" s="302">
        <f t="shared" si="1"/>
        <v>3318.5</v>
      </c>
      <c r="K14" s="142">
        <v>1541.5</v>
      </c>
      <c r="L14" s="142">
        <v>1343</v>
      </c>
      <c r="M14" s="142">
        <v>312.5</v>
      </c>
      <c r="N14" s="142">
        <v>0</v>
      </c>
      <c r="O14" s="142">
        <v>0</v>
      </c>
      <c r="P14" s="302">
        <f t="shared" si="3"/>
        <v>3197</v>
      </c>
      <c r="Q14" s="302">
        <f t="shared" si="2"/>
        <v>-121.5</v>
      </c>
    </row>
    <row r="15" spans="1:17" ht="15.4" x14ac:dyDescent="0.45">
      <c r="A15" s="1"/>
      <c r="B15" s="140" t="s">
        <v>109</v>
      </c>
      <c r="C15" s="1">
        <v>892</v>
      </c>
      <c r="D15" s="141" t="s">
        <v>116</v>
      </c>
      <c r="E15" s="142">
        <v>511</v>
      </c>
      <c r="F15" s="142">
        <v>538</v>
      </c>
      <c r="G15" s="142">
        <v>84</v>
      </c>
      <c r="H15" s="142">
        <v>7</v>
      </c>
      <c r="I15" s="142">
        <v>20</v>
      </c>
      <c r="J15" s="302">
        <f t="shared" si="1"/>
        <v>1160</v>
      </c>
      <c r="K15" s="142">
        <v>526</v>
      </c>
      <c r="L15" s="142">
        <v>480</v>
      </c>
      <c r="M15" s="142">
        <v>138</v>
      </c>
      <c r="N15" s="142">
        <v>0</v>
      </c>
      <c r="O15" s="142">
        <v>0</v>
      </c>
      <c r="P15" s="302">
        <f t="shared" si="3"/>
        <v>1144</v>
      </c>
      <c r="Q15" s="302">
        <f t="shared" si="2"/>
        <v>-16</v>
      </c>
    </row>
    <row r="16" spans="1:17" ht="15.4" x14ac:dyDescent="0.45">
      <c r="A16" s="1"/>
      <c r="B16" s="140" t="s">
        <v>109</v>
      </c>
      <c r="C16" s="1">
        <v>891</v>
      </c>
      <c r="D16" s="141" t="s">
        <v>117</v>
      </c>
      <c r="E16" s="142">
        <v>1023</v>
      </c>
      <c r="F16" s="142">
        <v>1861</v>
      </c>
      <c r="G16" s="142">
        <v>234</v>
      </c>
      <c r="H16" s="142">
        <v>80</v>
      </c>
      <c r="I16" s="142">
        <v>139</v>
      </c>
      <c r="J16" s="302">
        <f t="shared" si="1"/>
        <v>3337</v>
      </c>
      <c r="K16" s="142">
        <v>977</v>
      </c>
      <c r="L16" s="142">
        <v>1920</v>
      </c>
      <c r="M16" s="142">
        <v>155.5</v>
      </c>
      <c r="N16" s="142">
        <v>0</v>
      </c>
      <c r="O16" s="142">
        <v>0</v>
      </c>
      <c r="P16" s="302">
        <f t="shared" si="3"/>
        <v>3052.5</v>
      </c>
      <c r="Q16" s="302">
        <f t="shared" si="2"/>
        <v>-284.5</v>
      </c>
    </row>
    <row r="17" spans="1:17" ht="15.4" x14ac:dyDescent="0.45">
      <c r="A17" s="1"/>
      <c r="B17" s="140" t="s">
        <v>109</v>
      </c>
      <c r="C17" s="1">
        <v>857</v>
      </c>
      <c r="D17" s="141" t="s">
        <v>118</v>
      </c>
      <c r="E17" s="142">
        <v>35</v>
      </c>
      <c r="F17" s="142">
        <v>45</v>
      </c>
      <c r="G17" s="142">
        <v>18</v>
      </c>
      <c r="H17" s="142">
        <v>2</v>
      </c>
      <c r="I17" s="142">
        <v>4</v>
      </c>
      <c r="J17" s="302">
        <f t="shared" si="1"/>
        <v>104</v>
      </c>
      <c r="K17" s="142">
        <v>5</v>
      </c>
      <c r="L17" s="142">
        <v>62</v>
      </c>
      <c r="M17" s="142">
        <v>0</v>
      </c>
      <c r="N17" s="142">
        <v>0</v>
      </c>
      <c r="O17" s="142">
        <v>0</v>
      </c>
      <c r="P17" s="302">
        <f t="shared" si="3"/>
        <v>67</v>
      </c>
      <c r="Q17" s="302">
        <f t="shared" si="2"/>
        <v>-37</v>
      </c>
    </row>
    <row r="18" spans="1:17" ht="15.4" x14ac:dyDescent="0.45">
      <c r="A18" s="1"/>
      <c r="B18" s="140" t="s">
        <v>119</v>
      </c>
      <c r="C18" s="1">
        <v>822</v>
      </c>
      <c r="D18" s="141" t="s">
        <v>120</v>
      </c>
      <c r="E18" s="142">
        <v>336.5</v>
      </c>
      <c r="F18" s="142">
        <v>440</v>
      </c>
      <c r="G18" s="142">
        <v>64</v>
      </c>
      <c r="H18" s="142">
        <v>2</v>
      </c>
      <c r="I18" s="142">
        <v>3</v>
      </c>
      <c r="J18" s="302">
        <f t="shared" si="1"/>
        <v>845.5</v>
      </c>
      <c r="K18" s="142">
        <v>351.5</v>
      </c>
      <c r="L18" s="142">
        <v>450</v>
      </c>
      <c r="M18" s="142">
        <v>123.5</v>
      </c>
      <c r="N18" s="142">
        <v>0</v>
      </c>
      <c r="O18" s="142">
        <v>0</v>
      </c>
      <c r="P18" s="302">
        <f t="shared" si="3"/>
        <v>925</v>
      </c>
      <c r="Q18" s="302">
        <f t="shared" si="2"/>
        <v>79.5</v>
      </c>
    </row>
    <row r="19" spans="1:17" ht="15.4" x14ac:dyDescent="0.45">
      <c r="A19" s="1"/>
      <c r="B19" s="140" t="s">
        <v>119</v>
      </c>
      <c r="C19" s="1">
        <v>873</v>
      </c>
      <c r="D19" s="141" t="s">
        <v>121</v>
      </c>
      <c r="E19" s="142">
        <v>1024.5</v>
      </c>
      <c r="F19" s="142">
        <v>1469</v>
      </c>
      <c r="G19" s="142">
        <v>374</v>
      </c>
      <c r="H19" s="142">
        <v>5</v>
      </c>
      <c r="I19" s="142">
        <v>13</v>
      </c>
      <c r="J19" s="302">
        <f t="shared" si="1"/>
        <v>2885.5</v>
      </c>
      <c r="K19" s="142">
        <v>1085.5</v>
      </c>
      <c r="L19" s="142">
        <v>1473</v>
      </c>
      <c r="M19" s="142">
        <v>245</v>
      </c>
      <c r="N19" s="142">
        <v>0</v>
      </c>
      <c r="O19" s="142">
        <v>0</v>
      </c>
      <c r="P19" s="302">
        <f t="shared" si="3"/>
        <v>2803.5</v>
      </c>
      <c r="Q19" s="302">
        <f t="shared" si="2"/>
        <v>-82</v>
      </c>
    </row>
    <row r="20" spans="1:17" ht="15.4" x14ac:dyDescent="0.45">
      <c r="A20" s="1"/>
      <c r="B20" s="140" t="s">
        <v>119</v>
      </c>
      <c r="C20" s="1">
        <v>823</v>
      </c>
      <c r="D20" s="141" t="s">
        <v>122</v>
      </c>
      <c r="E20" s="142">
        <v>597</v>
      </c>
      <c r="F20" s="142">
        <v>660</v>
      </c>
      <c r="G20" s="142">
        <v>113</v>
      </c>
      <c r="H20" s="142">
        <v>5</v>
      </c>
      <c r="I20" s="142">
        <v>5</v>
      </c>
      <c r="J20" s="302">
        <f t="shared" si="1"/>
        <v>1380</v>
      </c>
      <c r="K20" s="142">
        <v>611</v>
      </c>
      <c r="L20" s="142">
        <v>672</v>
      </c>
      <c r="M20" s="142">
        <v>124.5</v>
      </c>
      <c r="N20" s="142">
        <v>0</v>
      </c>
      <c r="O20" s="142">
        <v>0</v>
      </c>
      <c r="P20" s="302">
        <f t="shared" si="3"/>
        <v>1407.5</v>
      </c>
      <c r="Q20" s="302">
        <f t="shared" si="2"/>
        <v>27.5</v>
      </c>
    </row>
    <row r="21" spans="1:17" ht="15.4" x14ac:dyDescent="0.45">
      <c r="A21" s="1"/>
      <c r="B21" s="140" t="s">
        <v>119</v>
      </c>
      <c r="C21" s="1">
        <v>881</v>
      </c>
      <c r="D21" s="141" t="s">
        <v>123</v>
      </c>
      <c r="E21" s="142">
        <v>2799</v>
      </c>
      <c r="F21" s="142">
        <v>3906.5</v>
      </c>
      <c r="G21" s="142">
        <v>497</v>
      </c>
      <c r="H21" s="142">
        <v>41</v>
      </c>
      <c r="I21" s="142">
        <v>12</v>
      </c>
      <c r="J21" s="302">
        <f t="shared" si="1"/>
        <v>7255.5</v>
      </c>
      <c r="K21" s="142">
        <v>2675</v>
      </c>
      <c r="L21" s="142">
        <v>3909.5</v>
      </c>
      <c r="M21" s="142">
        <v>503.5</v>
      </c>
      <c r="N21" s="142">
        <v>0</v>
      </c>
      <c r="O21" s="142">
        <v>0</v>
      </c>
      <c r="P21" s="302">
        <f t="shared" si="3"/>
        <v>7088</v>
      </c>
      <c r="Q21" s="302">
        <f t="shared" si="2"/>
        <v>-167.5</v>
      </c>
    </row>
    <row r="22" spans="1:17" ht="15.4" x14ac:dyDescent="0.45">
      <c r="A22" s="1"/>
      <c r="B22" s="140" t="s">
        <v>119</v>
      </c>
      <c r="C22" s="1">
        <v>919</v>
      </c>
      <c r="D22" s="141" t="s">
        <v>124</v>
      </c>
      <c r="E22" s="142">
        <v>2209</v>
      </c>
      <c r="F22" s="142">
        <v>944.5</v>
      </c>
      <c r="G22" s="142">
        <v>424</v>
      </c>
      <c r="H22" s="142">
        <v>25.5</v>
      </c>
      <c r="I22" s="142">
        <v>18</v>
      </c>
      <c r="J22" s="302">
        <f t="shared" si="1"/>
        <v>3621</v>
      </c>
      <c r="K22" s="142">
        <v>2290</v>
      </c>
      <c r="L22" s="142">
        <v>1002.5</v>
      </c>
      <c r="M22" s="142">
        <v>471.5</v>
      </c>
      <c r="N22" s="142">
        <v>0</v>
      </c>
      <c r="O22" s="142">
        <v>0</v>
      </c>
      <c r="P22" s="302">
        <f t="shared" si="3"/>
        <v>3764</v>
      </c>
      <c r="Q22" s="302">
        <f t="shared" si="2"/>
        <v>143</v>
      </c>
    </row>
    <row r="23" spans="1:17" ht="15.4" x14ac:dyDescent="0.45">
      <c r="A23" s="1"/>
      <c r="B23" s="140" t="s">
        <v>119</v>
      </c>
      <c r="C23" s="1">
        <v>821</v>
      </c>
      <c r="D23" s="141" t="s">
        <v>125</v>
      </c>
      <c r="E23" s="142">
        <v>541</v>
      </c>
      <c r="F23" s="142">
        <v>583</v>
      </c>
      <c r="G23" s="142">
        <v>128</v>
      </c>
      <c r="H23" s="142">
        <v>3</v>
      </c>
      <c r="I23" s="142">
        <v>2</v>
      </c>
      <c r="J23" s="302">
        <f t="shared" si="1"/>
        <v>1257</v>
      </c>
      <c r="K23" s="142">
        <v>485</v>
      </c>
      <c r="L23" s="142">
        <v>572</v>
      </c>
      <c r="M23" s="142">
        <v>67</v>
      </c>
      <c r="N23" s="142">
        <v>0</v>
      </c>
      <c r="O23" s="142">
        <v>0</v>
      </c>
      <c r="P23" s="302">
        <f t="shared" si="3"/>
        <v>1124</v>
      </c>
      <c r="Q23" s="302">
        <f t="shared" si="2"/>
        <v>-133</v>
      </c>
    </row>
    <row r="24" spans="1:17" ht="15.4" x14ac:dyDescent="0.45">
      <c r="A24" s="1"/>
      <c r="B24" s="140" t="s">
        <v>119</v>
      </c>
      <c r="C24" s="1">
        <v>926</v>
      </c>
      <c r="D24" s="141" t="s">
        <v>126</v>
      </c>
      <c r="E24" s="142">
        <v>1369.5</v>
      </c>
      <c r="F24" s="142">
        <v>1330</v>
      </c>
      <c r="G24" s="142">
        <v>521.5</v>
      </c>
      <c r="H24" s="142">
        <v>4</v>
      </c>
      <c r="I24" s="142">
        <v>3</v>
      </c>
      <c r="J24" s="302">
        <f t="shared" si="1"/>
        <v>3228</v>
      </c>
      <c r="K24" s="142">
        <v>1320.5</v>
      </c>
      <c r="L24" s="142">
        <v>1308</v>
      </c>
      <c r="M24" s="142">
        <v>557</v>
      </c>
      <c r="N24" s="142">
        <v>0</v>
      </c>
      <c r="O24" s="142">
        <v>0</v>
      </c>
      <c r="P24" s="302">
        <f t="shared" si="3"/>
        <v>3185.5</v>
      </c>
      <c r="Q24" s="302">
        <f t="shared" si="2"/>
        <v>-42.5</v>
      </c>
    </row>
    <row r="25" spans="1:17" ht="15.4" x14ac:dyDescent="0.45">
      <c r="A25" s="1"/>
      <c r="B25" s="140" t="s">
        <v>119</v>
      </c>
      <c r="C25" s="1">
        <v>874</v>
      </c>
      <c r="D25" s="141" t="s">
        <v>127</v>
      </c>
      <c r="E25" s="142">
        <v>509</v>
      </c>
      <c r="F25" s="142">
        <v>432.5</v>
      </c>
      <c r="G25" s="142">
        <v>157</v>
      </c>
      <c r="H25" s="142">
        <v>1</v>
      </c>
      <c r="I25" s="142">
        <v>6</v>
      </c>
      <c r="J25" s="302">
        <f t="shared" si="1"/>
        <v>1105.5</v>
      </c>
      <c r="K25" s="142">
        <v>537</v>
      </c>
      <c r="L25" s="142">
        <v>447.5</v>
      </c>
      <c r="M25" s="142">
        <v>184</v>
      </c>
      <c r="N25" s="142">
        <v>0</v>
      </c>
      <c r="O25" s="142">
        <v>0</v>
      </c>
      <c r="P25" s="302">
        <f t="shared" si="3"/>
        <v>1168.5</v>
      </c>
      <c r="Q25" s="302">
        <f t="shared" si="2"/>
        <v>63</v>
      </c>
    </row>
    <row r="26" spans="1:17" ht="15.4" x14ac:dyDescent="0.45">
      <c r="A26" s="1"/>
      <c r="B26" s="140" t="s">
        <v>119</v>
      </c>
      <c r="C26" s="1">
        <v>882</v>
      </c>
      <c r="D26" s="141" t="s">
        <v>128</v>
      </c>
      <c r="E26" s="142">
        <v>501</v>
      </c>
      <c r="F26" s="142">
        <v>498</v>
      </c>
      <c r="G26" s="142">
        <v>70</v>
      </c>
      <c r="H26" s="142">
        <v>1</v>
      </c>
      <c r="I26" s="142">
        <v>2</v>
      </c>
      <c r="J26" s="302">
        <f t="shared" si="1"/>
        <v>1072</v>
      </c>
      <c r="K26" s="142">
        <v>560</v>
      </c>
      <c r="L26" s="142">
        <v>461</v>
      </c>
      <c r="M26" s="142">
        <v>115</v>
      </c>
      <c r="N26" s="142">
        <v>0</v>
      </c>
      <c r="O26" s="142">
        <v>0</v>
      </c>
      <c r="P26" s="302">
        <f t="shared" si="3"/>
        <v>1136</v>
      </c>
      <c r="Q26" s="302">
        <f t="shared" si="2"/>
        <v>64</v>
      </c>
    </row>
    <row r="27" spans="1:17" ht="15.4" x14ac:dyDescent="0.45">
      <c r="A27" s="1"/>
      <c r="B27" s="140" t="s">
        <v>119</v>
      </c>
      <c r="C27" s="1">
        <v>935</v>
      </c>
      <c r="D27" s="141" t="s">
        <v>129</v>
      </c>
      <c r="E27" s="142">
        <v>1040</v>
      </c>
      <c r="F27" s="142">
        <v>1992.5</v>
      </c>
      <c r="G27" s="142">
        <v>431.5</v>
      </c>
      <c r="H27" s="142">
        <v>15</v>
      </c>
      <c r="I27" s="142">
        <v>10</v>
      </c>
      <c r="J27" s="302">
        <f t="shared" si="1"/>
        <v>3489</v>
      </c>
      <c r="K27" s="142">
        <v>1024</v>
      </c>
      <c r="L27" s="142">
        <v>2018.5</v>
      </c>
      <c r="M27" s="142">
        <v>461</v>
      </c>
      <c r="N27" s="142">
        <v>0</v>
      </c>
      <c r="O27" s="142">
        <v>0</v>
      </c>
      <c r="P27" s="302">
        <f t="shared" si="3"/>
        <v>3503.5</v>
      </c>
      <c r="Q27" s="302">
        <f t="shared" si="2"/>
        <v>14.5</v>
      </c>
    </row>
    <row r="28" spans="1:17" ht="15.4" x14ac:dyDescent="0.45">
      <c r="A28" s="1"/>
      <c r="B28" s="140" t="s">
        <v>119</v>
      </c>
      <c r="C28" s="1">
        <v>883</v>
      </c>
      <c r="D28" s="141" t="s">
        <v>130</v>
      </c>
      <c r="E28" s="142">
        <v>342</v>
      </c>
      <c r="F28" s="142">
        <v>615</v>
      </c>
      <c r="G28" s="142">
        <v>60.5</v>
      </c>
      <c r="H28" s="142">
        <v>3</v>
      </c>
      <c r="I28" s="142">
        <v>3</v>
      </c>
      <c r="J28" s="302">
        <f t="shared" si="1"/>
        <v>1023.5</v>
      </c>
      <c r="K28" s="142">
        <v>346</v>
      </c>
      <c r="L28" s="142">
        <v>600</v>
      </c>
      <c r="M28" s="142">
        <v>15</v>
      </c>
      <c r="N28" s="142">
        <v>0</v>
      </c>
      <c r="O28" s="142">
        <v>0</v>
      </c>
      <c r="P28" s="302">
        <f t="shared" si="3"/>
        <v>961</v>
      </c>
      <c r="Q28" s="302">
        <f t="shared" si="2"/>
        <v>-62.5</v>
      </c>
    </row>
    <row r="29" spans="1:17" ht="15.4" x14ac:dyDescent="0.45">
      <c r="A29" s="1"/>
      <c r="B29" s="140" t="s">
        <v>131</v>
      </c>
      <c r="C29" s="1">
        <v>202</v>
      </c>
      <c r="D29" s="141" t="s">
        <v>132</v>
      </c>
      <c r="E29" s="142">
        <v>290</v>
      </c>
      <c r="F29" s="142">
        <v>1327</v>
      </c>
      <c r="G29" s="142">
        <v>85</v>
      </c>
      <c r="H29" s="142">
        <v>15</v>
      </c>
      <c r="I29" s="142">
        <v>9</v>
      </c>
      <c r="J29" s="302">
        <f t="shared" si="1"/>
        <v>1726</v>
      </c>
      <c r="K29" s="142">
        <v>300</v>
      </c>
      <c r="L29" s="142">
        <v>1397.5</v>
      </c>
      <c r="M29" s="142">
        <v>265</v>
      </c>
      <c r="N29" s="142">
        <v>0</v>
      </c>
      <c r="O29" s="142">
        <v>0</v>
      </c>
      <c r="P29" s="302">
        <f t="shared" si="3"/>
        <v>1962.5</v>
      </c>
      <c r="Q29" s="302">
        <f t="shared" si="2"/>
        <v>236.5</v>
      </c>
    </row>
    <row r="30" spans="1:17" ht="15.4" x14ac:dyDescent="0.45">
      <c r="A30" s="1"/>
      <c r="B30" s="140" t="s">
        <v>131</v>
      </c>
      <c r="C30" s="1">
        <v>204</v>
      </c>
      <c r="D30" s="141" t="s">
        <v>133</v>
      </c>
      <c r="E30" s="142">
        <v>368</v>
      </c>
      <c r="F30" s="142">
        <v>858.5</v>
      </c>
      <c r="G30" s="142">
        <v>131</v>
      </c>
      <c r="H30" s="142">
        <v>5</v>
      </c>
      <c r="I30" s="142">
        <v>9</v>
      </c>
      <c r="J30" s="302">
        <f t="shared" si="1"/>
        <v>1371.5</v>
      </c>
      <c r="K30" s="142">
        <v>370</v>
      </c>
      <c r="L30" s="142">
        <v>854.5</v>
      </c>
      <c r="M30" s="142">
        <v>34</v>
      </c>
      <c r="N30" s="142">
        <v>0</v>
      </c>
      <c r="O30" s="142">
        <v>0</v>
      </c>
      <c r="P30" s="302">
        <f t="shared" si="3"/>
        <v>1258.5</v>
      </c>
      <c r="Q30" s="302">
        <f t="shared" si="2"/>
        <v>-113</v>
      </c>
    </row>
    <row r="31" spans="1:17" ht="15.4" x14ac:dyDescent="0.45">
      <c r="A31" s="1"/>
      <c r="B31" s="140" t="s">
        <v>131</v>
      </c>
      <c r="C31" s="1">
        <v>205</v>
      </c>
      <c r="D31" s="141" t="s">
        <v>134</v>
      </c>
      <c r="E31" s="142">
        <v>256.5</v>
      </c>
      <c r="F31" s="142">
        <v>402.5</v>
      </c>
      <c r="G31" s="142">
        <v>43</v>
      </c>
      <c r="H31" s="142">
        <v>8</v>
      </c>
      <c r="I31" s="142">
        <v>4</v>
      </c>
      <c r="J31" s="302">
        <f t="shared" si="1"/>
        <v>714</v>
      </c>
      <c r="K31" s="142">
        <v>465.5</v>
      </c>
      <c r="L31" s="142">
        <v>442.5</v>
      </c>
      <c r="M31" s="142">
        <v>149</v>
      </c>
      <c r="N31" s="142">
        <v>0</v>
      </c>
      <c r="O31" s="142">
        <v>0</v>
      </c>
      <c r="P31" s="302">
        <f t="shared" si="3"/>
        <v>1057</v>
      </c>
      <c r="Q31" s="302">
        <f t="shared" si="2"/>
        <v>343</v>
      </c>
    </row>
    <row r="32" spans="1:17" ht="15.4" x14ac:dyDescent="0.45">
      <c r="A32" s="1"/>
      <c r="B32" s="140" t="s">
        <v>131</v>
      </c>
      <c r="C32" s="1">
        <v>309</v>
      </c>
      <c r="D32" s="141" t="s">
        <v>135</v>
      </c>
      <c r="E32" s="142">
        <v>362</v>
      </c>
      <c r="F32" s="142">
        <v>629</v>
      </c>
      <c r="G32" s="142">
        <v>109</v>
      </c>
      <c r="H32" s="142">
        <v>6</v>
      </c>
      <c r="I32" s="142">
        <v>26</v>
      </c>
      <c r="J32" s="302">
        <f t="shared" si="1"/>
        <v>1132</v>
      </c>
      <c r="K32" s="142">
        <v>390</v>
      </c>
      <c r="L32" s="142">
        <v>610.5</v>
      </c>
      <c r="M32" s="142">
        <v>45</v>
      </c>
      <c r="N32" s="142">
        <v>0</v>
      </c>
      <c r="O32" s="142">
        <v>0</v>
      </c>
      <c r="P32" s="302">
        <f t="shared" si="3"/>
        <v>1045.5</v>
      </c>
      <c r="Q32" s="302">
        <f t="shared" si="2"/>
        <v>-86.5</v>
      </c>
    </row>
    <row r="33" spans="1:17" ht="15.4" x14ac:dyDescent="0.45">
      <c r="A33" s="1"/>
      <c r="B33" s="140" t="s">
        <v>131</v>
      </c>
      <c r="C33" s="1">
        <v>206</v>
      </c>
      <c r="D33" s="141" t="s">
        <v>136</v>
      </c>
      <c r="E33" s="142">
        <v>351</v>
      </c>
      <c r="F33" s="142">
        <v>359</v>
      </c>
      <c r="G33" s="142">
        <v>68</v>
      </c>
      <c r="H33" s="142">
        <v>9</v>
      </c>
      <c r="I33" s="142">
        <v>3</v>
      </c>
      <c r="J33" s="302">
        <f t="shared" si="1"/>
        <v>790</v>
      </c>
      <c r="K33" s="142">
        <v>374</v>
      </c>
      <c r="L33" s="142">
        <v>376</v>
      </c>
      <c r="M33" s="142">
        <v>0</v>
      </c>
      <c r="N33" s="142">
        <v>0</v>
      </c>
      <c r="O33" s="142">
        <v>0</v>
      </c>
      <c r="P33" s="302">
        <f t="shared" si="3"/>
        <v>750</v>
      </c>
      <c r="Q33" s="302">
        <f t="shared" si="2"/>
        <v>-40</v>
      </c>
    </row>
    <row r="34" spans="1:17" ht="15.4" x14ac:dyDescent="0.45">
      <c r="A34" s="1"/>
      <c r="B34" s="140" t="s">
        <v>131</v>
      </c>
      <c r="C34" s="1">
        <v>207</v>
      </c>
      <c r="D34" s="141" t="s">
        <v>137</v>
      </c>
      <c r="E34" s="142">
        <v>107</v>
      </c>
      <c r="F34" s="142">
        <v>226</v>
      </c>
      <c r="G34" s="142">
        <v>43</v>
      </c>
      <c r="H34" s="142">
        <v>11</v>
      </c>
      <c r="I34" s="142">
        <v>5</v>
      </c>
      <c r="J34" s="302">
        <f t="shared" si="1"/>
        <v>392</v>
      </c>
      <c r="K34" s="142">
        <v>101.5</v>
      </c>
      <c r="L34" s="142">
        <v>327</v>
      </c>
      <c r="M34" s="142">
        <v>31</v>
      </c>
      <c r="N34" s="142">
        <v>0</v>
      </c>
      <c r="O34" s="142">
        <v>0</v>
      </c>
      <c r="P34" s="302">
        <f t="shared" si="3"/>
        <v>459.5</v>
      </c>
      <c r="Q34" s="302">
        <f t="shared" si="2"/>
        <v>67.5</v>
      </c>
    </row>
    <row r="35" spans="1:17" ht="15.4" x14ac:dyDescent="0.45">
      <c r="A35" s="1"/>
      <c r="B35" s="140" t="s">
        <v>131</v>
      </c>
      <c r="C35" s="1">
        <v>208</v>
      </c>
      <c r="D35" s="141" t="s">
        <v>138</v>
      </c>
      <c r="E35" s="142">
        <v>513</v>
      </c>
      <c r="F35" s="142">
        <v>994</v>
      </c>
      <c r="G35" s="142">
        <v>132</v>
      </c>
      <c r="H35" s="142">
        <v>13</v>
      </c>
      <c r="I35" s="142">
        <v>9</v>
      </c>
      <c r="J35" s="302">
        <f t="shared" si="1"/>
        <v>1661</v>
      </c>
      <c r="K35" s="142">
        <v>476.5</v>
      </c>
      <c r="L35" s="142">
        <v>998.5</v>
      </c>
      <c r="M35" s="142">
        <v>152</v>
      </c>
      <c r="N35" s="142">
        <v>0</v>
      </c>
      <c r="O35" s="142">
        <v>0</v>
      </c>
      <c r="P35" s="302">
        <f t="shared" si="3"/>
        <v>1627</v>
      </c>
      <c r="Q35" s="302">
        <f t="shared" si="2"/>
        <v>-34</v>
      </c>
    </row>
    <row r="36" spans="1:17" ht="15.4" x14ac:dyDescent="0.45">
      <c r="A36" s="1"/>
      <c r="B36" s="140" t="s">
        <v>131</v>
      </c>
      <c r="C36" s="1">
        <v>209</v>
      </c>
      <c r="D36" s="141" t="s">
        <v>139</v>
      </c>
      <c r="E36" s="142">
        <v>607</v>
      </c>
      <c r="F36" s="142">
        <v>755</v>
      </c>
      <c r="G36" s="142">
        <v>232</v>
      </c>
      <c r="H36" s="142">
        <v>8</v>
      </c>
      <c r="I36" s="142">
        <v>20</v>
      </c>
      <c r="J36" s="302">
        <f t="shared" si="1"/>
        <v>1622</v>
      </c>
      <c r="K36" s="142">
        <v>559</v>
      </c>
      <c r="L36" s="142">
        <v>703</v>
      </c>
      <c r="M36" s="142">
        <v>32</v>
      </c>
      <c r="N36" s="142">
        <v>0</v>
      </c>
      <c r="O36" s="142">
        <v>0</v>
      </c>
      <c r="P36" s="302">
        <f t="shared" si="3"/>
        <v>1294</v>
      </c>
      <c r="Q36" s="302">
        <f t="shared" si="2"/>
        <v>-328</v>
      </c>
    </row>
    <row r="37" spans="1:17" ht="15.4" x14ac:dyDescent="0.45">
      <c r="A37" s="1"/>
      <c r="B37" s="140" t="s">
        <v>131</v>
      </c>
      <c r="C37" s="1">
        <v>316</v>
      </c>
      <c r="D37" s="141" t="s">
        <v>140</v>
      </c>
      <c r="E37" s="142">
        <v>176</v>
      </c>
      <c r="F37" s="142">
        <v>1241</v>
      </c>
      <c r="G37" s="142">
        <v>218</v>
      </c>
      <c r="H37" s="142">
        <v>13</v>
      </c>
      <c r="I37" s="142">
        <v>2</v>
      </c>
      <c r="J37" s="302">
        <f t="shared" si="1"/>
        <v>1650</v>
      </c>
      <c r="K37" s="142">
        <v>134</v>
      </c>
      <c r="L37" s="142">
        <v>1248</v>
      </c>
      <c r="M37" s="142">
        <v>207</v>
      </c>
      <c r="N37" s="142">
        <v>0</v>
      </c>
      <c r="O37" s="142">
        <v>0</v>
      </c>
      <c r="P37" s="302">
        <f t="shared" si="3"/>
        <v>1589</v>
      </c>
      <c r="Q37" s="302">
        <f t="shared" si="2"/>
        <v>-61</v>
      </c>
    </row>
    <row r="38" spans="1:17" ht="15.4" x14ac:dyDescent="0.45">
      <c r="A38" s="1"/>
      <c r="B38" s="140" t="s">
        <v>131</v>
      </c>
      <c r="C38" s="1">
        <v>210</v>
      </c>
      <c r="D38" s="141" t="s">
        <v>141</v>
      </c>
      <c r="E38" s="142">
        <v>543</v>
      </c>
      <c r="F38" s="142">
        <v>640.5</v>
      </c>
      <c r="G38" s="142">
        <v>186</v>
      </c>
      <c r="H38" s="142">
        <v>26</v>
      </c>
      <c r="I38" s="142">
        <v>13</v>
      </c>
      <c r="J38" s="302">
        <f t="shared" si="1"/>
        <v>1408.5</v>
      </c>
      <c r="K38" s="142">
        <v>516</v>
      </c>
      <c r="L38" s="142">
        <v>631.5</v>
      </c>
      <c r="M38" s="142">
        <v>14</v>
      </c>
      <c r="N38" s="142">
        <v>0</v>
      </c>
      <c r="O38" s="142">
        <v>0</v>
      </c>
      <c r="P38" s="302">
        <f t="shared" si="3"/>
        <v>1161.5</v>
      </c>
      <c r="Q38" s="302">
        <f t="shared" si="2"/>
        <v>-247</v>
      </c>
    </row>
    <row r="39" spans="1:17" ht="15.4" x14ac:dyDescent="0.45">
      <c r="A39" s="1"/>
      <c r="B39" s="140" t="s">
        <v>131</v>
      </c>
      <c r="C39" s="1">
        <v>211</v>
      </c>
      <c r="D39" s="141" t="s">
        <v>142</v>
      </c>
      <c r="E39" s="142">
        <v>516</v>
      </c>
      <c r="F39" s="142">
        <v>1183</v>
      </c>
      <c r="G39" s="142">
        <v>193</v>
      </c>
      <c r="H39" s="142">
        <v>31</v>
      </c>
      <c r="I39" s="142">
        <v>1</v>
      </c>
      <c r="J39" s="302">
        <f t="shared" si="1"/>
        <v>1924</v>
      </c>
      <c r="K39" s="142">
        <v>534</v>
      </c>
      <c r="L39" s="142">
        <v>1196</v>
      </c>
      <c r="M39" s="142">
        <v>398</v>
      </c>
      <c r="N39" s="142">
        <v>0</v>
      </c>
      <c r="O39" s="142">
        <v>0</v>
      </c>
      <c r="P39" s="302">
        <f t="shared" si="3"/>
        <v>2128</v>
      </c>
      <c r="Q39" s="302">
        <f t="shared" si="2"/>
        <v>204</v>
      </c>
    </row>
    <row r="40" spans="1:17" ht="15.4" x14ac:dyDescent="0.45">
      <c r="A40" s="1"/>
      <c r="B40" s="140" t="s">
        <v>131</v>
      </c>
      <c r="C40" s="1">
        <v>212</v>
      </c>
      <c r="D40" s="141" t="s">
        <v>143</v>
      </c>
      <c r="E40" s="142">
        <v>492</v>
      </c>
      <c r="F40" s="142">
        <v>737</v>
      </c>
      <c r="G40" s="142">
        <v>97</v>
      </c>
      <c r="H40" s="142">
        <v>14.333333</v>
      </c>
      <c r="I40" s="142">
        <v>13</v>
      </c>
      <c r="J40" s="302">
        <f t="shared" si="1"/>
        <v>1353.333333</v>
      </c>
      <c r="K40" s="142">
        <v>774.5</v>
      </c>
      <c r="L40" s="142">
        <v>735.5</v>
      </c>
      <c r="M40" s="142">
        <v>20</v>
      </c>
      <c r="N40" s="142">
        <v>0</v>
      </c>
      <c r="O40" s="142">
        <v>0</v>
      </c>
      <c r="P40" s="302">
        <f t="shared" si="3"/>
        <v>1530</v>
      </c>
      <c r="Q40" s="302">
        <f t="shared" si="2"/>
        <v>176.66666699999996</v>
      </c>
    </row>
    <row r="41" spans="1:17" ht="15.4" x14ac:dyDescent="0.45">
      <c r="A41" s="1"/>
      <c r="B41" s="140" t="s">
        <v>131</v>
      </c>
      <c r="C41" s="1">
        <v>213</v>
      </c>
      <c r="D41" s="141" t="s">
        <v>144</v>
      </c>
      <c r="E41" s="142">
        <v>234</v>
      </c>
      <c r="F41" s="142">
        <v>433</v>
      </c>
      <c r="G41" s="142">
        <v>60</v>
      </c>
      <c r="H41" s="142">
        <v>15</v>
      </c>
      <c r="I41" s="142">
        <v>4</v>
      </c>
      <c r="J41" s="302">
        <f t="shared" si="1"/>
        <v>746</v>
      </c>
      <c r="K41" s="142">
        <v>169</v>
      </c>
      <c r="L41" s="142">
        <v>459</v>
      </c>
      <c r="M41" s="142">
        <v>138</v>
      </c>
      <c r="N41" s="142">
        <v>0</v>
      </c>
      <c r="O41" s="142">
        <v>0</v>
      </c>
      <c r="P41" s="302">
        <f t="shared" si="3"/>
        <v>766</v>
      </c>
      <c r="Q41" s="302">
        <f t="shared" si="2"/>
        <v>20</v>
      </c>
    </row>
    <row r="42" spans="1:17" ht="15.4" x14ac:dyDescent="0.45">
      <c r="A42" s="1"/>
      <c r="B42" s="140" t="s">
        <v>145</v>
      </c>
      <c r="C42" s="1">
        <v>841</v>
      </c>
      <c r="D42" s="141" t="s">
        <v>146</v>
      </c>
      <c r="E42" s="142">
        <v>247</v>
      </c>
      <c r="F42" s="142">
        <v>175</v>
      </c>
      <c r="G42" s="142">
        <v>74</v>
      </c>
      <c r="H42" s="142">
        <v>5</v>
      </c>
      <c r="I42" s="142">
        <v>6</v>
      </c>
      <c r="J42" s="302">
        <f t="shared" si="1"/>
        <v>507</v>
      </c>
      <c r="K42" s="142">
        <v>260</v>
      </c>
      <c r="L42" s="142">
        <v>163</v>
      </c>
      <c r="M42" s="142">
        <v>98</v>
      </c>
      <c r="N42" s="142">
        <v>0</v>
      </c>
      <c r="O42" s="142">
        <v>0</v>
      </c>
      <c r="P42" s="302">
        <f t="shared" si="3"/>
        <v>521</v>
      </c>
      <c r="Q42" s="302">
        <f t="shared" si="2"/>
        <v>14</v>
      </c>
    </row>
    <row r="43" spans="1:17" ht="15.4" x14ac:dyDescent="0.45">
      <c r="A43" s="1"/>
      <c r="B43" s="140" t="s">
        <v>145</v>
      </c>
      <c r="C43" s="1">
        <v>840</v>
      </c>
      <c r="D43" s="141" t="s">
        <v>147</v>
      </c>
      <c r="E43" s="142">
        <v>1408</v>
      </c>
      <c r="F43" s="142">
        <v>640</v>
      </c>
      <c r="G43" s="142">
        <v>229</v>
      </c>
      <c r="H43" s="142">
        <v>45</v>
      </c>
      <c r="I43" s="142">
        <v>23</v>
      </c>
      <c r="J43" s="302">
        <f t="shared" si="1"/>
        <v>2345</v>
      </c>
      <c r="K43" s="142">
        <v>1367</v>
      </c>
      <c r="L43" s="142">
        <v>632</v>
      </c>
      <c r="M43" s="142">
        <v>224</v>
      </c>
      <c r="N43" s="142">
        <v>0</v>
      </c>
      <c r="O43" s="142">
        <v>0</v>
      </c>
      <c r="P43" s="302">
        <f t="shared" si="3"/>
        <v>2223</v>
      </c>
      <c r="Q43" s="302">
        <f t="shared" si="2"/>
        <v>-122</v>
      </c>
    </row>
    <row r="44" spans="1:17" ht="15.4" x14ac:dyDescent="0.45">
      <c r="A44" s="1"/>
      <c r="B44" s="140" t="s">
        <v>145</v>
      </c>
      <c r="C44" s="1">
        <v>390</v>
      </c>
      <c r="D44" s="141" t="s">
        <v>148</v>
      </c>
      <c r="E44" s="142">
        <v>580</v>
      </c>
      <c r="F44" s="142">
        <v>221</v>
      </c>
      <c r="G44" s="142">
        <v>69</v>
      </c>
      <c r="H44" s="142">
        <v>32</v>
      </c>
      <c r="I44" s="142">
        <v>6</v>
      </c>
      <c r="J44" s="302">
        <f t="shared" si="1"/>
        <v>908</v>
      </c>
      <c r="K44" s="142">
        <v>599</v>
      </c>
      <c r="L44" s="142">
        <v>224</v>
      </c>
      <c r="M44" s="142">
        <v>93</v>
      </c>
      <c r="N44" s="142">
        <v>0</v>
      </c>
      <c r="O44" s="142">
        <v>0</v>
      </c>
      <c r="P44" s="302">
        <f t="shared" si="3"/>
        <v>916</v>
      </c>
      <c r="Q44" s="302">
        <f t="shared" si="2"/>
        <v>8</v>
      </c>
    </row>
    <row r="45" spans="1:17" ht="15.4" x14ac:dyDescent="0.45">
      <c r="A45" s="1"/>
      <c r="B45" s="140" t="s">
        <v>145</v>
      </c>
      <c r="C45" s="1">
        <v>805</v>
      </c>
      <c r="D45" s="141" t="s">
        <v>149</v>
      </c>
      <c r="E45" s="142">
        <v>221</v>
      </c>
      <c r="F45" s="142">
        <v>340</v>
      </c>
      <c r="G45" s="142">
        <v>48</v>
      </c>
      <c r="H45" s="142">
        <v>3</v>
      </c>
      <c r="I45" s="142">
        <v>4</v>
      </c>
      <c r="J45" s="302">
        <f t="shared" si="1"/>
        <v>616</v>
      </c>
      <c r="K45" s="142">
        <v>229</v>
      </c>
      <c r="L45" s="142">
        <v>343</v>
      </c>
      <c r="M45" s="142">
        <v>42</v>
      </c>
      <c r="N45" s="142">
        <v>0</v>
      </c>
      <c r="O45" s="142">
        <v>0</v>
      </c>
      <c r="P45" s="302">
        <f t="shared" si="3"/>
        <v>614</v>
      </c>
      <c r="Q45" s="302">
        <f t="shared" si="2"/>
        <v>-2</v>
      </c>
    </row>
    <row r="46" spans="1:17" ht="15.4" x14ac:dyDescent="0.45">
      <c r="A46" s="1"/>
      <c r="B46" s="140" t="s">
        <v>145</v>
      </c>
      <c r="C46" s="1">
        <v>806</v>
      </c>
      <c r="D46" s="141" t="s">
        <v>150</v>
      </c>
      <c r="E46" s="142">
        <v>473.5</v>
      </c>
      <c r="F46" s="142">
        <v>577</v>
      </c>
      <c r="G46" s="142">
        <v>97</v>
      </c>
      <c r="H46" s="142">
        <v>6</v>
      </c>
      <c r="I46" s="142">
        <v>10</v>
      </c>
      <c r="J46" s="302">
        <f t="shared" si="1"/>
        <v>1163.5</v>
      </c>
      <c r="K46" s="142">
        <v>495</v>
      </c>
      <c r="L46" s="142">
        <v>605</v>
      </c>
      <c r="M46" s="142">
        <v>157</v>
      </c>
      <c r="N46" s="142">
        <v>0</v>
      </c>
      <c r="O46" s="142">
        <v>0</v>
      </c>
      <c r="P46" s="302">
        <f t="shared" si="3"/>
        <v>1257</v>
      </c>
      <c r="Q46" s="302">
        <f t="shared" si="2"/>
        <v>93.5</v>
      </c>
    </row>
    <row r="47" spans="1:17" ht="15.4" x14ac:dyDescent="0.45">
      <c r="A47" s="1"/>
      <c r="B47" s="140" t="s">
        <v>145</v>
      </c>
      <c r="C47" s="1">
        <v>391</v>
      </c>
      <c r="D47" s="141" t="s">
        <v>151</v>
      </c>
      <c r="E47" s="142">
        <v>679</v>
      </c>
      <c r="F47" s="142">
        <v>435</v>
      </c>
      <c r="G47" s="142">
        <v>71</v>
      </c>
      <c r="H47" s="142">
        <v>96.5</v>
      </c>
      <c r="I47" s="142">
        <v>50.5</v>
      </c>
      <c r="J47" s="302">
        <f t="shared" si="1"/>
        <v>1332</v>
      </c>
      <c r="K47" s="142">
        <v>675</v>
      </c>
      <c r="L47" s="142">
        <v>437</v>
      </c>
      <c r="M47" s="142">
        <v>510.5</v>
      </c>
      <c r="N47" s="142">
        <v>0</v>
      </c>
      <c r="O47" s="142">
        <v>0</v>
      </c>
      <c r="P47" s="302">
        <f t="shared" si="3"/>
        <v>1622.5</v>
      </c>
      <c r="Q47" s="302">
        <f t="shared" si="2"/>
        <v>290.5</v>
      </c>
    </row>
    <row r="48" spans="1:17" ht="15.4" x14ac:dyDescent="0.45">
      <c r="A48" s="1"/>
      <c r="B48" s="140" t="s">
        <v>145</v>
      </c>
      <c r="C48" s="1">
        <v>392</v>
      </c>
      <c r="D48" s="141" t="s">
        <v>152</v>
      </c>
      <c r="E48" s="142">
        <v>538.5</v>
      </c>
      <c r="F48" s="142">
        <v>269.5</v>
      </c>
      <c r="G48" s="142">
        <v>64</v>
      </c>
      <c r="H48" s="142">
        <v>11</v>
      </c>
      <c r="I48" s="142">
        <v>3</v>
      </c>
      <c r="J48" s="302">
        <f t="shared" si="1"/>
        <v>886</v>
      </c>
      <c r="K48" s="142">
        <v>542.5</v>
      </c>
      <c r="L48" s="142">
        <v>263.5</v>
      </c>
      <c r="M48" s="142">
        <v>0</v>
      </c>
      <c r="N48" s="142">
        <v>0</v>
      </c>
      <c r="O48" s="142">
        <v>0</v>
      </c>
      <c r="P48" s="302">
        <f t="shared" si="3"/>
        <v>806</v>
      </c>
      <c r="Q48" s="302">
        <f t="shared" si="2"/>
        <v>-80</v>
      </c>
    </row>
    <row r="49" spans="1:17" ht="15.4" x14ac:dyDescent="0.45">
      <c r="A49" s="1"/>
      <c r="B49" s="140" t="s">
        <v>145</v>
      </c>
      <c r="C49" s="1">
        <v>929</v>
      </c>
      <c r="D49" s="141" t="s">
        <v>153</v>
      </c>
      <c r="E49" s="142">
        <v>740</v>
      </c>
      <c r="F49" s="142">
        <v>920</v>
      </c>
      <c r="G49" s="142">
        <v>108</v>
      </c>
      <c r="H49" s="142">
        <v>80</v>
      </c>
      <c r="I49" s="142">
        <v>37</v>
      </c>
      <c r="J49" s="302">
        <f t="shared" si="1"/>
        <v>1885</v>
      </c>
      <c r="K49" s="142">
        <v>735</v>
      </c>
      <c r="L49" s="142">
        <v>923</v>
      </c>
      <c r="M49" s="142">
        <v>77</v>
      </c>
      <c r="N49" s="142">
        <v>0</v>
      </c>
      <c r="O49" s="142">
        <v>0</v>
      </c>
      <c r="P49" s="302">
        <f t="shared" si="3"/>
        <v>1735</v>
      </c>
      <c r="Q49" s="302">
        <f t="shared" si="2"/>
        <v>-150</v>
      </c>
    </row>
    <row r="50" spans="1:17" ht="15.4" x14ac:dyDescent="0.45">
      <c r="A50" s="1"/>
      <c r="B50" s="140" t="s">
        <v>145</v>
      </c>
      <c r="C50" s="1">
        <v>807</v>
      </c>
      <c r="D50" s="141" t="s">
        <v>154</v>
      </c>
      <c r="E50" s="142">
        <v>364</v>
      </c>
      <c r="F50" s="142">
        <v>496</v>
      </c>
      <c r="G50" s="142">
        <v>116</v>
      </c>
      <c r="H50" s="142">
        <v>6</v>
      </c>
      <c r="I50" s="142">
        <v>2</v>
      </c>
      <c r="J50" s="302">
        <f t="shared" si="1"/>
        <v>984</v>
      </c>
      <c r="K50" s="142">
        <v>364</v>
      </c>
      <c r="L50" s="142">
        <v>512</v>
      </c>
      <c r="M50" s="142">
        <v>88</v>
      </c>
      <c r="N50" s="142">
        <v>0</v>
      </c>
      <c r="O50" s="142">
        <v>0</v>
      </c>
      <c r="P50" s="302">
        <f t="shared" si="3"/>
        <v>964</v>
      </c>
      <c r="Q50" s="302">
        <f t="shared" si="2"/>
        <v>-20</v>
      </c>
    </row>
    <row r="51" spans="1:17" ht="15.4" x14ac:dyDescent="0.45">
      <c r="A51" s="1"/>
      <c r="B51" s="140" t="s">
        <v>145</v>
      </c>
      <c r="C51" s="1">
        <v>393</v>
      </c>
      <c r="D51" s="141" t="s">
        <v>155</v>
      </c>
      <c r="E51" s="142">
        <v>478.5</v>
      </c>
      <c r="F51" s="142">
        <v>131</v>
      </c>
      <c r="G51" s="142">
        <v>58</v>
      </c>
      <c r="H51" s="142">
        <v>27</v>
      </c>
      <c r="I51" s="142">
        <v>27</v>
      </c>
      <c r="J51" s="302">
        <f t="shared" si="1"/>
        <v>721.5</v>
      </c>
      <c r="K51" s="142">
        <v>491.5</v>
      </c>
      <c r="L51" s="142">
        <v>129</v>
      </c>
      <c r="M51" s="142">
        <v>130</v>
      </c>
      <c r="N51" s="142">
        <v>0</v>
      </c>
      <c r="O51" s="142">
        <v>0</v>
      </c>
      <c r="P51" s="302">
        <f t="shared" si="3"/>
        <v>750.5</v>
      </c>
      <c r="Q51" s="302">
        <f t="shared" si="2"/>
        <v>29</v>
      </c>
    </row>
    <row r="52" spans="1:17" ht="15.4" x14ac:dyDescent="0.45">
      <c r="A52" s="1"/>
      <c r="B52" s="140" t="s">
        <v>145</v>
      </c>
      <c r="C52" s="1">
        <v>808</v>
      </c>
      <c r="D52" s="141" t="s">
        <v>156</v>
      </c>
      <c r="E52" s="142">
        <v>603</v>
      </c>
      <c r="F52" s="142">
        <v>472</v>
      </c>
      <c r="G52" s="142">
        <v>159</v>
      </c>
      <c r="H52" s="142">
        <v>14</v>
      </c>
      <c r="I52" s="142">
        <v>4</v>
      </c>
      <c r="J52" s="302">
        <f t="shared" si="1"/>
        <v>1252</v>
      </c>
      <c r="K52" s="142">
        <v>558.5</v>
      </c>
      <c r="L52" s="142">
        <v>437</v>
      </c>
      <c r="M52" s="142">
        <v>122</v>
      </c>
      <c r="N52" s="142">
        <v>0</v>
      </c>
      <c r="O52" s="142">
        <v>0</v>
      </c>
      <c r="P52" s="302">
        <f t="shared" si="3"/>
        <v>1117.5</v>
      </c>
      <c r="Q52" s="302">
        <f t="shared" si="2"/>
        <v>-134.5</v>
      </c>
    </row>
    <row r="53" spans="1:17" ht="15.4" x14ac:dyDescent="0.45">
      <c r="A53" s="1"/>
      <c r="B53" s="140" t="s">
        <v>145</v>
      </c>
      <c r="C53" s="1">
        <v>394</v>
      </c>
      <c r="D53" s="141" t="s">
        <v>157</v>
      </c>
      <c r="E53" s="142">
        <v>666.5</v>
      </c>
      <c r="F53" s="142">
        <v>376</v>
      </c>
      <c r="G53" s="142">
        <v>114</v>
      </c>
      <c r="H53" s="142">
        <v>15</v>
      </c>
      <c r="I53" s="142">
        <v>11</v>
      </c>
      <c r="J53" s="302">
        <f t="shared" si="1"/>
        <v>1182.5</v>
      </c>
      <c r="K53" s="142">
        <v>663.5</v>
      </c>
      <c r="L53" s="142">
        <v>377</v>
      </c>
      <c r="M53" s="142">
        <v>77.5</v>
      </c>
      <c r="N53" s="142">
        <v>0</v>
      </c>
      <c r="O53" s="142">
        <v>0</v>
      </c>
      <c r="P53" s="302">
        <f t="shared" si="3"/>
        <v>1118</v>
      </c>
      <c r="Q53" s="302">
        <f t="shared" si="2"/>
        <v>-64.5</v>
      </c>
    </row>
    <row r="54" spans="1:17" ht="15.4" x14ac:dyDescent="0.45">
      <c r="A54" s="1"/>
      <c r="B54" s="140" t="s">
        <v>158</v>
      </c>
      <c r="C54" s="1">
        <v>889</v>
      </c>
      <c r="D54" s="141" t="s">
        <v>159</v>
      </c>
      <c r="E54" s="142">
        <v>234</v>
      </c>
      <c r="F54" s="142">
        <v>602.5</v>
      </c>
      <c r="G54" s="142">
        <v>70</v>
      </c>
      <c r="H54" s="142">
        <v>8</v>
      </c>
      <c r="I54" s="142">
        <v>6</v>
      </c>
      <c r="J54" s="302">
        <f t="shared" si="1"/>
        <v>920.5</v>
      </c>
      <c r="K54" s="142">
        <v>208</v>
      </c>
      <c r="L54" s="142">
        <v>600.5</v>
      </c>
      <c r="M54" s="142">
        <v>102</v>
      </c>
      <c r="N54" s="142">
        <v>0</v>
      </c>
      <c r="O54" s="142">
        <v>0</v>
      </c>
      <c r="P54" s="302">
        <f t="shared" si="3"/>
        <v>910.5</v>
      </c>
      <c r="Q54" s="302">
        <f t="shared" si="2"/>
        <v>-10</v>
      </c>
    </row>
    <row r="55" spans="1:17" ht="15.4" x14ac:dyDescent="0.45">
      <c r="A55" s="1"/>
      <c r="B55" s="140" t="s">
        <v>158</v>
      </c>
      <c r="C55" s="1">
        <v>890</v>
      </c>
      <c r="D55" s="141" t="s">
        <v>160</v>
      </c>
      <c r="E55" s="142">
        <v>389</v>
      </c>
      <c r="F55" s="142">
        <v>107</v>
      </c>
      <c r="G55" s="142">
        <v>74</v>
      </c>
      <c r="H55" s="142">
        <v>0</v>
      </c>
      <c r="I55" s="142">
        <v>19</v>
      </c>
      <c r="J55" s="302">
        <f t="shared" si="1"/>
        <v>589</v>
      </c>
      <c r="K55" s="142">
        <v>417</v>
      </c>
      <c r="L55" s="142">
        <v>103</v>
      </c>
      <c r="M55" s="142">
        <v>116</v>
      </c>
      <c r="N55" s="142">
        <v>0</v>
      </c>
      <c r="O55" s="142">
        <v>0</v>
      </c>
      <c r="P55" s="302">
        <f t="shared" si="3"/>
        <v>636</v>
      </c>
      <c r="Q55" s="302">
        <f t="shared" si="2"/>
        <v>47</v>
      </c>
    </row>
    <row r="56" spans="1:17" ht="15.4" x14ac:dyDescent="0.45">
      <c r="A56" s="1"/>
      <c r="B56" s="140" t="s">
        <v>158</v>
      </c>
      <c r="C56" s="1">
        <v>350</v>
      </c>
      <c r="D56" s="141" t="s">
        <v>161</v>
      </c>
      <c r="E56" s="142">
        <v>689</v>
      </c>
      <c r="F56" s="142">
        <v>758.5</v>
      </c>
      <c r="G56" s="142">
        <v>172</v>
      </c>
      <c r="H56" s="142">
        <v>41</v>
      </c>
      <c r="I56" s="142">
        <v>71</v>
      </c>
      <c r="J56" s="302">
        <f t="shared" si="1"/>
        <v>1731.5</v>
      </c>
      <c r="K56" s="142">
        <v>706</v>
      </c>
      <c r="L56" s="142">
        <v>770.5</v>
      </c>
      <c r="M56" s="142">
        <v>175</v>
      </c>
      <c r="N56" s="142">
        <v>0</v>
      </c>
      <c r="O56" s="142">
        <v>0</v>
      </c>
      <c r="P56" s="302">
        <f t="shared" si="3"/>
        <v>1651.5</v>
      </c>
      <c r="Q56" s="302">
        <f t="shared" si="2"/>
        <v>-80</v>
      </c>
    </row>
    <row r="57" spans="1:17" ht="15.4" x14ac:dyDescent="0.45">
      <c r="A57" s="1"/>
      <c r="B57" s="140" t="s">
        <v>158</v>
      </c>
      <c r="C57" s="1">
        <v>351</v>
      </c>
      <c r="D57" s="141" t="s">
        <v>162</v>
      </c>
      <c r="E57" s="142">
        <v>327</v>
      </c>
      <c r="F57" s="142">
        <v>596</v>
      </c>
      <c r="G57" s="142">
        <v>118</v>
      </c>
      <c r="H57" s="142">
        <v>17</v>
      </c>
      <c r="I57" s="142">
        <v>12</v>
      </c>
      <c r="J57" s="302">
        <f t="shared" si="1"/>
        <v>1070</v>
      </c>
      <c r="K57" s="142">
        <v>340</v>
      </c>
      <c r="L57" s="142">
        <v>578</v>
      </c>
      <c r="M57" s="142">
        <v>156</v>
      </c>
      <c r="N57" s="142">
        <v>0</v>
      </c>
      <c r="O57" s="142">
        <v>0</v>
      </c>
      <c r="P57" s="302">
        <f t="shared" si="3"/>
        <v>1074</v>
      </c>
      <c r="Q57" s="302">
        <f t="shared" si="2"/>
        <v>4</v>
      </c>
    </row>
    <row r="58" spans="1:17" ht="15.4" x14ac:dyDescent="0.45">
      <c r="A58" s="1"/>
      <c r="B58" s="140" t="s">
        <v>158</v>
      </c>
      <c r="C58" s="1">
        <v>895</v>
      </c>
      <c r="D58" s="141" t="s">
        <v>163</v>
      </c>
      <c r="E58" s="142">
        <v>529.5</v>
      </c>
      <c r="F58" s="142">
        <v>747</v>
      </c>
      <c r="G58" s="142">
        <v>107</v>
      </c>
      <c r="H58" s="142">
        <v>63</v>
      </c>
      <c r="I58" s="142">
        <v>14</v>
      </c>
      <c r="J58" s="302">
        <f t="shared" si="1"/>
        <v>1460.5</v>
      </c>
      <c r="K58" s="142">
        <v>333.5</v>
      </c>
      <c r="L58" s="142">
        <v>782</v>
      </c>
      <c r="M58" s="142">
        <v>222</v>
      </c>
      <c r="N58" s="142">
        <v>0</v>
      </c>
      <c r="O58" s="142">
        <v>0</v>
      </c>
      <c r="P58" s="302">
        <f t="shared" si="3"/>
        <v>1337.5</v>
      </c>
      <c r="Q58" s="302">
        <f t="shared" si="2"/>
        <v>-123</v>
      </c>
    </row>
    <row r="59" spans="1:17" ht="15.4" x14ac:dyDescent="0.45">
      <c r="A59" s="1"/>
      <c r="B59" s="140" t="s">
        <v>158</v>
      </c>
      <c r="C59" s="1">
        <v>896</v>
      </c>
      <c r="D59" s="141" t="s">
        <v>164</v>
      </c>
      <c r="E59" s="142">
        <v>810</v>
      </c>
      <c r="F59" s="142">
        <v>1015</v>
      </c>
      <c r="G59" s="142">
        <v>99</v>
      </c>
      <c r="H59" s="142">
        <v>24</v>
      </c>
      <c r="I59" s="142">
        <v>10</v>
      </c>
      <c r="J59" s="302">
        <f t="shared" si="1"/>
        <v>1958</v>
      </c>
      <c r="K59" s="142">
        <v>941</v>
      </c>
      <c r="L59" s="142">
        <v>1025</v>
      </c>
      <c r="M59" s="142">
        <v>2</v>
      </c>
      <c r="N59" s="142">
        <v>0</v>
      </c>
      <c r="O59" s="142">
        <v>0</v>
      </c>
      <c r="P59" s="302">
        <f t="shared" si="3"/>
        <v>1968</v>
      </c>
      <c r="Q59" s="302">
        <f t="shared" si="2"/>
        <v>10</v>
      </c>
    </row>
    <row r="60" spans="1:17" ht="15.4" x14ac:dyDescent="0.45">
      <c r="A60" s="1"/>
      <c r="B60" s="140" t="s">
        <v>158</v>
      </c>
      <c r="C60" s="1">
        <v>909</v>
      </c>
      <c r="D60" s="141" t="s">
        <v>165</v>
      </c>
      <c r="E60" s="142">
        <v>482.5</v>
      </c>
      <c r="F60" s="142">
        <v>1279</v>
      </c>
      <c r="G60" s="142">
        <v>202</v>
      </c>
      <c r="H60" s="142">
        <v>14</v>
      </c>
      <c r="I60" s="142">
        <v>64</v>
      </c>
      <c r="J60" s="302">
        <f t="shared" si="1"/>
        <v>2041.5</v>
      </c>
      <c r="K60" s="142">
        <v>472.5</v>
      </c>
      <c r="L60" s="142">
        <v>1304</v>
      </c>
      <c r="M60" s="142">
        <v>137</v>
      </c>
      <c r="N60" s="142">
        <v>0</v>
      </c>
      <c r="O60" s="142">
        <v>0</v>
      </c>
      <c r="P60" s="302">
        <f t="shared" si="3"/>
        <v>1913.5</v>
      </c>
      <c r="Q60" s="302">
        <f t="shared" si="2"/>
        <v>-128</v>
      </c>
    </row>
    <row r="61" spans="1:17" ht="15.4" x14ac:dyDescent="0.45">
      <c r="A61" s="1"/>
      <c r="B61" s="140" t="s">
        <v>158</v>
      </c>
      <c r="C61" s="1">
        <v>876</v>
      </c>
      <c r="D61" s="141" t="s">
        <v>166</v>
      </c>
      <c r="E61" s="142">
        <v>327</v>
      </c>
      <c r="F61" s="142">
        <v>348</v>
      </c>
      <c r="G61" s="142">
        <v>87</v>
      </c>
      <c r="H61" s="142">
        <v>16</v>
      </c>
      <c r="I61" s="142">
        <v>4</v>
      </c>
      <c r="J61" s="302">
        <f t="shared" si="1"/>
        <v>782</v>
      </c>
      <c r="K61" s="142">
        <v>333</v>
      </c>
      <c r="L61" s="142">
        <v>346</v>
      </c>
      <c r="M61" s="142">
        <v>97</v>
      </c>
      <c r="N61" s="142">
        <v>0</v>
      </c>
      <c r="O61" s="142">
        <v>0</v>
      </c>
      <c r="P61" s="302">
        <f t="shared" si="3"/>
        <v>776</v>
      </c>
      <c r="Q61" s="302">
        <f t="shared" si="2"/>
        <v>-6</v>
      </c>
    </row>
    <row r="62" spans="1:17" ht="15.4" x14ac:dyDescent="0.45">
      <c r="A62" s="1"/>
      <c r="B62" s="140" t="s">
        <v>158</v>
      </c>
      <c r="C62" s="1">
        <v>340</v>
      </c>
      <c r="D62" s="141" t="s">
        <v>167</v>
      </c>
      <c r="E62" s="142">
        <v>476</v>
      </c>
      <c r="F62" s="142">
        <v>345</v>
      </c>
      <c r="G62" s="142">
        <v>130</v>
      </c>
      <c r="H62" s="142">
        <v>13</v>
      </c>
      <c r="I62" s="142">
        <v>24</v>
      </c>
      <c r="J62" s="302">
        <f t="shared" si="1"/>
        <v>988</v>
      </c>
      <c r="K62" s="142">
        <v>486</v>
      </c>
      <c r="L62" s="142">
        <v>304</v>
      </c>
      <c r="M62" s="142">
        <v>0</v>
      </c>
      <c r="N62" s="142">
        <v>0</v>
      </c>
      <c r="O62" s="142">
        <v>0</v>
      </c>
      <c r="P62" s="302">
        <f t="shared" si="3"/>
        <v>790</v>
      </c>
      <c r="Q62" s="302">
        <f t="shared" si="2"/>
        <v>-198</v>
      </c>
    </row>
    <row r="63" spans="1:17" ht="15.4" x14ac:dyDescent="0.45">
      <c r="A63" s="1"/>
      <c r="B63" s="140" t="s">
        <v>158</v>
      </c>
      <c r="C63" s="1">
        <v>888</v>
      </c>
      <c r="D63" s="141" t="s">
        <v>168</v>
      </c>
      <c r="E63" s="142">
        <v>2754</v>
      </c>
      <c r="F63" s="142">
        <v>1495</v>
      </c>
      <c r="G63" s="142">
        <v>630.5</v>
      </c>
      <c r="H63" s="142">
        <v>27</v>
      </c>
      <c r="I63" s="142">
        <v>70</v>
      </c>
      <c r="J63" s="302">
        <f t="shared" si="1"/>
        <v>4976.5</v>
      </c>
      <c r="K63" s="142">
        <v>2744</v>
      </c>
      <c r="L63" s="142">
        <v>1480</v>
      </c>
      <c r="M63" s="142">
        <v>571.5</v>
      </c>
      <c r="N63" s="142">
        <v>0</v>
      </c>
      <c r="O63" s="142">
        <v>0</v>
      </c>
      <c r="P63" s="302">
        <f t="shared" si="3"/>
        <v>4795.5</v>
      </c>
      <c r="Q63" s="302">
        <f t="shared" si="2"/>
        <v>-181</v>
      </c>
    </row>
    <row r="64" spans="1:17" ht="15.4" x14ac:dyDescent="0.45">
      <c r="A64" s="1"/>
      <c r="B64" s="140" t="s">
        <v>158</v>
      </c>
      <c r="C64" s="1">
        <v>341</v>
      </c>
      <c r="D64" s="141" t="s">
        <v>169</v>
      </c>
      <c r="E64" s="142">
        <v>1370</v>
      </c>
      <c r="F64" s="142">
        <v>518</v>
      </c>
      <c r="G64" s="142">
        <v>233</v>
      </c>
      <c r="H64" s="142">
        <v>31</v>
      </c>
      <c r="I64" s="142">
        <v>10</v>
      </c>
      <c r="J64" s="302">
        <f t="shared" si="1"/>
        <v>2162</v>
      </c>
      <c r="K64" s="142">
        <v>1383</v>
      </c>
      <c r="L64" s="142">
        <v>522</v>
      </c>
      <c r="M64" s="142">
        <v>210.5</v>
      </c>
      <c r="N64" s="142">
        <v>0</v>
      </c>
      <c r="O64" s="142">
        <v>0</v>
      </c>
      <c r="P64" s="302">
        <f t="shared" si="3"/>
        <v>2115.5</v>
      </c>
      <c r="Q64" s="302">
        <f t="shared" si="2"/>
        <v>-46.5</v>
      </c>
    </row>
    <row r="65" spans="1:17" ht="15.4" x14ac:dyDescent="0.45">
      <c r="A65" s="1"/>
      <c r="B65" s="140" t="s">
        <v>158</v>
      </c>
      <c r="C65" s="1">
        <v>352</v>
      </c>
      <c r="D65" s="141" t="s">
        <v>170</v>
      </c>
      <c r="E65" s="142">
        <v>1396.333333</v>
      </c>
      <c r="F65" s="142">
        <v>1200</v>
      </c>
      <c r="G65" s="142">
        <v>302</v>
      </c>
      <c r="H65" s="142">
        <v>34</v>
      </c>
      <c r="I65" s="142">
        <v>88</v>
      </c>
      <c r="J65" s="302">
        <f t="shared" si="1"/>
        <v>3020.333333</v>
      </c>
      <c r="K65" s="142">
        <v>1385</v>
      </c>
      <c r="L65" s="142">
        <v>1184</v>
      </c>
      <c r="M65" s="142">
        <v>374</v>
      </c>
      <c r="N65" s="142">
        <v>0</v>
      </c>
      <c r="O65" s="142">
        <v>0</v>
      </c>
      <c r="P65" s="302">
        <f t="shared" si="3"/>
        <v>2943</v>
      </c>
      <c r="Q65" s="302">
        <f t="shared" si="2"/>
        <v>-77.333333000000039</v>
      </c>
    </row>
    <row r="66" spans="1:17" ht="15.4" x14ac:dyDescent="0.45">
      <c r="A66" s="1"/>
      <c r="B66" s="140" t="s">
        <v>158</v>
      </c>
      <c r="C66" s="1">
        <v>353</v>
      </c>
      <c r="D66" s="141" t="s">
        <v>171</v>
      </c>
      <c r="E66" s="142">
        <v>750</v>
      </c>
      <c r="F66" s="142">
        <v>593</v>
      </c>
      <c r="G66" s="142">
        <v>137</v>
      </c>
      <c r="H66" s="142">
        <v>11</v>
      </c>
      <c r="I66" s="142">
        <v>4</v>
      </c>
      <c r="J66" s="302">
        <f t="shared" si="1"/>
        <v>1495</v>
      </c>
      <c r="K66" s="142">
        <v>788.33333299999993</v>
      </c>
      <c r="L66" s="142">
        <v>604</v>
      </c>
      <c r="M66" s="142">
        <v>112</v>
      </c>
      <c r="N66" s="142">
        <v>0</v>
      </c>
      <c r="O66" s="142">
        <v>0</v>
      </c>
      <c r="P66" s="302">
        <f t="shared" si="3"/>
        <v>1504.333333</v>
      </c>
      <c r="Q66" s="302">
        <f t="shared" si="2"/>
        <v>9.3333330000000387</v>
      </c>
    </row>
    <row r="67" spans="1:17" ht="15.4" x14ac:dyDescent="0.45">
      <c r="A67" s="1"/>
      <c r="B67" s="140" t="s">
        <v>158</v>
      </c>
      <c r="C67" s="1">
        <v>354</v>
      </c>
      <c r="D67" s="141" t="s">
        <v>172</v>
      </c>
      <c r="E67" s="142">
        <v>560</v>
      </c>
      <c r="F67" s="142">
        <v>611</v>
      </c>
      <c r="G67" s="142">
        <v>80</v>
      </c>
      <c r="H67" s="142">
        <v>14</v>
      </c>
      <c r="I67" s="142">
        <v>6</v>
      </c>
      <c r="J67" s="302">
        <f t="shared" si="1"/>
        <v>1271</v>
      </c>
      <c r="K67" s="142">
        <v>544</v>
      </c>
      <c r="L67" s="142">
        <v>597</v>
      </c>
      <c r="M67" s="142">
        <v>68</v>
      </c>
      <c r="N67" s="142">
        <v>0</v>
      </c>
      <c r="O67" s="142">
        <v>0</v>
      </c>
      <c r="P67" s="302">
        <f t="shared" si="3"/>
        <v>1209</v>
      </c>
      <c r="Q67" s="302">
        <f t="shared" si="2"/>
        <v>-62</v>
      </c>
    </row>
    <row r="68" spans="1:17" ht="15.4" x14ac:dyDescent="0.45">
      <c r="A68" s="1"/>
      <c r="B68" s="140" t="s">
        <v>158</v>
      </c>
      <c r="C68" s="1">
        <v>355</v>
      </c>
      <c r="D68" s="141" t="s">
        <v>173</v>
      </c>
      <c r="E68" s="142">
        <v>617.5</v>
      </c>
      <c r="F68" s="142">
        <v>642.5</v>
      </c>
      <c r="G68" s="142">
        <v>95</v>
      </c>
      <c r="H68" s="142">
        <v>56</v>
      </c>
      <c r="I68" s="142">
        <v>31</v>
      </c>
      <c r="J68" s="302">
        <f t="shared" si="1"/>
        <v>1442</v>
      </c>
      <c r="K68" s="142">
        <v>612.5</v>
      </c>
      <c r="L68" s="142">
        <v>656.5</v>
      </c>
      <c r="M68" s="142">
        <v>85.5</v>
      </c>
      <c r="N68" s="142">
        <v>0</v>
      </c>
      <c r="O68" s="142">
        <v>0</v>
      </c>
      <c r="P68" s="302">
        <f t="shared" si="3"/>
        <v>1354.5</v>
      </c>
      <c r="Q68" s="302">
        <f t="shared" si="2"/>
        <v>-87.5</v>
      </c>
    </row>
    <row r="69" spans="1:17" ht="15.4" x14ac:dyDescent="0.45">
      <c r="A69" s="1"/>
      <c r="B69" s="140" t="s">
        <v>158</v>
      </c>
      <c r="C69" s="1">
        <v>343</v>
      </c>
      <c r="D69" s="141" t="s">
        <v>174</v>
      </c>
      <c r="E69" s="142">
        <v>578</v>
      </c>
      <c r="F69" s="142">
        <v>546</v>
      </c>
      <c r="G69" s="142">
        <v>92</v>
      </c>
      <c r="H69" s="142">
        <v>36</v>
      </c>
      <c r="I69" s="142">
        <v>6</v>
      </c>
      <c r="J69" s="302">
        <f t="shared" si="1"/>
        <v>1258</v>
      </c>
      <c r="K69" s="142">
        <v>589</v>
      </c>
      <c r="L69" s="142">
        <v>579</v>
      </c>
      <c r="M69" s="142">
        <v>70</v>
      </c>
      <c r="N69" s="142">
        <v>0</v>
      </c>
      <c r="O69" s="142">
        <v>0</v>
      </c>
      <c r="P69" s="302">
        <f t="shared" si="3"/>
        <v>1238</v>
      </c>
      <c r="Q69" s="302">
        <f t="shared" si="2"/>
        <v>-20</v>
      </c>
    </row>
    <row r="70" spans="1:17" ht="15.4" x14ac:dyDescent="0.45">
      <c r="A70" s="1"/>
      <c r="B70" s="140" t="s">
        <v>158</v>
      </c>
      <c r="C70" s="1">
        <v>342</v>
      </c>
      <c r="D70" s="141" t="s">
        <v>175</v>
      </c>
      <c r="E70" s="142">
        <v>373</v>
      </c>
      <c r="F70" s="142">
        <v>678</v>
      </c>
      <c r="G70" s="142">
        <v>66</v>
      </c>
      <c r="H70" s="142">
        <v>5</v>
      </c>
      <c r="I70" s="142">
        <v>23</v>
      </c>
      <c r="J70" s="302">
        <f t="shared" si="1"/>
        <v>1145</v>
      </c>
      <c r="K70" s="142">
        <v>362</v>
      </c>
      <c r="L70" s="142">
        <v>681</v>
      </c>
      <c r="M70" s="142">
        <v>179.5</v>
      </c>
      <c r="N70" s="142">
        <v>0</v>
      </c>
      <c r="O70" s="142">
        <v>0</v>
      </c>
      <c r="P70" s="302">
        <f t="shared" si="3"/>
        <v>1222.5</v>
      </c>
      <c r="Q70" s="302">
        <f t="shared" si="2"/>
        <v>77.5</v>
      </c>
    </row>
    <row r="71" spans="1:17" ht="15.4" x14ac:dyDescent="0.45">
      <c r="A71" s="1"/>
      <c r="B71" s="140" t="s">
        <v>158</v>
      </c>
      <c r="C71" s="1">
        <v>356</v>
      </c>
      <c r="D71" s="141" t="s">
        <v>176</v>
      </c>
      <c r="E71" s="142">
        <v>567</v>
      </c>
      <c r="F71" s="142">
        <v>792</v>
      </c>
      <c r="G71" s="142">
        <v>103</v>
      </c>
      <c r="H71" s="142">
        <v>30</v>
      </c>
      <c r="I71" s="142">
        <v>32</v>
      </c>
      <c r="J71" s="302">
        <f t="shared" si="1"/>
        <v>1524</v>
      </c>
      <c r="K71" s="142">
        <v>563</v>
      </c>
      <c r="L71" s="142">
        <v>800</v>
      </c>
      <c r="M71" s="142">
        <v>96</v>
      </c>
      <c r="N71" s="142">
        <v>0</v>
      </c>
      <c r="O71" s="142">
        <v>0</v>
      </c>
      <c r="P71" s="302">
        <f t="shared" si="3"/>
        <v>1459</v>
      </c>
      <c r="Q71" s="302">
        <f t="shared" si="2"/>
        <v>-65</v>
      </c>
    </row>
    <row r="72" spans="1:17" ht="15.4" x14ac:dyDescent="0.45">
      <c r="A72" s="1"/>
      <c r="B72" s="140" t="s">
        <v>158</v>
      </c>
      <c r="C72" s="1">
        <v>357</v>
      </c>
      <c r="D72" s="141" t="s">
        <v>177</v>
      </c>
      <c r="E72" s="142">
        <v>431</v>
      </c>
      <c r="F72" s="142">
        <v>206</v>
      </c>
      <c r="G72" s="142">
        <v>108</v>
      </c>
      <c r="H72" s="142">
        <v>13</v>
      </c>
      <c r="I72" s="142">
        <v>39</v>
      </c>
      <c r="J72" s="302">
        <f t="shared" si="1"/>
        <v>797</v>
      </c>
      <c r="K72" s="142">
        <v>429</v>
      </c>
      <c r="L72" s="142">
        <v>204</v>
      </c>
      <c r="M72" s="142">
        <v>96</v>
      </c>
      <c r="N72" s="142">
        <v>0</v>
      </c>
      <c r="O72" s="142">
        <v>0</v>
      </c>
      <c r="P72" s="302">
        <f t="shared" si="3"/>
        <v>729</v>
      </c>
      <c r="Q72" s="302">
        <f t="shared" si="2"/>
        <v>-68</v>
      </c>
    </row>
    <row r="73" spans="1:17" ht="15.4" x14ac:dyDescent="0.45">
      <c r="A73" s="1"/>
      <c r="B73" s="140" t="s">
        <v>158</v>
      </c>
      <c r="C73" s="1">
        <v>358</v>
      </c>
      <c r="D73" s="141" t="s">
        <v>178</v>
      </c>
      <c r="E73" s="142">
        <v>547</v>
      </c>
      <c r="F73" s="142">
        <v>581</v>
      </c>
      <c r="G73" s="142">
        <v>69</v>
      </c>
      <c r="H73" s="142">
        <v>36.5</v>
      </c>
      <c r="I73" s="142">
        <v>30</v>
      </c>
      <c r="J73" s="302">
        <f t="shared" ref="J73:J136" si="4">SUM(E73:I73)</f>
        <v>1263.5</v>
      </c>
      <c r="K73" s="142">
        <v>577</v>
      </c>
      <c r="L73" s="142">
        <v>574</v>
      </c>
      <c r="M73" s="142">
        <v>18</v>
      </c>
      <c r="N73" s="142">
        <v>0</v>
      </c>
      <c r="O73" s="142">
        <v>0</v>
      </c>
      <c r="P73" s="302">
        <f t="shared" si="3"/>
        <v>1169</v>
      </c>
      <c r="Q73" s="302">
        <f t="shared" ref="Q73:Q136" si="5">P73 - J73</f>
        <v>-94.5</v>
      </c>
    </row>
    <row r="74" spans="1:17" ht="15.4" x14ac:dyDescent="0.45">
      <c r="A74" s="1"/>
      <c r="B74" s="140" t="s">
        <v>158</v>
      </c>
      <c r="C74" s="1">
        <v>877</v>
      </c>
      <c r="D74" s="141" t="s">
        <v>179</v>
      </c>
      <c r="E74" s="142">
        <v>360</v>
      </c>
      <c r="F74" s="142">
        <v>621</v>
      </c>
      <c r="G74" s="142">
        <v>127</v>
      </c>
      <c r="H74" s="142">
        <v>33</v>
      </c>
      <c r="I74" s="142">
        <v>13</v>
      </c>
      <c r="J74" s="302">
        <f t="shared" si="4"/>
        <v>1154</v>
      </c>
      <c r="K74" s="142">
        <v>343</v>
      </c>
      <c r="L74" s="142">
        <v>631</v>
      </c>
      <c r="M74" s="142">
        <v>98</v>
      </c>
      <c r="N74" s="142">
        <v>0</v>
      </c>
      <c r="O74" s="142">
        <v>0</v>
      </c>
      <c r="P74" s="302">
        <f t="shared" ref="P74:P137" si="6">SUM(K74:O74)</f>
        <v>1072</v>
      </c>
      <c r="Q74" s="302">
        <f t="shared" si="5"/>
        <v>-82</v>
      </c>
    </row>
    <row r="75" spans="1:17" ht="15.4" x14ac:dyDescent="0.45">
      <c r="A75" s="1"/>
      <c r="B75" s="140" t="s">
        <v>158</v>
      </c>
      <c r="C75" s="1">
        <v>359</v>
      </c>
      <c r="D75" s="141" t="s">
        <v>180</v>
      </c>
      <c r="E75" s="142">
        <v>704</v>
      </c>
      <c r="F75" s="142">
        <v>631</v>
      </c>
      <c r="G75" s="142">
        <v>131</v>
      </c>
      <c r="H75" s="142">
        <v>8</v>
      </c>
      <c r="I75" s="142">
        <v>66</v>
      </c>
      <c r="J75" s="302">
        <f t="shared" si="4"/>
        <v>1540</v>
      </c>
      <c r="K75" s="142">
        <v>687</v>
      </c>
      <c r="L75" s="142">
        <v>625</v>
      </c>
      <c r="M75" s="142">
        <v>134</v>
      </c>
      <c r="N75" s="142">
        <v>0</v>
      </c>
      <c r="O75" s="142">
        <v>0</v>
      </c>
      <c r="P75" s="302">
        <f t="shared" si="6"/>
        <v>1446</v>
      </c>
      <c r="Q75" s="302">
        <f t="shared" si="5"/>
        <v>-94</v>
      </c>
    </row>
    <row r="76" spans="1:17" ht="15.4" x14ac:dyDescent="0.45">
      <c r="A76" s="1"/>
      <c r="B76" s="140" t="s">
        <v>158</v>
      </c>
      <c r="C76" s="1">
        <v>344</v>
      </c>
      <c r="D76" s="141" t="s">
        <v>181</v>
      </c>
      <c r="E76" s="142">
        <v>1025</v>
      </c>
      <c r="F76" s="142">
        <v>700</v>
      </c>
      <c r="G76" s="142">
        <v>184</v>
      </c>
      <c r="H76" s="142">
        <v>56</v>
      </c>
      <c r="I76" s="142">
        <v>15</v>
      </c>
      <c r="J76" s="302">
        <f t="shared" si="4"/>
        <v>1980</v>
      </c>
      <c r="K76" s="142">
        <v>1027</v>
      </c>
      <c r="L76" s="142">
        <v>694</v>
      </c>
      <c r="M76" s="142">
        <v>179</v>
      </c>
      <c r="N76" s="142">
        <v>0</v>
      </c>
      <c r="O76" s="142">
        <v>0</v>
      </c>
      <c r="P76" s="302">
        <f t="shared" si="6"/>
        <v>1900</v>
      </c>
      <c r="Q76" s="302">
        <f t="shared" si="5"/>
        <v>-80</v>
      </c>
    </row>
    <row r="77" spans="1:17" ht="15.4" x14ac:dyDescent="0.45">
      <c r="A77" s="1"/>
      <c r="B77" s="140" t="s">
        <v>182</v>
      </c>
      <c r="C77" s="1">
        <v>301</v>
      </c>
      <c r="D77" s="141" t="s">
        <v>183</v>
      </c>
      <c r="E77" s="142">
        <v>324</v>
      </c>
      <c r="F77" s="142">
        <v>694</v>
      </c>
      <c r="G77" s="142">
        <v>120</v>
      </c>
      <c r="H77" s="142">
        <v>8</v>
      </c>
      <c r="I77" s="142">
        <v>1</v>
      </c>
      <c r="J77" s="302">
        <f t="shared" si="4"/>
        <v>1147</v>
      </c>
      <c r="K77" s="142">
        <v>291</v>
      </c>
      <c r="L77" s="142">
        <v>666</v>
      </c>
      <c r="M77" s="142">
        <v>238</v>
      </c>
      <c r="N77" s="142">
        <v>0</v>
      </c>
      <c r="O77" s="142">
        <v>0</v>
      </c>
      <c r="P77" s="302">
        <f t="shared" si="6"/>
        <v>1195</v>
      </c>
      <c r="Q77" s="302">
        <f t="shared" si="5"/>
        <v>48</v>
      </c>
    </row>
    <row r="78" spans="1:17" ht="15.4" x14ac:dyDescent="0.45">
      <c r="A78" s="1"/>
      <c r="B78" s="140" t="s">
        <v>182</v>
      </c>
      <c r="C78" s="1">
        <v>302</v>
      </c>
      <c r="D78" s="141" t="s">
        <v>184</v>
      </c>
      <c r="E78" s="142">
        <v>502</v>
      </c>
      <c r="F78" s="142">
        <v>954</v>
      </c>
      <c r="G78" s="142">
        <v>192</v>
      </c>
      <c r="H78" s="142">
        <v>13</v>
      </c>
      <c r="I78" s="142">
        <v>10</v>
      </c>
      <c r="J78" s="302">
        <f t="shared" si="4"/>
        <v>1671</v>
      </c>
      <c r="K78" s="142">
        <v>483</v>
      </c>
      <c r="L78" s="142">
        <v>981</v>
      </c>
      <c r="M78" s="142">
        <v>270.5</v>
      </c>
      <c r="N78" s="142">
        <v>0</v>
      </c>
      <c r="O78" s="142">
        <v>0</v>
      </c>
      <c r="P78" s="302">
        <f t="shared" si="6"/>
        <v>1734.5</v>
      </c>
      <c r="Q78" s="302">
        <f t="shared" si="5"/>
        <v>63.5</v>
      </c>
    </row>
    <row r="79" spans="1:17" ht="15.4" x14ac:dyDescent="0.45">
      <c r="A79" s="1"/>
      <c r="B79" s="140" t="s">
        <v>182</v>
      </c>
      <c r="C79" s="1">
        <v>303</v>
      </c>
      <c r="D79" s="141" t="s">
        <v>185</v>
      </c>
      <c r="E79" s="142">
        <v>516</v>
      </c>
      <c r="F79" s="142">
        <v>634</v>
      </c>
      <c r="G79" s="142">
        <v>155.5</v>
      </c>
      <c r="H79" s="142">
        <v>12</v>
      </c>
      <c r="I79" s="142">
        <v>4</v>
      </c>
      <c r="J79" s="302">
        <f t="shared" si="4"/>
        <v>1321.5</v>
      </c>
      <c r="K79" s="142">
        <v>487</v>
      </c>
      <c r="L79" s="142">
        <v>608</v>
      </c>
      <c r="M79" s="142">
        <v>9</v>
      </c>
      <c r="N79" s="142">
        <v>0</v>
      </c>
      <c r="O79" s="142">
        <v>0</v>
      </c>
      <c r="P79" s="302">
        <f t="shared" si="6"/>
        <v>1104</v>
      </c>
      <c r="Q79" s="302">
        <f t="shared" si="5"/>
        <v>-217.5</v>
      </c>
    </row>
    <row r="80" spans="1:17" ht="15.4" x14ac:dyDescent="0.45">
      <c r="A80" s="1"/>
      <c r="B80" s="140" t="s">
        <v>182</v>
      </c>
      <c r="C80" s="1">
        <v>304</v>
      </c>
      <c r="D80" s="141" t="s">
        <v>186</v>
      </c>
      <c r="E80" s="142">
        <v>748</v>
      </c>
      <c r="F80" s="142">
        <v>879</v>
      </c>
      <c r="G80" s="142">
        <v>165.5</v>
      </c>
      <c r="H80" s="142">
        <v>33</v>
      </c>
      <c r="I80" s="142">
        <v>7</v>
      </c>
      <c r="J80" s="302">
        <f t="shared" si="4"/>
        <v>1832.5</v>
      </c>
      <c r="K80" s="142">
        <v>684</v>
      </c>
      <c r="L80" s="142">
        <v>804</v>
      </c>
      <c r="M80" s="142">
        <v>0</v>
      </c>
      <c r="N80" s="142">
        <v>0</v>
      </c>
      <c r="O80" s="142">
        <v>0</v>
      </c>
      <c r="P80" s="302">
        <f t="shared" si="6"/>
        <v>1488</v>
      </c>
      <c r="Q80" s="302">
        <f t="shared" si="5"/>
        <v>-344.5</v>
      </c>
    </row>
    <row r="81" spans="1:17" ht="15.4" x14ac:dyDescent="0.45">
      <c r="A81" s="1"/>
      <c r="B81" s="140" t="s">
        <v>182</v>
      </c>
      <c r="C81" s="1">
        <v>305</v>
      </c>
      <c r="D81" s="141" t="s">
        <v>187</v>
      </c>
      <c r="E81" s="142">
        <v>670</v>
      </c>
      <c r="F81" s="142">
        <v>768</v>
      </c>
      <c r="G81" s="142">
        <v>155</v>
      </c>
      <c r="H81" s="142">
        <v>31</v>
      </c>
      <c r="I81" s="142">
        <v>27.5</v>
      </c>
      <c r="J81" s="302">
        <f t="shared" si="4"/>
        <v>1651.5</v>
      </c>
      <c r="K81" s="142">
        <v>651</v>
      </c>
      <c r="L81" s="142">
        <v>760</v>
      </c>
      <c r="M81" s="142">
        <v>321</v>
      </c>
      <c r="N81" s="142">
        <v>0</v>
      </c>
      <c r="O81" s="142">
        <v>0</v>
      </c>
      <c r="P81" s="302">
        <f t="shared" si="6"/>
        <v>1732</v>
      </c>
      <c r="Q81" s="302">
        <f t="shared" si="5"/>
        <v>80.5</v>
      </c>
    </row>
    <row r="82" spans="1:17" ht="15.4" x14ac:dyDescent="0.45">
      <c r="A82" s="1"/>
      <c r="B82" s="140" t="s">
        <v>182</v>
      </c>
      <c r="C82" s="1">
        <v>306</v>
      </c>
      <c r="D82" s="141" t="s">
        <v>188</v>
      </c>
      <c r="E82" s="142">
        <v>1044</v>
      </c>
      <c r="F82" s="142">
        <v>929.5</v>
      </c>
      <c r="G82" s="142">
        <v>135</v>
      </c>
      <c r="H82" s="142">
        <v>14</v>
      </c>
      <c r="I82" s="142">
        <v>33</v>
      </c>
      <c r="J82" s="302">
        <f t="shared" si="4"/>
        <v>2155.5</v>
      </c>
      <c r="K82" s="142">
        <v>929</v>
      </c>
      <c r="L82" s="142">
        <v>904.5</v>
      </c>
      <c r="M82" s="142">
        <v>49</v>
      </c>
      <c r="N82" s="142">
        <v>0</v>
      </c>
      <c r="O82" s="142">
        <v>0</v>
      </c>
      <c r="P82" s="302">
        <f t="shared" si="6"/>
        <v>1882.5</v>
      </c>
      <c r="Q82" s="302">
        <f t="shared" si="5"/>
        <v>-273</v>
      </c>
    </row>
    <row r="83" spans="1:17" ht="15.4" x14ac:dyDescent="0.45">
      <c r="A83" s="1"/>
      <c r="B83" s="140" t="s">
        <v>182</v>
      </c>
      <c r="C83" s="1">
        <v>307</v>
      </c>
      <c r="D83" s="141" t="s">
        <v>189</v>
      </c>
      <c r="E83" s="142">
        <v>767</v>
      </c>
      <c r="F83" s="142">
        <v>808</v>
      </c>
      <c r="G83" s="142">
        <v>134.5</v>
      </c>
      <c r="H83" s="142">
        <v>8</v>
      </c>
      <c r="I83" s="142">
        <v>7</v>
      </c>
      <c r="J83" s="302">
        <f t="shared" si="4"/>
        <v>1724.5</v>
      </c>
      <c r="K83" s="142">
        <v>755</v>
      </c>
      <c r="L83" s="142">
        <v>791</v>
      </c>
      <c r="M83" s="142">
        <v>1</v>
      </c>
      <c r="N83" s="142">
        <v>0</v>
      </c>
      <c r="O83" s="142">
        <v>0</v>
      </c>
      <c r="P83" s="302">
        <f t="shared" si="6"/>
        <v>1547</v>
      </c>
      <c r="Q83" s="302">
        <f t="shared" si="5"/>
        <v>-177.5</v>
      </c>
    </row>
    <row r="84" spans="1:17" ht="15.4" x14ac:dyDescent="0.45">
      <c r="A84" s="1"/>
      <c r="B84" s="140" t="s">
        <v>182</v>
      </c>
      <c r="C84" s="1">
        <v>308</v>
      </c>
      <c r="D84" s="141" t="s">
        <v>190</v>
      </c>
      <c r="E84" s="142">
        <v>738</v>
      </c>
      <c r="F84" s="142">
        <v>818.5</v>
      </c>
      <c r="G84" s="142">
        <v>139</v>
      </c>
      <c r="H84" s="142">
        <v>19</v>
      </c>
      <c r="I84" s="142">
        <v>4</v>
      </c>
      <c r="J84" s="302">
        <f t="shared" si="4"/>
        <v>1718.5</v>
      </c>
      <c r="K84" s="142">
        <v>676</v>
      </c>
      <c r="L84" s="142">
        <v>760.5</v>
      </c>
      <c r="M84" s="142">
        <v>21</v>
      </c>
      <c r="N84" s="142">
        <v>0</v>
      </c>
      <c r="O84" s="142">
        <v>0</v>
      </c>
      <c r="P84" s="302">
        <f t="shared" si="6"/>
        <v>1457.5</v>
      </c>
      <c r="Q84" s="302">
        <f t="shared" si="5"/>
        <v>-261</v>
      </c>
    </row>
    <row r="85" spans="1:17" ht="15.4" x14ac:dyDescent="0.45">
      <c r="A85" s="1"/>
      <c r="B85" s="140" t="s">
        <v>182</v>
      </c>
      <c r="C85" s="1">
        <v>203</v>
      </c>
      <c r="D85" s="141" t="s">
        <v>191</v>
      </c>
      <c r="E85" s="142">
        <v>495</v>
      </c>
      <c r="F85" s="142">
        <v>616</v>
      </c>
      <c r="G85" s="142">
        <v>186</v>
      </c>
      <c r="H85" s="142">
        <v>8</v>
      </c>
      <c r="I85" s="142">
        <v>18</v>
      </c>
      <c r="J85" s="302">
        <f t="shared" si="4"/>
        <v>1323</v>
      </c>
      <c r="K85" s="142">
        <v>473</v>
      </c>
      <c r="L85" s="142">
        <v>662</v>
      </c>
      <c r="M85" s="142">
        <v>189</v>
      </c>
      <c r="N85" s="142">
        <v>0</v>
      </c>
      <c r="O85" s="142">
        <v>0</v>
      </c>
      <c r="P85" s="302">
        <f t="shared" si="6"/>
        <v>1324</v>
      </c>
      <c r="Q85" s="302">
        <f t="shared" si="5"/>
        <v>1</v>
      </c>
    </row>
    <row r="86" spans="1:17" ht="15.4" x14ac:dyDescent="0.45">
      <c r="A86" s="1"/>
      <c r="B86" s="140" t="s">
        <v>182</v>
      </c>
      <c r="C86" s="1">
        <v>310</v>
      </c>
      <c r="D86" s="141" t="s">
        <v>192</v>
      </c>
      <c r="E86" s="142">
        <v>482</v>
      </c>
      <c r="F86" s="142">
        <v>575</v>
      </c>
      <c r="G86" s="142">
        <v>161.5</v>
      </c>
      <c r="H86" s="142">
        <v>33</v>
      </c>
      <c r="I86" s="142">
        <v>9</v>
      </c>
      <c r="J86" s="302">
        <f t="shared" si="4"/>
        <v>1260.5</v>
      </c>
      <c r="K86" s="142">
        <v>445</v>
      </c>
      <c r="L86" s="142">
        <v>551</v>
      </c>
      <c r="M86" s="142">
        <v>18</v>
      </c>
      <c r="N86" s="142">
        <v>0</v>
      </c>
      <c r="O86" s="142">
        <v>0</v>
      </c>
      <c r="P86" s="302">
        <f t="shared" si="6"/>
        <v>1014</v>
      </c>
      <c r="Q86" s="302">
        <f t="shared" si="5"/>
        <v>-246.5</v>
      </c>
    </row>
    <row r="87" spans="1:17" ht="15.4" x14ac:dyDescent="0.45">
      <c r="A87" s="1"/>
      <c r="B87" s="140" t="s">
        <v>182</v>
      </c>
      <c r="C87" s="1">
        <v>311</v>
      </c>
      <c r="D87" s="141" t="s">
        <v>193</v>
      </c>
      <c r="E87" s="142">
        <v>326</v>
      </c>
      <c r="F87" s="142">
        <v>641</v>
      </c>
      <c r="G87" s="142">
        <v>171</v>
      </c>
      <c r="H87" s="142">
        <v>9</v>
      </c>
      <c r="I87" s="142">
        <v>5</v>
      </c>
      <c r="J87" s="302">
        <f t="shared" si="4"/>
        <v>1152</v>
      </c>
      <c r="K87" s="142">
        <v>301</v>
      </c>
      <c r="L87" s="142">
        <v>634</v>
      </c>
      <c r="M87" s="142">
        <v>131</v>
      </c>
      <c r="N87" s="142">
        <v>0</v>
      </c>
      <c r="O87" s="142">
        <v>0</v>
      </c>
      <c r="P87" s="302">
        <f t="shared" si="6"/>
        <v>1066</v>
      </c>
      <c r="Q87" s="302">
        <f t="shared" si="5"/>
        <v>-86</v>
      </c>
    </row>
    <row r="88" spans="1:17" ht="15.4" x14ac:dyDescent="0.45">
      <c r="A88" s="1"/>
      <c r="B88" s="140" t="s">
        <v>182</v>
      </c>
      <c r="C88" s="1">
        <v>312</v>
      </c>
      <c r="D88" s="141" t="s">
        <v>194</v>
      </c>
      <c r="E88" s="142">
        <v>628</v>
      </c>
      <c r="F88" s="142">
        <v>807</v>
      </c>
      <c r="G88" s="142">
        <v>150</v>
      </c>
      <c r="H88" s="142">
        <v>66</v>
      </c>
      <c r="I88" s="142">
        <v>11</v>
      </c>
      <c r="J88" s="302">
        <f t="shared" si="4"/>
        <v>1662</v>
      </c>
      <c r="K88" s="142">
        <v>666</v>
      </c>
      <c r="L88" s="142">
        <v>788</v>
      </c>
      <c r="M88" s="142">
        <v>371</v>
      </c>
      <c r="N88" s="142">
        <v>0</v>
      </c>
      <c r="O88" s="142">
        <v>0</v>
      </c>
      <c r="P88" s="302">
        <f t="shared" si="6"/>
        <v>1825</v>
      </c>
      <c r="Q88" s="302">
        <f t="shared" si="5"/>
        <v>163</v>
      </c>
    </row>
    <row r="89" spans="1:17" ht="15.4" x14ac:dyDescent="0.45">
      <c r="A89" s="1"/>
      <c r="B89" s="140" t="s">
        <v>182</v>
      </c>
      <c r="C89" s="1">
        <v>313</v>
      </c>
      <c r="D89" s="141" t="s">
        <v>195</v>
      </c>
      <c r="E89" s="142">
        <v>600</v>
      </c>
      <c r="F89" s="142">
        <v>770</v>
      </c>
      <c r="G89" s="142">
        <v>181</v>
      </c>
      <c r="H89" s="142">
        <v>39</v>
      </c>
      <c r="I89" s="142">
        <v>9</v>
      </c>
      <c r="J89" s="302">
        <f t="shared" si="4"/>
        <v>1599</v>
      </c>
      <c r="K89" s="142">
        <v>504</v>
      </c>
      <c r="L89" s="142">
        <v>735</v>
      </c>
      <c r="M89" s="142">
        <v>188.5</v>
      </c>
      <c r="N89" s="142">
        <v>0</v>
      </c>
      <c r="O89" s="142">
        <v>0</v>
      </c>
      <c r="P89" s="302">
        <f t="shared" si="6"/>
        <v>1427.5</v>
      </c>
      <c r="Q89" s="302">
        <f t="shared" si="5"/>
        <v>-171.5</v>
      </c>
    </row>
    <row r="90" spans="1:17" ht="15.4" x14ac:dyDescent="0.45">
      <c r="A90" s="1"/>
      <c r="B90" s="140" t="s">
        <v>182</v>
      </c>
      <c r="C90" s="1">
        <v>314</v>
      </c>
      <c r="D90" s="141" t="s">
        <v>196</v>
      </c>
      <c r="E90" s="142">
        <v>287</v>
      </c>
      <c r="F90" s="142">
        <v>448</v>
      </c>
      <c r="G90" s="142">
        <v>20</v>
      </c>
      <c r="H90" s="142">
        <v>19</v>
      </c>
      <c r="I90" s="142">
        <v>13</v>
      </c>
      <c r="J90" s="302">
        <f t="shared" si="4"/>
        <v>787</v>
      </c>
      <c r="K90" s="142">
        <v>332</v>
      </c>
      <c r="L90" s="142">
        <v>431</v>
      </c>
      <c r="M90" s="142">
        <v>252</v>
      </c>
      <c r="N90" s="142">
        <v>0</v>
      </c>
      <c r="O90" s="142">
        <v>0</v>
      </c>
      <c r="P90" s="302">
        <f t="shared" si="6"/>
        <v>1015</v>
      </c>
      <c r="Q90" s="302">
        <f t="shared" si="5"/>
        <v>228</v>
      </c>
    </row>
    <row r="91" spans="1:17" ht="15.4" x14ac:dyDescent="0.45">
      <c r="A91" s="1"/>
      <c r="B91" s="140" t="s">
        <v>182</v>
      </c>
      <c r="C91" s="1">
        <v>315</v>
      </c>
      <c r="D91" s="141" t="s">
        <v>197</v>
      </c>
      <c r="E91" s="142">
        <v>408</v>
      </c>
      <c r="F91" s="142">
        <v>602</v>
      </c>
      <c r="G91" s="142">
        <v>72</v>
      </c>
      <c r="H91" s="142">
        <v>20</v>
      </c>
      <c r="I91" s="142">
        <v>9</v>
      </c>
      <c r="J91" s="302">
        <f t="shared" si="4"/>
        <v>1111</v>
      </c>
      <c r="K91" s="142">
        <v>335</v>
      </c>
      <c r="L91" s="142">
        <v>580</v>
      </c>
      <c r="M91" s="142">
        <v>0</v>
      </c>
      <c r="N91" s="142">
        <v>0</v>
      </c>
      <c r="O91" s="142">
        <v>0</v>
      </c>
      <c r="P91" s="302">
        <f t="shared" si="6"/>
        <v>915</v>
      </c>
      <c r="Q91" s="302">
        <f t="shared" si="5"/>
        <v>-196</v>
      </c>
    </row>
    <row r="92" spans="1:17" ht="15.4" x14ac:dyDescent="0.45">
      <c r="A92" s="1"/>
      <c r="B92" s="140" t="s">
        <v>182</v>
      </c>
      <c r="C92" s="1">
        <v>317</v>
      </c>
      <c r="D92" s="141" t="s">
        <v>198</v>
      </c>
      <c r="E92" s="142">
        <v>541</v>
      </c>
      <c r="F92" s="142">
        <v>734</v>
      </c>
      <c r="G92" s="142">
        <v>217</v>
      </c>
      <c r="H92" s="142">
        <v>54</v>
      </c>
      <c r="I92" s="142">
        <v>12.5</v>
      </c>
      <c r="J92" s="302">
        <f t="shared" si="4"/>
        <v>1558.5</v>
      </c>
      <c r="K92" s="142">
        <v>544</v>
      </c>
      <c r="L92" s="142">
        <v>768</v>
      </c>
      <c r="M92" s="142">
        <v>0</v>
      </c>
      <c r="N92" s="142">
        <v>0</v>
      </c>
      <c r="O92" s="142">
        <v>0</v>
      </c>
      <c r="P92" s="302">
        <f t="shared" si="6"/>
        <v>1312</v>
      </c>
      <c r="Q92" s="302">
        <f t="shared" si="5"/>
        <v>-246.5</v>
      </c>
    </row>
    <row r="93" spans="1:17" ht="15.4" x14ac:dyDescent="0.45">
      <c r="A93" s="1"/>
      <c r="B93" s="140" t="s">
        <v>182</v>
      </c>
      <c r="C93" s="1">
        <v>318</v>
      </c>
      <c r="D93" s="141" t="s">
        <v>199</v>
      </c>
      <c r="E93" s="142">
        <v>214</v>
      </c>
      <c r="F93" s="142">
        <v>590</v>
      </c>
      <c r="G93" s="142">
        <v>62</v>
      </c>
      <c r="H93" s="142">
        <v>31</v>
      </c>
      <c r="I93" s="142">
        <v>16</v>
      </c>
      <c r="J93" s="302">
        <f t="shared" si="4"/>
        <v>913</v>
      </c>
      <c r="K93" s="142">
        <v>221</v>
      </c>
      <c r="L93" s="142">
        <v>661</v>
      </c>
      <c r="M93" s="142">
        <v>84</v>
      </c>
      <c r="N93" s="142">
        <v>0</v>
      </c>
      <c r="O93" s="142">
        <v>0</v>
      </c>
      <c r="P93" s="302">
        <f t="shared" si="6"/>
        <v>966</v>
      </c>
      <c r="Q93" s="302">
        <f t="shared" si="5"/>
        <v>53</v>
      </c>
    </row>
    <row r="94" spans="1:17" ht="15.4" x14ac:dyDescent="0.45">
      <c r="A94" s="1"/>
      <c r="B94" s="140" t="s">
        <v>182</v>
      </c>
      <c r="C94" s="1">
        <v>319</v>
      </c>
      <c r="D94" s="141" t="s">
        <v>200</v>
      </c>
      <c r="E94" s="142">
        <v>374</v>
      </c>
      <c r="F94" s="142">
        <v>652</v>
      </c>
      <c r="G94" s="142">
        <v>52</v>
      </c>
      <c r="H94" s="142">
        <v>16</v>
      </c>
      <c r="I94" s="142">
        <v>9</v>
      </c>
      <c r="J94" s="302">
        <f t="shared" si="4"/>
        <v>1103</v>
      </c>
      <c r="K94" s="142">
        <v>441</v>
      </c>
      <c r="L94" s="142">
        <v>665</v>
      </c>
      <c r="M94" s="142">
        <v>0</v>
      </c>
      <c r="N94" s="142">
        <v>0</v>
      </c>
      <c r="O94" s="142">
        <v>0</v>
      </c>
      <c r="P94" s="302">
        <f t="shared" si="6"/>
        <v>1106</v>
      </c>
      <c r="Q94" s="302">
        <f t="shared" si="5"/>
        <v>3</v>
      </c>
    </row>
    <row r="95" spans="1:17" ht="15.4" x14ac:dyDescent="0.45">
      <c r="A95" s="1"/>
      <c r="B95" s="140" t="s">
        <v>182</v>
      </c>
      <c r="C95" s="1">
        <v>320</v>
      </c>
      <c r="D95" s="141" t="s">
        <v>201</v>
      </c>
      <c r="E95" s="142">
        <v>627</v>
      </c>
      <c r="F95" s="142">
        <v>685</v>
      </c>
      <c r="G95" s="142">
        <v>131</v>
      </c>
      <c r="H95" s="142">
        <v>18</v>
      </c>
      <c r="I95" s="142">
        <v>5.5</v>
      </c>
      <c r="J95" s="302">
        <f t="shared" si="4"/>
        <v>1466.5</v>
      </c>
      <c r="K95" s="142">
        <v>745</v>
      </c>
      <c r="L95" s="142">
        <v>645</v>
      </c>
      <c r="M95" s="142">
        <v>144</v>
      </c>
      <c r="N95" s="142">
        <v>0</v>
      </c>
      <c r="O95" s="142">
        <v>0</v>
      </c>
      <c r="P95" s="302">
        <f t="shared" si="6"/>
        <v>1534</v>
      </c>
      <c r="Q95" s="302">
        <f t="shared" si="5"/>
        <v>67.5</v>
      </c>
    </row>
    <row r="96" spans="1:17" ht="15.4" x14ac:dyDescent="0.45">
      <c r="A96" s="1"/>
      <c r="B96" s="140" t="s">
        <v>202</v>
      </c>
      <c r="C96" s="1">
        <v>867</v>
      </c>
      <c r="D96" s="141" t="s">
        <v>203</v>
      </c>
      <c r="E96" s="142">
        <v>192</v>
      </c>
      <c r="F96" s="142">
        <v>217</v>
      </c>
      <c r="G96" s="142">
        <v>93</v>
      </c>
      <c r="H96" s="142">
        <v>29</v>
      </c>
      <c r="I96" s="142">
        <v>6</v>
      </c>
      <c r="J96" s="302">
        <f t="shared" si="4"/>
        <v>537</v>
      </c>
      <c r="K96" s="142">
        <v>173</v>
      </c>
      <c r="L96" s="142">
        <v>210</v>
      </c>
      <c r="M96" s="142">
        <v>82</v>
      </c>
      <c r="N96" s="142">
        <v>0</v>
      </c>
      <c r="O96" s="142">
        <v>0</v>
      </c>
      <c r="P96" s="302">
        <f t="shared" si="6"/>
        <v>465</v>
      </c>
      <c r="Q96" s="302">
        <f t="shared" si="5"/>
        <v>-72</v>
      </c>
    </row>
    <row r="97" spans="1:17" ht="15.4" x14ac:dyDescent="0.45">
      <c r="A97" s="1"/>
      <c r="B97" s="140" t="s">
        <v>202</v>
      </c>
      <c r="C97" s="1">
        <v>846</v>
      </c>
      <c r="D97" s="141" t="s">
        <v>204</v>
      </c>
      <c r="E97" s="142">
        <v>410</v>
      </c>
      <c r="F97" s="142">
        <v>467</v>
      </c>
      <c r="G97" s="142">
        <v>76</v>
      </c>
      <c r="H97" s="142">
        <v>16.5</v>
      </c>
      <c r="I97" s="142">
        <v>25</v>
      </c>
      <c r="J97" s="302">
        <f t="shared" si="4"/>
        <v>994.5</v>
      </c>
      <c r="K97" s="142">
        <v>439</v>
      </c>
      <c r="L97" s="142">
        <v>480</v>
      </c>
      <c r="M97" s="142">
        <v>27</v>
      </c>
      <c r="N97" s="142">
        <v>0</v>
      </c>
      <c r="O97" s="142">
        <v>0</v>
      </c>
      <c r="P97" s="302">
        <f t="shared" si="6"/>
        <v>946</v>
      </c>
      <c r="Q97" s="302">
        <f t="shared" si="5"/>
        <v>-48.5</v>
      </c>
    </row>
    <row r="98" spans="1:17" ht="15.4" x14ac:dyDescent="0.45">
      <c r="A98" s="1"/>
      <c r="B98" s="140" t="s">
        <v>202</v>
      </c>
      <c r="C98" s="1">
        <v>825</v>
      </c>
      <c r="D98" s="141" t="s">
        <v>205</v>
      </c>
      <c r="E98" s="142">
        <v>1385</v>
      </c>
      <c r="F98" s="142">
        <v>1300</v>
      </c>
      <c r="G98" s="142">
        <v>179</v>
      </c>
      <c r="H98" s="142">
        <v>52</v>
      </c>
      <c r="I98" s="142">
        <v>25</v>
      </c>
      <c r="J98" s="302">
        <f t="shared" si="4"/>
        <v>2941</v>
      </c>
      <c r="K98" s="142">
        <v>1355</v>
      </c>
      <c r="L98" s="142">
        <v>1258</v>
      </c>
      <c r="M98" s="142">
        <v>93</v>
      </c>
      <c r="N98" s="142">
        <v>0</v>
      </c>
      <c r="O98" s="142">
        <v>0</v>
      </c>
      <c r="P98" s="302">
        <f t="shared" si="6"/>
        <v>2706</v>
      </c>
      <c r="Q98" s="302">
        <f t="shared" si="5"/>
        <v>-235</v>
      </c>
    </row>
    <row r="99" spans="1:17" ht="15.4" x14ac:dyDescent="0.45">
      <c r="A99" s="1"/>
      <c r="B99" s="140" t="s">
        <v>202</v>
      </c>
      <c r="C99" s="1">
        <v>845</v>
      </c>
      <c r="D99" s="141" t="s">
        <v>206</v>
      </c>
      <c r="E99" s="142">
        <v>1005.5</v>
      </c>
      <c r="F99" s="142">
        <v>972</v>
      </c>
      <c r="G99" s="142">
        <v>229</v>
      </c>
      <c r="H99" s="142">
        <v>84</v>
      </c>
      <c r="I99" s="142">
        <v>20</v>
      </c>
      <c r="J99" s="302">
        <f t="shared" si="4"/>
        <v>2310.5</v>
      </c>
      <c r="K99" s="142">
        <v>957.5</v>
      </c>
      <c r="L99" s="142">
        <v>960</v>
      </c>
      <c r="M99" s="142">
        <v>285</v>
      </c>
      <c r="N99" s="142">
        <v>0</v>
      </c>
      <c r="O99" s="142">
        <v>0</v>
      </c>
      <c r="P99" s="302">
        <f t="shared" si="6"/>
        <v>2202.5</v>
      </c>
      <c r="Q99" s="302">
        <f t="shared" si="5"/>
        <v>-108</v>
      </c>
    </row>
    <row r="100" spans="1:17" ht="15.4" x14ac:dyDescent="0.45">
      <c r="A100" s="1"/>
      <c r="B100" s="140" t="s">
        <v>202</v>
      </c>
      <c r="C100" s="1">
        <v>850</v>
      </c>
      <c r="D100" s="141" t="s">
        <v>207</v>
      </c>
      <c r="E100" s="142">
        <v>2806.5</v>
      </c>
      <c r="F100" s="142">
        <v>2287</v>
      </c>
      <c r="G100" s="142">
        <v>680</v>
      </c>
      <c r="H100" s="142">
        <v>72</v>
      </c>
      <c r="I100" s="142">
        <v>47</v>
      </c>
      <c r="J100" s="302">
        <f t="shared" si="4"/>
        <v>5892.5</v>
      </c>
      <c r="K100" s="142">
        <v>2678.5</v>
      </c>
      <c r="L100" s="142">
        <v>2327</v>
      </c>
      <c r="M100" s="142">
        <v>669.5</v>
      </c>
      <c r="N100" s="142">
        <v>0</v>
      </c>
      <c r="O100" s="142">
        <v>0</v>
      </c>
      <c r="P100" s="302">
        <f t="shared" si="6"/>
        <v>5675</v>
      </c>
      <c r="Q100" s="302">
        <f t="shared" si="5"/>
        <v>-217.5</v>
      </c>
    </row>
    <row r="101" spans="1:17" ht="15.4" x14ac:dyDescent="0.45">
      <c r="A101" s="1"/>
      <c r="B101" s="140" t="s">
        <v>202</v>
      </c>
      <c r="C101" s="1">
        <v>921</v>
      </c>
      <c r="D101" s="141" t="s">
        <v>208</v>
      </c>
      <c r="E101" s="142">
        <v>247.5</v>
      </c>
      <c r="F101" s="142">
        <v>336</v>
      </c>
      <c r="G101" s="142">
        <v>176</v>
      </c>
      <c r="H101" s="142">
        <v>31</v>
      </c>
      <c r="I101" s="142">
        <v>5</v>
      </c>
      <c r="J101" s="302">
        <f t="shared" si="4"/>
        <v>795.5</v>
      </c>
      <c r="K101" s="142">
        <v>246.5</v>
      </c>
      <c r="L101" s="142">
        <v>336</v>
      </c>
      <c r="M101" s="142">
        <v>182.5</v>
      </c>
      <c r="N101" s="142">
        <v>0</v>
      </c>
      <c r="O101" s="142">
        <v>0</v>
      </c>
      <c r="P101" s="302">
        <f t="shared" si="6"/>
        <v>765</v>
      </c>
      <c r="Q101" s="302">
        <f t="shared" si="5"/>
        <v>-30.5</v>
      </c>
    </row>
    <row r="102" spans="1:17" ht="15.4" x14ac:dyDescent="0.45">
      <c r="A102" s="1"/>
      <c r="B102" s="140" t="s">
        <v>202</v>
      </c>
      <c r="C102" s="1">
        <v>886</v>
      </c>
      <c r="D102" s="141" t="s">
        <v>209</v>
      </c>
      <c r="E102" s="142">
        <v>4031</v>
      </c>
      <c r="F102" s="142">
        <v>2654</v>
      </c>
      <c r="G102" s="142">
        <v>879</v>
      </c>
      <c r="H102" s="142">
        <v>129.5</v>
      </c>
      <c r="I102" s="142">
        <v>135</v>
      </c>
      <c r="J102" s="302">
        <f t="shared" si="4"/>
        <v>7828.5</v>
      </c>
      <c r="K102" s="142">
        <v>3998.5</v>
      </c>
      <c r="L102" s="142">
        <v>2649</v>
      </c>
      <c r="M102" s="142">
        <v>911.5</v>
      </c>
      <c r="N102" s="142">
        <v>0</v>
      </c>
      <c r="O102" s="142">
        <v>0</v>
      </c>
      <c r="P102" s="302">
        <f t="shared" si="6"/>
        <v>7559</v>
      </c>
      <c r="Q102" s="302">
        <f t="shared" si="5"/>
        <v>-269.5</v>
      </c>
    </row>
    <row r="103" spans="1:17" ht="15.4" x14ac:dyDescent="0.45">
      <c r="A103" s="1"/>
      <c r="B103" s="140" t="s">
        <v>202</v>
      </c>
      <c r="C103" s="1">
        <v>887</v>
      </c>
      <c r="D103" s="141" t="s">
        <v>210</v>
      </c>
      <c r="E103" s="142">
        <v>730</v>
      </c>
      <c r="F103" s="142">
        <v>375</v>
      </c>
      <c r="G103" s="142">
        <v>107</v>
      </c>
      <c r="H103" s="142">
        <v>21</v>
      </c>
      <c r="I103" s="142">
        <v>30</v>
      </c>
      <c r="J103" s="302">
        <f t="shared" si="4"/>
        <v>1263</v>
      </c>
      <c r="K103" s="142">
        <v>723</v>
      </c>
      <c r="L103" s="142">
        <v>367</v>
      </c>
      <c r="M103" s="142">
        <v>213</v>
      </c>
      <c r="N103" s="142">
        <v>0</v>
      </c>
      <c r="O103" s="142">
        <v>0</v>
      </c>
      <c r="P103" s="302">
        <f t="shared" si="6"/>
        <v>1303</v>
      </c>
      <c r="Q103" s="302">
        <f t="shared" si="5"/>
        <v>40</v>
      </c>
    </row>
    <row r="104" spans="1:17" ht="15.4" x14ac:dyDescent="0.45">
      <c r="A104" s="1"/>
      <c r="B104" s="140" t="s">
        <v>202</v>
      </c>
      <c r="C104" s="1">
        <v>826</v>
      </c>
      <c r="D104" s="141" t="s">
        <v>211</v>
      </c>
      <c r="E104" s="142">
        <v>774</v>
      </c>
      <c r="F104" s="142">
        <v>555</v>
      </c>
      <c r="G104" s="142">
        <v>129</v>
      </c>
      <c r="H104" s="142">
        <v>8</v>
      </c>
      <c r="I104" s="142">
        <v>4</v>
      </c>
      <c r="J104" s="302">
        <f t="shared" si="4"/>
        <v>1470</v>
      </c>
      <c r="K104" s="142">
        <v>786</v>
      </c>
      <c r="L104" s="142">
        <v>542</v>
      </c>
      <c r="M104" s="142">
        <v>136</v>
      </c>
      <c r="N104" s="142">
        <v>0</v>
      </c>
      <c r="O104" s="142">
        <v>0</v>
      </c>
      <c r="P104" s="302">
        <f t="shared" si="6"/>
        <v>1464</v>
      </c>
      <c r="Q104" s="302">
        <f t="shared" si="5"/>
        <v>-6</v>
      </c>
    </row>
    <row r="105" spans="1:17" ht="15.4" x14ac:dyDescent="0.45">
      <c r="A105" s="1"/>
      <c r="B105" s="140" t="s">
        <v>202</v>
      </c>
      <c r="C105" s="1">
        <v>931</v>
      </c>
      <c r="D105" s="141" t="s">
        <v>212</v>
      </c>
      <c r="E105" s="142">
        <v>1076.5</v>
      </c>
      <c r="F105" s="142">
        <v>934.5</v>
      </c>
      <c r="G105" s="142">
        <v>388</v>
      </c>
      <c r="H105" s="142">
        <v>26</v>
      </c>
      <c r="I105" s="142">
        <v>33</v>
      </c>
      <c r="J105" s="302">
        <f t="shared" si="4"/>
        <v>2458</v>
      </c>
      <c r="K105" s="142">
        <v>1082.5</v>
      </c>
      <c r="L105" s="142">
        <v>971.5</v>
      </c>
      <c r="M105" s="142">
        <v>595</v>
      </c>
      <c r="N105" s="142">
        <v>0</v>
      </c>
      <c r="O105" s="142">
        <v>0</v>
      </c>
      <c r="P105" s="302">
        <f t="shared" si="6"/>
        <v>2649</v>
      </c>
      <c r="Q105" s="302">
        <f t="shared" si="5"/>
        <v>191</v>
      </c>
    </row>
    <row r="106" spans="1:17" ht="15.4" x14ac:dyDescent="0.45">
      <c r="A106" s="1"/>
      <c r="B106" s="140" t="s">
        <v>202</v>
      </c>
      <c r="C106" s="1">
        <v>851</v>
      </c>
      <c r="D106" s="141" t="s">
        <v>213</v>
      </c>
      <c r="E106" s="142">
        <v>517</v>
      </c>
      <c r="F106" s="142">
        <v>411.5</v>
      </c>
      <c r="G106" s="142">
        <v>110</v>
      </c>
      <c r="H106" s="142">
        <v>10.5</v>
      </c>
      <c r="I106" s="142">
        <v>0</v>
      </c>
      <c r="J106" s="302">
        <f t="shared" si="4"/>
        <v>1049</v>
      </c>
      <c r="K106" s="142">
        <v>525</v>
      </c>
      <c r="L106" s="142">
        <v>380</v>
      </c>
      <c r="M106" s="142">
        <v>138.5</v>
      </c>
      <c r="N106" s="142">
        <v>0</v>
      </c>
      <c r="O106" s="142">
        <v>0</v>
      </c>
      <c r="P106" s="302">
        <f t="shared" si="6"/>
        <v>1043.5</v>
      </c>
      <c r="Q106" s="302">
        <f t="shared" si="5"/>
        <v>-5.5</v>
      </c>
    </row>
    <row r="107" spans="1:17" ht="15.4" x14ac:dyDescent="0.45">
      <c r="A107" s="1"/>
      <c r="B107" s="140" t="s">
        <v>202</v>
      </c>
      <c r="C107" s="1">
        <v>870</v>
      </c>
      <c r="D107" s="141" t="s">
        <v>214</v>
      </c>
      <c r="E107" s="142">
        <v>368</v>
      </c>
      <c r="F107" s="142">
        <v>288</v>
      </c>
      <c r="G107" s="142">
        <v>109</v>
      </c>
      <c r="H107" s="142">
        <v>18</v>
      </c>
      <c r="I107" s="142">
        <v>5</v>
      </c>
      <c r="J107" s="302">
        <f t="shared" si="4"/>
        <v>788</v>
      </c>
      <c r="K107" s="142">
        <v>223</v>
      </c>
      <c r="L107" s="142">
        <v>214</v>
      </c>
      <c r="M107" s="142">
        <v>0</v>
      </c>
      <c r="N107" s="142">
        <v>0</v>
      </c>
      <c r="O107" s="142">
        <v>0</v>
      </c>
      <c r="P107" s="302">
        <f t="shared" si="6"/>
        <v>437</v>
      </c>
      <c r="Q107" s="302">
        <f t="shared" si="5"/>
        <v>-351</v>
      </c>
    </row>
    <row r="108" spans="1:17" ht="15.4" x14ac:dyDescent="0.45">
      <c r="A108" s="1"/>
      <c r="B108" s="140" t="s">
        <v>202</v>
      </c>
      <c r="C108" s="1">
        <v>871</v>
      </c>
      <c r="D108" s="141" t="s">
        <v>215</v>
      </c>
      <c r="E108" s="142">
        <v>317</v>
      </c>
      <c r="F108" s="142">
        <v>580</v>
      </c>
      <c r="G108" s="142">
        <v>66</v>
      </c>
      <c r="H108" s="142">
        <v>8</v>
      </c>
      <c r="I108" s="142">
        <v>4</v>
      </c>
      <c r="J108" s="302">
        <f t="shared" si="4"/>
        <v>975</v>
      </c>
      <c r="K108" s="142">
        <v>316</v>
      </c>
      <c r="L108" s="142">
        <v>556</v>
      </c>
      <c r="M108" s="142">
        <v>65</v>
      </c>
      <c r="N108" s="142">
        <v>0</v>
      </c>
      <c r="O108" s="142">
        <v>0</v>
      </c>
      <c r="P108" s="302">
        <f t="shared" si="6"/>
        <v>937</v>
      </c>
      <c r="Q108" s="302">
        <f t="shared" si="5"/>
        <v>-38</v>
      </c>
    </row>
    <row r="109" spans="1:17" ht="15.4" x14ac:dyDescent="0.45">
      <c r="A109" s="1"/>
      <c r="B109" s="140" t="s">
        <v>202</v>
      </c>
      <c r="C109" s="1">
        <v>852</v>
      </c>
      <c r="D109" s="141" t="s">
        <v>216</v>
      </c>
      <c r="E109" s="142">
        <v>519</v>
      </c>
      <c r="F109" s="142">
        <v>482</v>
      </c>
      <c r="G109" s="142">
        <v>113</v>
      </c>
      <c r="H109" s="142">
        <v>7</v>
      </c>
      <c r="I109" s="142">
        <v>9</v>
      </c>
      <c r="J109" s="302">
        <f t="shared" si="4"/>
        <v>1130</v>
      </c>
      <c r="K109" s="142">
        <v>530</v>
      </c>
      <c r="L109" s="142">
        <v>464</v>
      </c>
      <c r="M109" s="142">
        <v>105</v>
      </c>
      <c r="N109" s="142">
        <v>0</v>
      </c>
      <c r="O109" s="142">
        <v>0</v>
      </c>
      <c r="P109" s="302">
        <f t="shared" si="6"/>
        <v>1099</v>
      </c>
      <c r="Q109" s="302">
        <f t="shared" si="5"/>
        <v>-31</v>
      </c>
    </row>
    <row r="110" spans="1:17" ht="15.4" x14ac:dyDescent="0.45">
      <c r="A110" s="1"/>
      <c r="B110" s="140" t="s">
        <v>202</v>
      </c>
      <c r="C110" s="1">
        <v>936</v>
      </c>
      <c r="D110" s="141" t="s">
        <v>217</v>
      </c>
      <c r="E110" s="142">
        <v>2095.5</v>
      </c>
      <c r="F110" s="142">
        <v>2865</v>
      </c>
      <c r="G110" s="142">
        <v>445</v>
      </c>
      <c r="H110" s="142">
        <v>232.5</v>
      </c>
      <c r="I110" s="142">
        <v>82</v>
      </c>
      <c r="J110" s="302">
        <f t="shared" si="4"/>
        <v>5720</v>
      </c>
      <c r="K110" s="142">
        <v>2231.5</v>
      </c>
      <c r="L110" s="142">
        <v>2917</v>
      </c>
      <c r="M110" s="142">
        <v>469</v>
      </c>
      <c r="N110" s="142">
        <v>0</v>
      </c>
      <c r="O110" s="142">
        <v>0</v>
      </c>
      <c r="P110" s="302">
        <f t="shared" si="6"/>
        <v>5617.5</v>
      </c>
      <c r="Q110" s="302">
        <f t="shared" si="5"/>
        <v>-102.5</v>
      </c>
    </row>
    <row r="111" spans="1:17" ht="15.4" x14ac:dyDescent="0.45">
      <c r="A111" s="1"/>
      <c r="B111" s="140" t="s">
        <v>202</v>
      </c>
      <c r="C111" s="1">
        <v>869</v>
      </c>
      <c r="D111" s="141" t="s">
        <v>218</v>
      </c>
      <c r="E111" s="142">
        <v>279</v>
      </c>
      <c r="F111" s="142">
        <v>318</v>
      </c>
      <c r="G111" s="142">
        <v>99</v>
      </c>
      <c r="H111" s="142">
        <v>33</v>
      </c>
      <c r="I111" s="142">
        <v>10</v>
      </c>
      <c r="J111" s="302">
        <f t="shared" si="4"/>
        <v>739</v>
      </c>
      <c r="K111" s="142">
        <v>395</v>
      </c>
      <c r="L111" s="142">
        <v>341</v>
      </c>
      <c r="M111" s="142">
        <v>131</v>
      </c>
      <c r="N111" s="142">
        <v>0</v>
      </c>
      <c r="O111" s="142">
        <v>0</v>
      </c>
      <c r="P111" s="302">
        <f t="shared" si="6"/>
        <v>867</v>
      </c>
      <c r="Q111" s="302">
        <f t="shared" si="5"/>
        <v>128</v>
      </c>
    </row>
    <row r="112" spans="1:17" ht="15.4" x14ac:dyDescent="0.45">
      <c r="A112" s="1"/>
      <c r="B112" s="140" t="s">
        <v>202</v>
      </c>
      <c r="C112" s="1">
        <v>938</v>
      </c>
      <c r="D112" s="141" t="s">
        <v>219</v>
      </c>
      <c r="E112" s="142">
        <v>1672.5</v>
      </c>
      <c r="F112" s="142">
        <v>1574.5</v>
      </c>
      <c r="G112" s="142">
        <v>142</v>
      </c>
      <c r="H112" s="142">
        <v>145</v>
      </c>
      <c r="I112" s="142">
        <v>58</v>
      </c>
      <c r="J112" s="302">
        <f t="shared" si="4"/>
        <v>3592</v>
      </c>
      <c r="K112" s="142">
        <v>1697.5</v>
      </c>
      <c r="L112" s="142">
        <v>1583.5</v>
      </c>
      <c r="M112" s="142">
        <v>134</v>
      </c>
      <c r="N112" s="142">
        <v>0</v>
      </c>
      <c r="O112" s="142">
        <v>0</v>
      </c>
      <c r="P112" s="302">
        <f t="shared" si="6"/>
        <v>3415</v>
      </c>
      <c r="Q112" s="302">
        <f t="shared" si="5"/>
        <v>-177</v>
      </c>
    </row>
    <row r="113" spans="1:17" ht="15.4" x14ac:dyDescent="0.45">
      <c r="A113" s="1"/>
      <c r="B113" s="140" t="s">
        <v>202</v>
      </c>
      <c r="C113" s="1">
        <v>868</v>
      </c>
      <c r="D113" s="141" t="s">
        <v>220</v>
      </c>
      <c r="E113" s="142">
        <v>210</v>
      </c>
      <c r="F113" s="142">
        <v>320</v>
      </c>
      <c r="G113" s="142">
        <v>49</v>
      </c>
      <c r="H113" s="142">
        <v>29</v>
      </c>
      <c r="I113" s="142">
        <v>11</v>
      </c>
      <c r="J113" s="302">
        <f t="shared" si="4"/>
        <v>619</v>
      </c>
      <c r="K113" s="142">
        <v>253</v>
      </c>
      <c r="L113" s="142">
        <v>345</v>
      </c>
      <c r="M113" s="142">
        <v>167</v>
      </c>
      <c r="N113" s="142">
        <v>0</v>
      </c>
      <c r="O113" s="142">
        <v>0</v>
      </c>
      <c r="P113" s="302">
        <f t="shared" si="6"/>
        <v>765</v>
      </c>
      <c r="Q113" s="302">
        <f t="shared" si="5"/>
        <v>146</v>
      </c>
    </row>
    <row r="114" spans="1:17" ht="15.4" x14ac:dyDescent="0.45">
      <c r="A114" s="1"/>
      <c r="B114" s="140" t="s">
        <v>202</v>
      </c>
      <c r="C114" s="1">
        <v>872</v>
      </c>
      <c r="D114" s="141" t="s">
        <v>221</v>
      </c>
      <c r="E114" s="142">
        <v>250</v>
      </c>
      <c r="F114" s="142">
        <v>346</v>
      </c>
      <c r="G114" s="142">
        <v>99</v>
      </c>
      <c r="H114" s="142">
        <v>27</v>
      </c>
      <c r="I114" s="142">
        <v>8</v>
      </c>
      <c r="J114" s="302">
        <f t="shared" si="4"/>
        <v>730</v>
      </c>
      <c r="K114" s="142">
        <v>259</v>
      </c>
      <c r="L114" s="142">
        <v>372</v>
      </c>
      <c r="M114" s="142">
        <v>0</v>
      </c>
      <c r="N114" s="142">
        <v>0</v>
      </c>
      <c r="O114" s="142">
        <v>0</v>
      </c>
      <c r="P114" s="302">
        <f t="shared" si="6"/>
        <v>631</v>
      </c>
      <c r="Q114" s="302">
        <f t="shared" si="5"/>
        <v>-99</v>
      </c>
    </row>
    <row r="115" spans="1:17" ht="15.4" x14ac:dyDescent="0.45">
      <c r="A115" s="1"/>
      <c r="B115" s="140" t="s">
        <v>222</v>
      </c>
      <c r="C115" s="1">
        <v>800</v>
      </c>
      <c r="D115" s="141" t="s">
        <v>223</v>
      </c>
      <c r="E115" s="142">
        <v>385.5</v>
      </c>
      <c r="F115" s="142">
        <v>487</v>
      </c>
      <c r="G115" s="142">
        <v>111</v>
      </c>
      <c r="H115" s="142">
        <v>6</v>
      </c>
      <c r="I115" s="142">
        <v>28</v>
      </c>
      <c r="J115" s="302">
        <f t="shared" si="4"/>
        <v>1017.5</v>
      </c>
      <c r="K115" s="142">
        <v>452.5</v>
      </c>
      <c r="L115" s="142">
        <v>511</v>
      </c>
      <c r="M115" s="142">
        <v>136</v>
      </c>
      <c r="N115" s="142">
        <v>0</v>
      </c>
      <c r="O115" s="142">
        <v>0</v>
      </c>
      <c r="P115" s="302">
        <f t="shared" si="6"/>
        <v>1099.5</v>
      </c>
      <c r="Q115" s="302">
        <f t="shared" si="5"/>
        <v>82</v>
      </c>
    </row>
    <row r="116" spans="1:17" ht="15.4" x14ac:dyDescent="0.45">
      <c r="A116" s="1"/>
      <c r="B116" s="140" t="s">
        <v>222</v>
      </c>
      <c r="C116" s="1">
        <v>837</v>
      </c>
      <c r="D116" s="141" t="s">
        <v>224</v>
      </c>
      <c r="E116" s="142">
        <v>341</v>
      </c>
      <c r="F116" s="142">
        <v>289</v>
      </c>
      <c r="G116" s="142">
        <v>68</v>
      </c>
      <c r="H116" s="142">
        <v>65</v>
      </c>
      <c r="I116" s="142">
        <v>12</v>
      </c>
      <c r="J116" s="302">
        <f t="shared" si="4"/>
        <v>775</v>
      </c>
      <c r="K116" s="142">
        <v>434</v>
      </c>
      <c r="L116" s="142">
        <v>292</v>
      </c>
      <c r="M116" s="142">
        <v>0</v>
      </c>
      <c r="N116" s="142">
        <v>0</v>
      </c>
      <c r="O116" s="142">
        <v>0</v>
      </c>
      <c r="P116" s="302">
        <f t="shared" si="6"/>
        <v>726</v>
      </c>
      <c r="Q116" s="302">
        <f t="shared" si="5"/>
        <v>-49</v>
      </c>
    </row>
    <row r="117" spans="1:17" ht="15.4" x14ac:dyDescent="0.45">
      <c r="A117" s="1"/>
      <c r="B117" s="140" t="s">
        <v>222</v>
      </c>
      <c r="C117" s="1">
        <v>801</v>
      </c>
      <c r="D117" s="141" t="s">
        <v>225</v>
      </c>
      <c r="E117" s="142">
        <v>763.5</v>
      </c>
      <c r="F117" s="142">
        <v>1043.5</v>
      </c>
      <c r="G117" s="142">
        <v>351.5</v>
      </c>
      <c r="H117" s="142">
        <v>3</v>
      </c>
      <c r="I117" s="142">
        <v>12.5</v>
      </c>
      <c r="J117" s="302">
        <f t="shared" si="4"/>
        <v>2174</v>
      </c>
      <c r="K117" s="142">
        <v>824.5</v>
      </c>
      <c r="L117" s="142">
        <v>1000.5</v>
      </c>
      <c r="M117" s="142">
        <v>367.5</v>
      </c>
      <c r="N117" s="142">
        <v>0</v>
      </c>
      <c r="O117" s="142">
        <v>0</v>
      </c>
      <c r="P117" s="302">
        <f t="shared" si="6"/>
        <v>2192.5</v>
      </c>
      <c r="Q117" s="302">
        <f t="shared" si="5"/>
        <v>18.5</v>
      </c>
    </row>
    <row r="118" spans="1:17" ht="15.4" x14ac:dyDescent="0.45">
      <c r="A118" s="1"/>
      <c r="B118" s="140" t="s">
        <v>222</v>
      </c>
      <c r="C118" s="1">
        <v>908</v>
      </c>
      <c r="D118" s="141" t="s">
        <v>226</v>
      </c>
      <c r="E118" s="142">
        <v>404</v>
      </c>
      <c r="F118" s="142">
        <v>916</v>
      </c>
      <c r="G118" s="142">
        <v>346</v>
      </c>
      <c r="H118" s="142">
        <v>8</v>
      </c>
      <c r="I118" s="142">
        <v>2</v>
      </c>
      <c r="J118" s="302">
        <f t="shared" si="4"/>
        <v>1676</v>
      </c>
      <c r="K118" s="142">
        <v>378</v>
      </c>
      <c r="L118" s="142">
        <v>921</v>
      </c>
      <c r="M118" s="142">
        <v>384</v>
      </c>
      <c r="N118" s="142">
        <v>0</v>
      </c>
      <c r="O118" s="142">
        <v>0</v>
      </c>
      <c r="P118" s="302">
        <f t="shared" si="6"/>
        <v>1683</v>
      </c>
      <c r="Q118" s="302">
        <f t="shared" si="5"/>
        <v>7</v>
      </c>
    </row>
    <row r="119" spans="1:17" ht="15.4" x14ac:dyDescent="0.45">
      <c r="A119" s="1"/>
      <c r="B119" s="140" t="s">
        <v>222</v>
      </c>
      <c r="C119" s="1">
        <v>878</v>
      </c>
      <c r="D119" s="141" t="s">
        <v>227</v>
      </c>
      <c r="E119" s="142">
        <v>1164</v>
      </c>
      <c r="F119" s="142">
        <v>2102</v>
      </c>
      <c r="G119" s="142">
        <v>366</v>
      </c>
      <c r="H119" s="142">
        <v>31.5</v>
      </c>
      <c r="I119" s="142">
        <v>97</v>
      </c>
      <c r="J119" s="302">
        <f t="shared" si="4"/>
        <v>3760.5</v>
      </c>
      <c r="K119" s="142">
        <v>1075</v>
      </c>
      <c r="L119" s="142">
        <v>2079</v>
      </c>
      <c r="M119" s="142">
        <v>247</v>
      </c>
      <c r="N119" s="142">
        <v>0</v>
      </c>
      <c r="O119" s="142">
        <v>0</v>
      </c>
      <c r="P119" s="302">
        <f t="shared" si="6"/>
        <v>3401</v>
      </c>
      <c r="Q119" s="302">
        <f t="shared" si="5"/>
        <v>-359.5</v>
      </c>
    </row>
    <row r="120" spans="1:17" ht="15.4" x14ac:dyDescent="0.45">
      <c r="A120" s="1"/>
      <c r="B120" s="140" t="s">
        <v>222</v>
      </c>
      <c r="C120" s="1">
        <v>835</v>
      </c>
      <c r="D120" s="141" t="s">
        <v>228</v>
      </c>
      <c r="E120" s="142">
        <v>671.5</v>
      </c>
      <c r="F120" s="142">
        <v>673</v>
      </c>
      <c r="G120" s="142">
        <v>204</v>
      </c>
      <c r="H120" s="142">
        <v>46</v>
      </c>
      <c r="I120" s="142">
        <v>37</v>
      </c>
      <c r="J120" s="302">
        <f t="shared" si="4"/>
        <v>1631.5</v>
      </c>
      <c r="K120" s="142">
        <v>652</v>
      </c>
      <c r="L120" s="142">
        <v>703.5</v>
      </c>
      <c r="M120" s="142">
        <v>180</v>
      </c>
      <c r="N120" s="142">
        <v>0</v>
      </c>
      <c r="O120" s="142">
        <v>0</v>
      </c>
      <c r="P120" s="302">
        <f t="shared" si="6"/>
        <v>1535.5</v>
      </c>
      <c r="Q120" s="302">
        <f t="shared" si="5"/>
        <v>-96</v>
      </c>
    </row>
    <row r="121" spans="1:17" ht="15.4" x14ac:dyDescent="0.45">
      <c r="A121" s="1"/>
      <c r="B121" s="140" t="s">
        <v>222</v>
      </c>
      <c r="C121" s="1">
        <v>916</v>
      </c>
      <c r="D121" s="141" t="s">
        <v>229</v>
      </c>
      <c r="E121" s="142">
        <v>1049</v>
      </c>
      <c r="F121" s="142">
        <v>1334</v>
      </c>
      <c r="G121" s="142">
        <v>385</v>
      </c>
      <c r="H121" s="142">
        <v>22</v>
      </c>
      <c r="I121" s="142">
        <v>59</v>
      </c>
      <c r="J121" s="302">
        <f t="shared" si="4"/>
        <v>2849</v>
      </c>
      <c r="K121" s="142">
        <v>1081</v>
      </c>
      <c r="L121" s="142">
        <v>1342</v>
      </c>
      <c r="M121" s="142">
        <v>303</v>
      </c>
      <c r="N121" s="142">
        <v>0</v>
      </c>
      <c r="O121" s="142">
        <v>0</v>
      </c>
      <c r="P121" s="302">
        <f t="shared" si="6"/>
        <v>2726</v>
      </c>
      <c r="Q121" s="302">
        <f t="shared" si="5"/>
        <v>-123</v>
      </c>
    </row>
    <row r="122" spans="1:17" ht="15.4" x14ac:dyDescent="0.45">
      <c r="A122" s="1"/>
      <c r="B122" s="140" t="s">
        <v>222</v>
      </c>
      <c r="C122" s="1">
        <v>802</v>
      </c>
      <c r="D122" s="141" t="s">
        <v>230</v>
      </c>
      <c r="E122" s="142">
        <v>305</v>
      </c>
      <c r="F122" s="142">
        <v>380</v>
      </c>
      <c r="G122" s="142">
        <v>460.5</v>
      </c>
      <c r="H122" s="142">
        <v>6</v>
      </c>
      <c r="I122" s="142">
        <v>10</v>
      </c>
      <c r="J122" s="302">
        <f t="shared" si="4"/>
        <v>1161.5</v>
      </c>
      <c r="K122" s="142">
        <v>287</v>
      </c>
      <c r="L122" s="142">
        <v>382</v>
      </c>
      <c r="M122" s="142">
        <v>498.5</v>
      </c>
      <c r="N122" s="142">
        <v>0</v>
      </c>
      <c r="O122" s="142">
        <v>0</v>
      </c>
      <c r="P122" s="302">
        <f t="shared" si="6"/>
        <v>1167.5</v>
      </c>
      <c r="Q122" s="302">
        <f t="shared" si="5"/>
        <v>6</v>
      </c>
    </row>
    <row r="123" spans="1:17" ht="15.4" x14ac:dyDescent="0.45">
      <c r="A123" s="1"/>
      <c r="B123" s="140" t="s">
        <v>222</v>
      </c>
      <c r="C123" s="1">
        <v>879</v>
      </c>
      <c r="D123" s="141" t="s">
        <v>231</v>
      </c>
      <c r="E123" s="142">
        <v>575.5</v>
      </c>
      <c r="F123" s="142">
        <v>661.5</v>
      </c>
      <c r="G123" s="142">
        <v>140</v>
      </c>
      <c r="H123" s="142">
        <v>7</v>
      </c>
      <c r="I123" s="142">
        <v>25</v>
      </c>
      <c r="J123" s="302">
        <f t="shared" si="4"/>
        <v>1409</v>
      </c>
      <c r="K123" s="142">
        <v>636.5</v>
      </c>
      <c r="L123" s="142">
        <v>685.5</v>
      </c>
      <c r="M123" s="142">
        <v>145</v>
      </c>
      <c r="N123" s="142">
        <v>0</v>
      </c>
      <c r="O123" s="142">
        <v>0</v>
      </c>
      <c r="P123" s="302">
        <f t="shared" si="6"/>
        <v>1467</v>
      </c>
      <c r="Q123" s="302">
        <f t="shared" si="5"/>
        <v>58</v>
      </c>
    </row>
    <row r="124" spans="1:17" ht="15.4" x14ac:dyDescent="0.45">
      <c r="A124" s="1"/>
      <c r="B124" s="140" t="s">
        <v>222</v>
      </c>
      <c r="C124" s="1">
        <v>836</v>
      </c>
      <c r="D124" s="141" t="s">
        <v>232</v>
      </c>
      <c r="E124" s="142">
        <v>259</v>
      </c>
      <c r="F124" s="142">
        <v>198</v>
      </c>
      <c r="G124" s="142">
        <v>64</v>
      </c>
      <c r="H124" s="142">
        <v>50</v>
      </c>
      <c r="I124" s="142">
        <v>14</v>
      </c>
      <c r="J124" s="302">
        <f t="shared" si="4"/>
        <v>585</v>
      </c>
      <c r="K124" s="142">
        <v>232.5</v>
      </c>
      <c r="L124" s="142">
        <v>185</v>
      </c>
      <c r="M124" s="142">
        <v>74</v>
      </c>
      <c r="N124" s="142">
        <v>0</v>
      </c>
      <c r="O124" s="142">
        <v>0</v>
      </c>
      <c r="P124" s="302">
        <f t="shared" si="6"/>
        <v>491.5</v>
      </c>
      <c r="Q124" s="302">
        <f t="shared" si="5"/>
        <v>-93.5</v>
      </c>
    </row>
    <row r="125" spans="1:17" ht="15.4" x14ac:dyDescent="0.45">
      <c r="A125" s="1"/>
      <c r="B125" s="140" t="s">
        <v>222</v>
      </c>
      <c r="C125" s="1">
        <v>933</v>
      </c>
      <c r="D125" s="141" t="s">
        <v>233</v>
      </c>
      <c r="E125" s="142">
        <v>582</v>
      </c>
      <c r="F125" s="142">
        <v>1461</v>
      </c>
      <c r="G125" s="142">
        <v>439.5</v>
      </c>
      <c r="H125" s="142">
        <v>7</v>
      </c>
      <c r="I125" s="142">
        <v>62</v>
      </c>
      <c r="J125" s="302">
        <f t="shared" si="4"/>
        <v>2551.5</v>
      </c>
      <c r="K125" s="142">
        <v>531</v>
      </c>
      <c r="L125" s="142">
        <v>1458</v>
      </c>
      <c r="M125" s="142">
        <v>414.5</v>
      </c>
      <c r="N125" s="142">
        <v>0</v>
      </c>
      <c r="O125" s="142">
        <v>0</v>
      </c>
      <c r="P125" s="302">
        <f t="shared" si="6"/>
        <v>2403.5</v>
      </c>
      <c r="Q125" s="302">
        <f t="shared" si="5"/>
        <v>-148</v>
      </c>
    </row>
    <row r="126" spans="1:17" ht="15.4" x14ac:dyDescent="0.45">
      <c r="A126" s="1"/>
      <c r="B126" s="140" t="s">
        <v>222</v>
      </c>
      <c r="C126" s="1">
        <v>803</v>
      </c>
      <c r="D126" s="141" t="s">
        <v>234</v>
      </c>
      <c r="E126" s="142">
        <v>439</v>
      </c>
      <c r="F126" s="142">
        <v>669</v>
      </c>
      <c r="G126" s="142">
        <v>196</v>
      </c>
      <c r="H126" s="142">
        <v>9</v>
      </c>
      <c r="I126" s="142">
        <v>48</v>
      </c>
      <c r="J126" s="302">
        <f t="shared" si="4"/>
        <v>1361</v>
      </c>
      <c r="K126" s="142">
        <v>419</v>
      </c>
      <c r="L126" s="142">
        <v>698</v>
      </c>
      <c r="M126" s="142">
        <v>232</v>
      </c>
      <c r="N126" s="142">
        <v>0</v>
      </c>
      <c r="O126" s="142">
        <v>0</v>
      </c>
      <c r="P126" s="302">
        <f t="shared" si="6"/>
        <v>1349</v>
      </c>
      <c r="Q126" s="302">
        <f t="shared" si="5"/>
        <v>-12</v>
      </c>
    </row>
    <row r="127" spans="1:17" ht="15.4" x14ac:dyDescent="0.45">
      <c r="A127" s="1"/>
      <c r="B127" s="140" t="s">
        <v>222</v>
      </c>
      <c r="C127" s="1">
        <v>866</v>
      </c>
      <c r="D127" s="141" t="s">
        <v>235</v>
      </c>
      <c r="E127" s="142">
        <v>590</v>
      </c>
      <c r="F127" s="142">
        <v>635.5</v>
      </c>
      <c r="G127" s="142">
        <v>206.5</v>
      </c>
      <c r="H127" s="142">
        <v>11</v>
      </c>
      <c r="I127" s="142">
        <v>56</v>
      </c>
      <c r="J127" s="302">
        <f t="shared" si="4"/>
        <v>1499</v>
      </c>
      <c r="K127" s="142">
        <v>600</v>
      </c>
      <c r="L127" s="142">
        <v>631.5</v>
      </c>
      <c r="M127" s="142">
        <v>210</v>
      </c>
      <c r="N127" s="142">
        <v>0</v>
      </c>
      <c r="O127" s="142">
        <v>0</v>
      </c>
      <c r="P127" s="302">
        <f t="shared" si="6"/>
        <v>1441.5</v>
      </c>
      <c r="Q127" s="302">
        <f t="shared" si="5"/>
        <v>-57.5</v>
      </c>
    </row>
    <row r="128" spans="1:17" ht="15.4" x14ac:dyDescent="0.45">
      <c r="A128" s="1"/>
      <c r="B128" s="140" t="s">
        <v>222</v>
      </c>
      <c r="C128" s="1">
        <v>880</v>
      </c>
      <c r="D128" s="141" t="s">
        <v>236</v>
      </c>
      <c r="E128" s="142">
        <v>482</v>
      </c>
      <c r="F128" s="142">
        <v>399</v>
      </c>
      <c r="G128" s="142">
        <v>108</v>
      </c>
      <c r="H128" s="142">
        <v>1</v>
      </c>
      <c r="I128" s="142">
        <v>25</v>
      </c>
      <c r="J128" s="302">
        <f t="shared" si="4"/>
        <v>1015</v>
      </c>
      <c r="K128" s="142">
        <v>528</v>
      </c>
      <c r="L128" s="142">
        <v>388</v>
      </c>
      <c r="M128" s="142">
        <v>188</v>
      </c>
      <c r="N128" s="142">
        <v>0</v>
      </c>
      <c r="O128" s="142">
        <v>0</v>
      </c>
      <c r="P128" s="302">
        <f t="shared" si="6"/>
        <v>1104</v>
      </c>
      <c r="Q128" s="302">
        <f t="shared" si="5"/>
        <v>89</v>
      </c>
    </row>
    <row r="129" spans="1:17" ht="15.4" x14ac:dyDescent="0.45">
      <c r="A129" s="1"/>
      <c r="B129" s="140" t="s">
        <v>222</v>
      </c>
      <c r="C129" s="1">
        <v>865</v>
      </c>
      <c r="D129" s="141" t="s">
        <v>237</v>
      </c>
      <c r="E129" s="142">
        <v>699</v>
      </c>
      <c r="F129" s="142">
        <v>1398.5</v>
      </c>
      <c r="G129" s="142">
        <v>276</v>
      </c>
      <c r="H129" s="142">
        <v>19</v>
      </c>
      <c r="I129" s="142">
        <v>78</v>
      </c>
      <c r="J129" s="302">
        <f t="shared" si="4"/>
        <v>2470.5</v>
      </c>
      <c r="K129" s="142">
        <v>618</v>
      </c>
      <c r="L129" s="142">
        <v>1366.5</v>
      </c>
      <c r="M129" s="142">
        <v>242</v>
      </c>
      <c r="N129" s="142">
        <v>0</v>
      </c>
      <c r="O129" s="142">
        <v>0</v>
      </c>
      <c r="P129" s="302">
        <f t="shared" si="6"/>
        <v>2226.5</v>
      </c>
      <c r="Q129" s="302">
        <f t="shared" si="5"/>
        <v>-244</v>
      </c>
    </row>
    <row r="130" spans="1:17" ht="15.4" x14ac:dyDescent="0.45">
      <c r="A130" s="1"/>
      <c r="B130" s="140" t="s">
        <v>238</v>
      </c>
      <c r="C130" s="1">
        <v>330</v>
      </c>
      <c r="D130" s="141" t="s">
        <v>239</v>
      </c>
      <c r="E130" s="142">
        <v>4168.5</v>
      </c>
      <c r="F130" s="142">
        <v>1351</v>
      </c>
      <c r="G130" s="142">
        <v>343</v>
      </c>
      <c r="H130" s="142">
        <v>11</v>
      </c>
      <c r="I130" s="142">
        <v>318</v>
      </c>
      <c r="J130" s="302">
        <f t="shared" si="4"/>
        <v>6191.5</v>
      </c>
      <c r="K130" s="142">
        <v>4230.5</v>
      </c>
      <c r="L130" s="142">
        <v>1251</v>
      </c>
      <c r="M130" s="142">
        <v>247</v>
      </c>
      <c r="N130" s="142">
        <v>0</v>
      </c>
      <c r="O130" s="142">
        <v>0</v>
      </c>
      <c r="P130" s="302">
        <f t="shared" si="6"/>
        <v>5728.5</v>
      </c>
      <c r="Q130" s="302">
        <f t="shared" si="5"/>
        <v>-463</v>
      </c>
    </row>
    <row r="131" spans="1:17" ht="15.4" x14ac:dyDescent="0.45">
      <c r="A131" s="1"/>
      <c r="B131" s="140" t="s">
        <v>238</v>
      </c>
      <c r="C131" s="1">
        <v>331</v>
      </c>
      <c r="D131" s="141" t="s">
        <v>240</v>
      </c>
      <c r="E131" s="142">
        <v>917</v>
      </c>
      <c r="F131" s="142">
        <v>462</v>
      </c>
      <c r="G131" s="142">
        <v>246</v>
      </c>
      <c r="H131" s="142">
        <v>8</v>
      </c>
      <c r="I131" s="142">
        <v>6</v>
      </c>
      <c r="J131" s="302">
        <f t="shared" si="4"/>
        <v>1639</v>
      </c>
      <c r="K131" s="142">
        <v>903</v>
      </c>
      <c r="L131" s="142">
        <v>472</v>
      </c>
      <c r="M131" s="142">
        <v>377</v>
      </c>
      <c r="N131" s="142">
        <v>0</v>
      </c>
      <c r="O131" s="142">
        <v>0</v>
      </c>
      <c r="P131" s="302">
        <f t="shared" si="6"/>
        <v>1752</v>
      </c>
      <c r="Q131" s="302">
        <f t="shared" si="5"/>
        <v>113</v>
      </c>
    </row>
    <row r="132" spans="1:17" ht="15.4" x14ac:dyDescent="0.45">
      <c r="A132" s="1"/>
      <c r="B132" s="140" t="s">
        <v>238</v>
      </c>
      <c r="C132" s="1">
        <v>332</v>
      </c>
      <c r="D132" s="141" t="s">
        <v>241</v>
      </c>
      <c r="E132" s="142">
        <v>849</v>
      </c>
      <c r="F132" s="142">
        <v>332</v>
      </c>
      <c r="G132" s="142">
        <v>76</v>
      </c>
      <c r="H132" s="142">
        <v>0</v>
      </c>
      <c r="I132" s="142">
        <v>18</v>
      </c>
      <c r="J132" s="302">
        <f t="shared" si="4"/>
        <v>1275</v>
      </c>
      <c r="K132" s="142">
        <v>825</v>
      </c>
      <c r="L132" s="142">
        <v>324</v>
      </c>
      <c r="M132" s="142">
        <v>151</v>
      </c>
      <c r="N132" s="142">
        <v>0</v>
      </c>
      <c r="O132" s="142">
        <v>0</v>
      </c>
      <c r="P132" s="302">
        <f t="shared" si="6"/>
        <v>1300</v>
      </c>
      <c r="Q132" s="302">
        <f t="shared" si="5"/>
        <v>25</v>
      </c>
    </row>
    <row r="133" spans="1:17" ht="15.4" x14ac:dyDescent="0.45">
      <c r="A133" s="1"/>
      <c r="B133" s="140" t="s">
        <v>238</v>
      </c>
      <c r="C133" s="1">
        <v>884</v>
      </c>
      <c r="D133" s="141" t="s">
        <v>242</v>
      </c>
      <c r="E133" s="142">
        <v>318</v>
      </c>
      <c r="F133" s="142">
        <v>381</v>
      </c>
      <c r="G133" s="142">
        <v>41</v>
      </c>
      <c r="H133" s="142">
        <v>4</v>
      </c>
      <c r="I133" s="142">
        <v>42</v>
      </c>
      <c r="J133" s="302">
        <f t="shared" si="4"/>
        <v>786</v>
      </c>
      <c r="K133" s="142">
        <v>320</v>
      </c>
      <c r="L133" s="142">
        <v>388</v>
      </c>
      <c r="M133" s="142">
        <v>43.5</v>
      </c>
      <c r="N133" s="142">
        <v>0</v>
      </c>
      <c r="O133" s="142">
        <v>0</v>
      </c>
      <c r="P133" s="302">
        <f t="shared" si="6"/>
        <v>751.5</v>
      </c>
      <c r="Q133" s="302">
        <f t="shared" si="5"/>
        <v>-34.5</v>
      </c>
    </row>
    <row r="134" spans="1:17" ht="15.4" x14ac:dyDescent="0.45">
      <c r="A134" s="1"/>
      <c r="B134" s="140" t="s">
        <v>238</v>
      </c>
      <c r="C134" s="1">
        <v>333</v>
      </c>
      <c r="D134" s="141" t="s">
        <v>243</v>
      </c>
      <c r="E134" s="142">
        <v>608</v>
      </c>
      <c r="F134" s="142">
        <v>911</v>
      </c>
      <c r="G134" s="142">
        <v>156</v>
      </c>
      <c r="H134" s="142">
        <v>1</v>
      </c>
      <c r="I134" s="142">
        <v>27</v>
      </c>
      <c r="J134" s="302">
        <f t="shared" si="4"/>
        <v>1703</v>
      </c>
      <c r="K134" s="142">
        <v>550</v>
      </c>
      <c r="L134" s="142">
        <v>944</v>
      </c>
      <c r="M134" s="142">
        <v>113</v>
      </c>
      <c r="N134" s="142">
        <v>0</v>
      </c>
      <c r="O134" s="142">
        <v>0</v>
      </c>
      <c r="P134" s="302">
        <f t="shared" si="6"/>
        <v>1607</v>
      </c>
      <c r="Q134" s="302">
        <f t="shared" si="5"/>
        <v>-96</v>
      </c>
    </row>
    <row r="135" spans="1:17" ht="15.4" x14ac:dyDescent="0.45">
      <c r="A135" s="1"/>
      <c r="B135" s="140" t="s">
        <v>238</v>
      </c>
      <c r="C135" s="1">
        <v>893</v>
      </c>
      <c r="D135" s="141" t="s">
        <v>244</v>
      </c>
      <c r="E135" s="142">
        <v>515</v>
      </c>
      <c r="F135" s="142">
        <v>824</v>
      </c>
      <c r="G135" s="142">
        <v>98</v>
      </c>
      <c r="H135" s="142">
        <v>7</v>
      </c>
      <c r="I135" s="142">
        <v>40</v>
      </c>
      <c r="J135" s="302">
        <f t="shared" si="4"/>
        <v>1484</v>
      </c>
      <c r="K135" s="142">
        <v>441</v>
      </c>
      <c r="L135" s="142">
        <v>819</v>
      </c>
      <c r="M135" s="142">
        <v>90</v>
      </c>
      <c r="N135" s="142">
        <v>0</v>
      </c>
      <c r="O135" s="142">
        <v>0</v>
      </c>
      <c r="P135" s="302">
        <f t="shared" si="6"/>
        <v>1350</v>
      </c>
      <c r="Q135" s="302">
        <f t="shared" si="5"/>
        <v>-134</v>
      </c>
    </row>
    <row r="136" spans="1:17" ht="15.4" x14ac:dyDescent="0.45">
      <c r="A136" s="1"/>
      <c r="B136" s="140" t="s">
        <v>238</v>
      </c>
      <c r="C136" s="1">
        <v>334</v>
      </c>
      <c r="D136" s="141" t="s">
        <v>245</v>
      </c>
      <c r="E136" s="142">
        <v>592</v>
      </c>
      <c r="F136" s="142">
        <v>363</v>
      </c>
      <c r="G136" s="142">
        <v>42</v>
      </c>
      <c r="H136" s="142">
        <v>0</v>
      </c>
      <c r="I136" s="142">
        <v>36</v>
      </c>
      <c r="J136" s="302">
        <f t="shared" si="4"/>
        <v>1033</v>
      </c>
      <c r="K136" s="142">
        <v>610</v>
      </c>
      <c r="L136" s="142">
        <v>405</v>
      </c>
      <c r="M136" s="142">
        <v>49</v>
      </c>
      <c r="N136" s="142">
        <v>0</v>
      </c>
      <c r="O136" s="142">
        <v>0</v>
      </c>
      <c r="P136" s="302">
        <f t="shared" si="6"/>
        <v>1064</v>
      </c>
      <c r="Q136" s="302">
        <f t="shared" si="5"/>
        <v>31</v>
      </c>
    </row>
    <row r="137" spans="1:17" ht="15.4" x14ac:dyDescent="0.45">
      <c r="A137" s="1"/>
      <c r="B137" s="140" t="s">
        <v>238</v>
      </c>
      <c r="C137" s="1">
        <v>860</v>
      </c>
      <c r="D137" s="141" t="s">
        <v>246</v>
      </c>
      <c r="E137" s="142">
        <v>2177.5</v>
      </c>
      <c r="F137" s="142">
        <v>1152</v>
      </c>
      <c r="G137" s="142">
        <v>349</v>
      </c>
      <c r="H137" s="142">
        <v>15</v>
      </c>
      <c r="I137" s="142">
        <v>30</v>
      </c>
      <c r="J137" s="302">
        <f t="shared" ref="J137:J159" si="7">SUM(E137:I137)</f>
        <v>3723.5</v>
      </c>
      <c r="K137" s="142">
        <v>2451.5</v>
      </c>
      <c r="L137" s="142">
        <v>1149</v>
      </c>
      <c r="M137" s="142">
        <v>330</v>
      </c>
      <c r="N137" s="142">
        <v>0</v>
      </c>
      <c r="O137" s="142">
        <v>0</v>
      </c>
      <c r="P137" s="302">
        <f t="shared" si="6"/>
        <v>3930.5</v>
      </c>
      <c r="Q137" s="302">
        <f t="shared" ref="Q137:Q157" si="8">P137 - J137</f>
        <v>207</v>
      </c>
    </row>
    <row r="138" spans="1:17" ht="15.4" x14ac:dyDescent="0.45">
      <c r="A138" s="1"/>
      <c r="B138" s="140" t="s">
        <v>238</v>
      </c>
      <c r="C138" s="1">
        <v>861</v>
      </c>
      <c r="D138" s="141" t="s">
        <v>247</v>
      </c>
      <c r="E138" s="142">
        <v>811</v>
      </c>
      <c r="F138" s="142">
        <v>595</v>
      </c>
      <c r="G138" s="142">
        <v>95</v>
      </c>
      <c r="H138" s="142">
        <v>5</v>
      </c>
      <c r="I138" s="142">
        <v>39</v>
      </c>
      <c r="J138" s="302">
        <f t="shared" si="7"/>
        <v>1545</v>
      </c>
      <c r="K138" s="142">
        <v>729</v>
      </c>
      <c r="L138" s="142">
        <v>571</v>
      </c>
      <c r="M138" s="142">
        <v>77</v>
      </c>
      <c r="N138" s="142">
        <v>0</v>
      </c>
      <c r="O138" s="142">
        <v>0</v>
      </c>
      <c r="P138" s="302">
        <f t="shared" ref="P138:P159" si="9">SUM(K138:O138)</f>
        <v>1377</v>
      </c>
      <c r="Q138" s="302">
        <f t="shared" si="8"/>
        <v>-168</v>
      </c>
    </row>
    <row r="139" spans="1:17" ht="15.4" x14ac:dyDescent="0.45">
      <c r="A139" s="1"/>
      <c r="B139" s="140" t="s">
        <v>238</v>
      </c>
      <c r="C139" s="1">
        <v>894</v>
      </c>
      <c r="D139" s="141" t="s">
        <v>248</v>
      </c>
      <c r="E139" s="142">
        <v>532</v>
      </c>
      <c r="F139" s="142">
        <v>458</v>
      </c>
      <c r="G139" s="142">
        <v>106</v>
      </c>
      <c r="H139" s="142">
        <v>0</v>
      </c>
      <c r="I139" s="142">
        <v>6</v>
      </c>
      <c r="J139" s="302">
        <f t="shared" si="7"/>
        <v>1102</v>
      </c>
      <c r="K139" s="142">
        <v>554</v>
      </c>
      <c r="L139" s="142">
        <v>454</v>
      </c>
      <c r="M139" s="142">
        <v>91</v>
      </c>
      <c r="N139" s="142">
        <v>0</v>
      </c>
      <c r="O139" s="142">
        <v>0</v>
      </c>
      <c r="P139" s="302">
        <f t="shared" si="9"/>
        <v>1099</v>
      </c>
      <c r="Q139" s="302">
        <f t="shared" si="8"/>
        <v>-3</v>
      </c>
    </row>
    <row r="140" spans="1:17" ht="15.4" x14ac:dyDescent="0.45">
      <c r="A140" s="1"/>
      <c r="B140" s="140" t="s">
        <v>238</v>
      </c>
      <c r="C140" s="1">
        <v>335</v>
      </c>
      <c r="D140" s="141" t="s">
        <v>249</v>
      </c>
      <c r="E140" s="142">
        <v>685</v>
      </c>
      <c r="F140" s="142">
        <v>606</v>
      </c>
      <c r="G140" s="142">
        <v>151</v>
      </c>
      <c r="H140" s="142">
        <v>3</v>
      </c>
      <c r="I140" s="142">
        <v>12</v>
      </c>
      <c r="J140" s="302">
        <f t="shared" si="7"/>
        <v>1457</v>
      </c>
      <c r="K140" s="142">
        <v>663</v>
      </c>
      <c r="L140" s="142">
        <v>606</v>
      </c>
      <c r="M140" s="142">
        <v>191</v>
      </c>
      <c r="N140" s="142">
        <v>0</v>
      </c>
      <c r="O140" s="142">
        <v>0</v>
      </c>
      <c r="P140" s="302">
        <f t="shared" si="9"/>
        <v>1460</v>
      </c>
      <c r="Q140" s="302">
        <f t="shared" si="8"/>
        <v>3</v>
      </c>
    </row>
    <row r="141" spans="1:17" ht="15.4" x14ac:dyDescent="0.45">
      <c r="A141" s="1"/>
      <c r="B141" s="140" t="s">
        <v>238</v>
      </c>
      <c r="C141" s="1">
        <v>937</v>
      </c>
      <c r="D141" s="141" t="s">
        <v>250</v>
      </c>
      <c r="E141" s="142">
        <v>1363</v>
      </c>
      <c r="F141" s="142">
        <v>796</v>
      </c>
      <c r="G141" s="142">
        <v>250</v>
      </c>
      <c r="H141" s="142">
        <v>31</v>
      </c>
      <c r="I141" s="142">
        <v>44</v>
      </c>
      <c r="J141" s="302">
        <f t="shared" si="7"/>
        <v>2484</v>
      </c>
      <c r="K141" s="142">
        <v>1384</v>
      </c>
      <c r="L141" s="142">
        <v>802</v>
      </c>
      <c r="M141" s="142">
        <v>264</v>
      </c>
      <c r="N141" s="142">
        <v>0</v>
      </c>
      <c r="O141" s="142">
        <v>0</v>
      </c>
      <c r="P141" s="302">
        <f t="shared" si="9"/>
        <v>2450</v>
      </c>
      <c r="Q141" s="302">
        <f t="shared" si="8"/>
        <v>-34</v>
      </c>
    </row>
    <row r="142" spans="1:17" ht="15.4" x14ac:dyDescent="0.45">
      <c r="A142" s="1"/>
      <c r="B142" s="140" t="s">
        <v>238</v>
      </c>
      <c r="C142" s="1">
        <v>336</v>
      </c>
      <c r="D142" s="141" t="s">
        <v>251</v>
      </c>
      <c r="E142" s="142">
        <v>781</v>
      </c>
      <c r="F142" s="142">
        <v>332</v>
      </c>
      <c r="G142" s="142">
        <v>239</v>
      </c>
      <c r="H142" s="142">
        <v>1</v>
      </c>
      <c r="I142" s="142">
        <v>8</v>
      </c>
      <c r="J142" s="302">
        <f t="shared" si="7"/>
        <v>1361</v>
      </c>
      <c r="K142" s="142">
        <v>793</v>
      </c>
      <c r="L142" s="142">
        <v>347</v>
      </c>
      <c r="M142" s="142">
        <v>262</v>
      </c>
      <c r="N142" s="142">
        <v>0</v>
      </c>
      <c r="O142" s="142">
        <v>0</v>
      </c>
      <c r="P142" s="302">
        <f t="shared" si="9"/>
        <v>1402</v>
      </c>
      <c r="Q142" s="302">
        <f t="shared" si="8"/>
        <v>41</v>
      </c>
    </row>
    <row r="143" spans="1:17" ht="15.4" x14ac:dyDescent="0.45">
      <c r="A143" s="1"/>
      <c r="B143" s="140" t="s">
        <v>238</v>
      </c>
      <c r="C143" s="1">
        <v>885</v>
      </c>
      <c r="D143" s="141" t="s">
        <v>252</v>
      </c>
      <c r="E143" s="142">
        <v>1362</v>
      </c>
      <c r="F143" s="142">
        <v>656</v>
      </c>
      <c r="G143" s="142">
        <v>296</v>
      </c>
      <c r="H143" s="142">
        <v>13</v>
      </c>
      <c r="I143" s="142">
        <v>69</v>
      </c>
      <c r="J143" s="302">
        <f t="shared" si="7"/>
        <v>2396</v>
      </c>
      <c r="K143" s="142">
        <v>1346</v>
      </c>
      <c r="L143" s="142">
        <v>660</v>
      </c>
      <c r="M143" s="142">
        <v>216</v>
      </c>
      <c r="N143" s="142">
        <v>0</v>
      </c>
      <c r="O143" s="142">
        <v>0</v>
      </c>
      <c r="P143" s="302">
        <f t="shared" si="9"/>
        <v>2222</v>
      </c>
      <c r="Q143" s="302">
        <f t="shared" si="8"/>
        <v>-174</v>
      </c>
    </row>
    <row r="144" spans="1:17" ht="15.4" x14ac:dyDescent="0.45">
      <c r="A144" s="1"/>
      <c r="B144" s="140" t="s">
        <v>253</v>
      </c>
      <c r="C144" s="1">
        <v>370</v>
      </c>
      <c r="D144" s="141" t="s">
        <v>254</v>
      </c>
      <c r="E144" s="142">
        <v>440</v>
      </c>
      <c r="F144" s="142">
        <v>770</v>
      </c>
      <c r="G144" s="142">
        <v>298.5</v>
      </c>
      <c r="H144" s="142">
        <v>20</v>
      </c>
      <c r="I144" s="142">
        <v>9</v>
      </c>
      <c r="J144" s="302">
        <f t="shared" si="7"/>
        <v>1537.5</v>
      </c>
      <c r="K144" s="142">
        <v>405</v>
      </c>
      <c r="L144" s="142">
        <v>734</v>
      </c>
      <c r="M144" s="142">
        <v>333</v>
      </c>
      <c r="N144" s="142">
        <v>0</v>
      </c>
      <c r="O144" s="142">
        <v>0</v>
      </c>
      <c r="P144" s="302">
        <f t="shared" si="9"/>
        <v>1472</v>
      </c>
      <c r="Q144" s="302">
        <f t="shared" si="8"/>
        <v>-65.5</v>
      </c>
    </row>
    <row r="145" spans="1:17" ht="15.4" x14ac:dyDescent="0.45">
      <c r="A145" s="1"/>
      <c r="B145" s="140" t="s">
        <v>253</v>
      </c>
      <c r="C145" s="1">
        <v>380</v>
      </c>
      <c r="D145" s="141" t="s">
        <v>255</v>
      </c>
      <c r="E145" s="142">
        <v>1154</v>
      </c>
      <c r="F145" s="142">
        <v>1432.5</v>
      </c>
      <c r="G145" s="142">
        <v>329.5</v>
      </c>
      <c r="H145" s="142">
        <v>33</v>
      </c>
      <c r="I145" s="142">
        <v>20</v>
      </c>
      <c r="J145" s="302">
        <f t="shared" si="7"/>
        <v>2969</v>
      </c>
      <c r="K145" s="142">
        <v>1138</v>
      </c>
      <c r="L145" s="142">
        <v>1386.5</v>
      </c>
      <c r="M145" s="142">
        <v>283.5</v>
      </c>
      <c r="N145" s="142">
        <v>0</v>
      </c>
      <c r="O145" s="142">
        <v>0</v>
      </c>
      <c r="P145" s="302">
        <f t="shared" si="9"/>
        <v>2808</v>
      </c>
      <c r="Q145" s="302">
        <f t="shared" si="8"/>
        <v>-161</v>
      </c>
    </row>
    <row r="146" spans="1:17" ht="15.4" x14ac:dyDescent="0.45">
      <c r="A146" s="1"/>
      <c r="B146" s="140" t="s">
        <v>253</v>
      </c>
      <c r="C146" s="1">
        <v>381</v>
      </c>
      <c r="D146" s="141" t="s">
        <v>256</v>
      </c>
      <c r="E146" s="142">
        <v>315</v>
      </c>
      <c r="F146" s="142">
        <v>483</v>
      </c>
      <c r="G146" s="142">
        <v>84</v>
      </c>
      <c r="H146" s="142">
        <v>10</v>
      </c>
      <c r="I146" s="142">
        <v>13</v>
      </c>
      <c r="J146" s="302">
        <f t="shared" si="7"/>
        <v>905</v>
      </c>
      <c r="K146" s="142">
        <v>309</v>
      </c>
      <c r="L146" s="142">
        <v>501</v>
      </c>
      <c r="M146" s="142">
        <v>65</v>
      </c>
      <c r="N146" s="142">
        <v>0</v>
      </c>
      <c r="O146" s="142">
        <v>0</v>
      </c>
      <c r="P146" s="302">
        <f t="shared" si="9"/>
        <v>875</v>
      </c>
      <c r="Q146" s="302">
        <f t="shared" si="8"/>
        <v>-30</v>
      </c>
    </row>
    <row r="147" spans="1:17" ht="15.4" x14ac:dyDescent="0.45">
      <c r="A147" s="1"/>
      <c r="B147" s="140" t="s">
        <v>253</v>
      </c>
      <c r="C147" s="1">
        <v>371</v>
      </c>
      <c r="D147" s="141" t="s">
        <v>257</v>
      </c>
      <c r="E147" s="142">
        <v>549</v>
      </c>
      <c r="F147" s="142">
        <v>530.5</v>
      </c>
      <c r="G147" s="142">
        <v>85</v>
      </c>
      <c r="H147" s="142">
        <v>12.5</v>
      </c>
      <c r="I147" s="142">
        <v>61</v>
      </c>
      <c r="J147" s="302">
        <f t="shared" si="7"/>
        <v>1238</v>
      </c>
      <c r="K147" s="142">
        <v>542</v>
      </c>
      <c r="L147" s="142">
        <v>523.5</v>
      </c>
      <c r="M147" s="142">
        <v>129</v>
      </c>
      <c r="N147" s="142">
        <v>0</v>
      </c>
      <c r="O147" s="142">
        <v>0</v>
      </c>
      <c r="P147" s="302">
        <f t="shared" si="9"/>
        <v>1194.5</v>
      </c>
      <c r="Q147" s="302">
        <f t="shared" si="8"/>
        <v>-43.5</v>
      </c>
    </row>
    <row r="148" spans="1:17" ht="15.4" x14ac:dyDescent="0.45">
      <c r="A148" s="1"/>
      <c r="B148" s="140" t="s">
        <v>253</v>
      </c>
      <c r="C148" s="1">
        <v>811</v>
      </c>
      <c r="D148" s="141" t="s">
        <v>258</v>
      </c>
      <c r="E148" s="142">
        <v>401</v>
      </c>
      <c r="F148" s="142">
        <v>707.5</v>
      </c>
      <c r="G148" s="142">
        <v>48.5</v>
      </c>
      <c r="H148" s="142">
        <v>5</v>
      </c>
      <c r="I148" s="142">
        <v>13</v>
      </c>
      <c r="J148" s="302">
        <f t="shared" si="7"/>
        <v>1175</v>
      </c>
      <c r="K148" s="142">
        <v>334</v>
      </c>
      <c r="L148" s="142">
        <v>717.5</v>
      </c>
      <c r="M148" s="142">
        <v>52</v>
      </c>
      <c r="N148" s="142">
        <v>0</v>
      </c>
      <c r="O148" s="142">
        <v>0</v>
      </c>
      <c r="P148" s="302">
        <f t="shared" si="9"/>
        <v>1103.5</v>
      </c>
      <c r="Q148" s="302">
        <f t="shared" si="8"/>
        <v>-71.5</v>
      </c>
    </row>
    <row r="149" spans="1:17" ht="15.4" x14ac:dyDescent="0.45">
      <c r="A149" s="1"/>
      <c r="B149" s="140" t="s">
        <v>253</v>
      </c>
      <c r="C149" s="1">
        <v>810</v>
      </c>
      <c r="D149" s="141" t="s">
        <v>259</v>
      </c>
      <c r="E149" s="142">
        <v>571.5</v>
      </c>
      <c r="F149" s="142">
        <v>475.5</v>
      </c>
      <c r="G149" s="142">
        <v>79</v>
      </c>
      <c r="H149" s="142">
        <v>0</v>
      </c>
      <c r="I149" s="142">
        <v>4</v>
      </c>
      <c r="J149" s="302">
        <f t="shared" si="7"/>
        <v>1130</v>
      </c>
      <c r="K149" s="142">
        <v>614.5</v>
      </c>
      <c r="L149" s="142">
        <v>461.5</v>
      </c>
      <c r="M149" s="142">
        <v>82</v>
      </c>
      <c r="N149" s="142">
        <v>0</v>
      </c>
      <c r="O149" s="142">
        <v>0</v>
      </c>
      <c r="P149" s="302">
        <f t="shared" si="9"/>
        <v>1158</v>
      </c>
      <c r="Q149" s="302">
        <f t="shared" si="8"/>
        <v>28</v>
      </c>
    </row>
    <row r="150" spans="1:17" ht="15.4" x14ac:dyDescent="0.45">
      <c r="A150" s="1"/>
      <c r="B150" s="140" t="s">
        <v>253</v>
      </c>
      <c r="C150" s="1">
        <v>382</v>
      </c>
      <c r="D150" s="141" t="s">
        <v>260</v>
      </c>
      <c r="E150" s="142">
        <v>735</v>
      </c>
      <c r="F150" s="142">
        <v>1015</v>
      </c>
      <c r="G150" s="142">
        <v>311</v>
      </c>
      <c r="H150" s="142">
        <v>33</v>
      </c>
      <c r="I150" s="142">
        <v>5</v>
      </c>
      <c r="J150" s="302">
        <f t="shared" si="7"/>
        <v>2099</v>
      </c>
      <c r="K150" s="142">
        <v>730</v>
      </c>
      <c r="L150" s="142">
        <v>1006</v>
      </c>
      <c r="M150" s="142">
        <v>298</v>
      </c>
      <c r="N150" s="142">
        <v>0</v>
      </c>
      <c r="O150" s="142">
        <v>0</v>
      </c>
      <c r="P150" s="302">
        <f t="shared" si="9"/>
        <v>2034</v>
      </c>
      <c r="Q150" s="302">
        <f t="shared" si="8"/>
        <v>-65</v>
      </c>
    </row>
    <row r="151" spans="1:17" ht="15.4" x14ac:dyDescent="0.45">
      <c r="A151" s="1"/>
      <c r="B151" s="140" t="s">
        <v>253</v>
      </c>
      <c r="C151" s="1">
        <v>383</v>
      </c>
      <c r="D151" s="141" t="s">
        <v>261</v>
      </c>
      <c r="E151" s="142">
        <v>1246.5</v>
      </c>
      <c r="F151" s="142">
        <v>1646</v>
      </c>
      <c r="G151" s="142">
        <v>493</v>
      </c>
      <c r="H151" s="142">
        <v>25</v>
      </c>
      <c r="I151" s="142">
        <v>33</v>
      </c>
      <c r="J151" s="302">
        <f t="shared" si="7"/>
        <v>3443.5</v>
      </c>
      <c r="K151" s="142">
        <v>1252.5</v>
      </c>
      <c r="L151" s="142">
        <v>1669</v>
      </c>
      <c r="M151" s="142">
        <v>515</v>
      </c>
      <c r="N151" s="142">
        <v>0</v>
      </c>
      <c r="O151" s="142">
        <v>0</v>
      </c>
      <c r="P151" s="302">
        <f t="shared" si="9"/>
        <v>3436.5</v>
      </c>
      <c r="Q151" s="302">
        <f t="shared" si="8"/>
        <v>-7</v>
      </c>
    </row>
    <row r="152" spans="1:17" ht="15.4" x14ac:dyDescent="0.45">
      <c r="A152" s="1"/>
      <c r="B152" s="140" t="s">
        <v>253</v>
      </c>
      <c r="C152" s="1">
        <v>812</v>
      </c>
      <c r="D152" s="141" t="s">
        <v>262</v>
      </c>
      <c r="E152" s="142">
        <v>328</v>
      </c>
      <c r="F152" s="142">
        <v>169</v>
      </c>
      <c r="G152" s="142">
        <v>33</v>
      </c>
      <c r="H152" s="142">
        <v>11</v>
      </c>
      <c r="I152" s="142">
        <v>30.5</v>
      </c>
      <c r="J152" s="302">
        <f t="shared" si="7"/>
        <v>571.5</v>
      </c>
      <c r="K152" s="142">
        <v>337</v>
      </c>
      <c r="L152" s="142">
        <v>172</v>
      </c>
      <c r="M152" s="142">
        <v>59.5</v>
      </c>
      <c r="N152" s="142">
        <v>0</v>
      </c>
      <c r="O152" s="142">
        <v>0</v>
      </c>
      <c r="P152" s="302">
        <f t="shared" si="9"/>
        <v>568.5</v>
      </c>
      <c r="Q152" s="302">
        <f t="shared" si="8"/>
        <v>-3</v>
      </c>
    </row>
    <row r="153" spans="1:17" ht="15.4" x14ac:dyDescent="0.45">
      <c r="A153" s="1"/>
      <c r="B153" s="140" t="s">
        <v>253</v>
      </c>
      <c r="C153" s="1">
        <v>813</v>
      </c>
      <c r="D153" s="141" t="s">
        <v>263</v>
      </c>
      <c r="E153" s="142">
        <v>298</v>
      </c>
      <c r="F153" s="142">
        <v>274</v>
      </c>
      <c r="G153" s="142">
        <v>75</v>
      </c>
      <c r="H153" s="142">
        <v>6.5</v>
      </c>
      <c r="I153" s="142">
        <v>11</v>
      </c>
      <c r="J153" s="302">
        <f t="shared" si="7"/>
        <v>664.5</v>
      </c>
      <c r="K153" s="142">
        <v>286</v>
      </c>
      <c r="L153" s="142">
        <v>279</v>
      </c>
      <c r="M153" s="142">
        <v>24</v>
      </c>
      <c r="N153" s="142">
        <v>0</v>
      </c>
      <c r="O153" s="142">
        <v>0</v>
      </c>
      <c r="P153" s="302">
        <f t="shared" si="9"/>
        <v>589</v>
      </c>
      <c r="Q153" s="302">
        <f t="shared" si="8"/>
        <v>-75.5</v>
      </c>
    </row>
    <row r="154" spans="1:17" ht="15.4" x14ac:dyDescent="0.45">
      <c r="A154" s="1"/>
      <c r="B154" s="140" t="s">
        <v>253</v>
      </c>
      <c r="C154" s="1">
        <v>815</v>
      </c>
      <c r="D154" s="141" t="s">
        <v>264</v>
      </c>
      <c r="E154" s="142">
        <v>854</v>
      </c>
      <c r="F154" s="142">
        <v>932.5</v>
      </c>
      <c r="G154" s="142">
        <v>281</v>
      </c>
      <c r="H154" s="142">
        <v>27</v>
      </c>
      <c r="I154" s="142">
        <v>42</v>
      </c>
      <c r="J154" s="302">
        <f t="shared" si="7"/>
        <v>2136.5</v>
      </c>
      <c r="K154" s="142">
        <v>840</v>
      </c>
      <c r="L154" s="142">
        <v>931.5</v>
      </c>
      <c r="M154" s="142">
        <v>157</v>
      </c>
      <c r="N154" s="142">
        <v>0</v>
      </c>
      <c r="O154" s="142">
        <v>0</v>
      </c>
      <c r="P154" s="302">
        <f t="shared" si="9"/>
        <v>1928.5</v>
      </c>
      <c r="Q154" s="302">
        <f t="shared" si="8"/>
        <v>-208</v>
      </c>
    </row>
    <row r="155" spans="1:17" ht="15.4" x14ac:dyDescent="0.45">
      <c r="A155" s="1"/>
      <c r="B155" s="140" t="s">
        <v>253</v>
      </c>
      <c r="C155" s="1">
        <v>372</v>
      </c>
      <c r="D155" s="141" t="s">
        <v>265</v>
      </c>
      <c r="E155" s="142">
        <v>658</v>
      </c>
      <c r="F155" s="142">
        <v>446</v>
      </c>
      <c r="G155" s="142">
        <v>53</v>
      </c>
      <c r="H155" s="142">
        <v>6</v>
      </c>
      <c r="I155" s="142">
        <v>41</v>
      </c>
      <c r="J155" s="302">
        <f t="shared" si="7"/>
        <v>1204</v>
      </c>
      <c r="K155" s="142">
        <v>680</v>
      </c>
      <c r="L155" s="142">
        <v>481</v>
      </c>
      <c r="M155" s="142">
        <v>92.5</v>
      </c>
      <c r="N155" s="142">
        <v>0</v>
      </c>
      <c r="O155" s="142">
        <v>0</v>
      </c>
      <c r="P155" s="302">
        <f t="shared" si="9"/>
        <v>1253.5</v>
      </c>
      <c r="Q155" s="302">
        <f t="shared" si="8"/>
        <v>49.5</v>
      </c>
    </row>
    <row r="156" spans="1:17" ht="15.4" x14ac:dyDescent="0.45">
      <c r="A156" s="1"/>
      <c r="B156" s="140" t="s">
        <v>253</v>
      </c>
      <c r="C156" s="1">
        <v>373</v>
      </c>
      <c r="D156" s="141" t="s">
        <v>266</v>
      </c>
      <c r="E156" s="142">
        <v>1059</v>
      </c>
      <c r="F156" s="142">
        <v>485</v>
      </c>
      <c r="G156" s="142">
        <v>345</v>
      </c>
      <c r="H156" s="142">
        <v>17</v>
      </c>
      <c r="I156" s="142">
        <v>19</v>
      </c>
      <c r="J156" s="302">
        <f t="shared" si="7"/>
        <v>1925</v>
      </c>
      <c r="K156" s="142">
        <v>1082</v>
      </c>
      <c r="L156" s="142">
        <v>473</v>
      </c>
      <c r="M156" s="142">
        <v>351</v>
      </c>
      <c r="N156" s="142">
        <v>0</v>
      </c>
      <c r="O156" s="142">
        <v>0</v>
      </c>
      <c r="P156" s="302">
        <f t="shared" si="9"/>
        <v>1906</v>
      </c>
      <c r="Q156" s="302">
        <f t="shared" si="8"/>
        <v>-19</v>
      </c>
    </row>
    <row r="157" spans="1:17" ht="15.4" x14ac:dyDescent="0.45">
      <c r="A157" s="1"/>
      <c r="B157" s="140" t="s">
        <v>253</v>
      </c>
      <c r="C157" s="1">
        <v>384</v>
      </c>
      <c r="D157" s="141" t="s">
        <v>267</v>
      </c>
      <c r="E157" s="142">
        <v>492.5</v>
      </c>
      <c r="F157" s="142">
        <v>776.5</v>
      </c>
      <c r="G157" s="142">
        <v>166</v>
      </c>
      <c r="H157" s="142">
        <v>5</v>
      </c>
      <c r="I157" s="142">
        <v>36</v>
      </c>
      <c r="J157" s="302">
        <f t="shared" si="7"/>
        <v>1476</v>
      </c>
      <c r="K157" s="142">
        <v>513.5</v>
      </c>
      <c r="L157" s="142">
        <v>787.5</v>
      </c>
      <c r="M157" s="142">
        <v>165</v>
      </c>
      <c r="N157" s="142">
        <v>0</v>
      </c>
      <c r="O157" s="142">
        <v>0</v>
      </c>
      <c r="P157" s="302">
        <f t="shared" si="9"/>
        <v>1466</v>
      </c>
      <c r="Q157" s="302">
        <f t="shared" si="8"/>
        <v>-10</v>
      </c>
    </row>
    <row r="158" spans="1:17" ht="15.4" x14ac:dyDescent="0.45">
      <c r="A158" s="1"/>
      <c r="B158" s="140" t="s">
        <v>253</v>
      </c>
      <c r="C158" s="1">
        <v>816</v>
      </c>
      <c r="D158" s="141" t="s">
        <v>268</v>
      </c>
      <c r="E158" s="142">
        <v>194</v>
      </c>
      <c r="F158" s="142">
        <v>244</v>
      </c>
      <c r="G158" s="142">
        <v>150.5</v>
      </c>
      <c r="H158" s="142">
        <v>3</v>
      </c>
      <c r="I158" s="142">
        <v>12</v>
      </c>
      <c r="J158" s="302">
        <f t="shared" si="7"/>
        <v>603.5</v>
      </c>
      <c r="K158" s="142">
        <v>256</v>
      </c>
      <c r="L158" s="142">
        <v>257</v>
      </c>
      <c r="M158" s="142">
        <v>303.5</v>
      </c>
      <c r="N158" s="142">
        <v>0</v>
      </c>
      <c r="O158" s="142">
        <v>0</v>
      </c>
      <c r="P158" s="302">
        <f t="shared" si="9"/>
        <v>816.5</v>
      </c>
      <c r="Q158" s="302">
        <f>P158 - J158</f>
        <v>213</v>
      </c>
    </row>
    <row r="159" spans="1:17" ht="15.75" thickBot="1" x14ac:dyDescent="0.5">
      <c r="A159" s="1"/>
      <c r="B159" s="159" t="s">
        <v>18</v>
      </c>
      <c r="C159" s="265">
        <v>9999</v>
      </c>
      <c r="D159" s="161"/>
      <c r="E159" s="162">
        <v>0</v>
      </c>
      <c r="F159" s="162">
        <v>0</v>
      </c>
      <c r="G159" s="162">
        <v>0</v>
      </c>
      <c r="H159" s="162">
        <v>0</v>
      </c>
      <c r="I159" s="162">
        <v>0</v>
      </c>
      <c r="J159" s="303">
        <f t="shared" si="7"/>
        <v>0</v>
      </c>
      <c r="K159" s="162">
        <v>0</v>
      </c>
      <c r="L159" s="162">
        <v>0</v>
      </c>
      <c r="M159" s="162">
        <v>0</v>
      </c>
      <c r="N159" s="162">
        <v>3474.333333</v>
      </c>
      <c r="O159" s="304">
        <v>3781</v>
      </c>
      <c r="P159" s="303">
        <f t="shared" si="9"/>
        <v>7255.3333330000005</v>
      </c>
      <c r="Q159" s="303">
        <f>P159 - J159</f>
        <v>7255.3333330000005</v>
      </c>
    </row>
  </sheetData>
  <mergeCells count="20">
    <mergeCell ref="P6:P7"/>
    <mergeCell ref="Q6:Q7"/>
    <mergeCell ref="H6:H7"/>
    <mergeCell ref="I6:I7"/>
    <mergeCell ref="J6:J7"/>
    <mergeCell ref="K6:K7"/>
    <mergeCell ref="L6:L7"/>
    <mergeCell ref="M6:M7"/>
    <mergeCell ref="E5:G5"/>
    <mergeCell ref="H5:I5"/>
    <mergeCell ref="K5:M5"/>
    <mergeCell ref="N5:O5"/>
    <mergeCell ref="B6:B7"/>
    <mergeCell ref="C6:C7"/>
    <mergeCell ref="D6:D7"/>
    <mergeCell ref="E6:E7"/>
    <mergeCell ref="F6:F7"/>
    <mergeCell ref="G6:G7"/>
    <mergeCell ref="N6:N7"/>
    <mergeCell ref="O6:O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B1:I161"/>
  <sheetViews>
    <sheetView showGridLines="0" zoomScale="85" zoomScaleNormal="85" workbookViewId="0">
      <pane xSplit="4" ySplit="8" topLeftCell="E9" activePane="bottomRight" state="frozen"/>
      <selection pane="topRight"/>
      <selection pane="bottomLeft"/>
      <selection pane="bottomRight"/>
    </sheetView>
  </sheetViews>
  <sheetFormatPr defaultColWidth="9.1328125" defaultRowHeight="14.25" outlineLevelCol="1" x14ac:dyDescent="0.45"/>
  <cols>
    <col min="1" max="1" width="4.6640625" customWidth="1"/>
    <col min="2" max="2" width="37.6640625" customWidth="1"/>
    <col min="4" max="4" width="33.53125" bestFit="1" customWidth="1"/>
    <col min="5" max="5" width="21.33203125" customWidth="1"/>
    <col min="6" max="6" width="21.33203125" customWidth="1" outlineLevel="1"/>
    <col min="7" max="7" width="37" customWidth="1"/>
    <col min="9" max="9" width="11.1328125" bestFit="1" customWidth="1"/>
  </cols>
  <sheetData>
    <row r="1" spans="2:9" ht="25.15" x14ac:dyDescent="0.65">
      <c r="B1" s="331" t="s">
        <v>449</v>
      </c>
      <c r="C1" s="87"/>
      <c r="D1" s="87"/>
      <c r="E1" s="87"/>
      <c r="F1" s="87"/>
      <c r="G1" s="87"/>
    </row>
    <row r="2" spans="2:9" ht="24.75" x14ac:dyDescent="0.65">
      <c r="B2" s="87"/>
      <c r="C2" s="87"/>
      <c r="D2" s="87"/>
      <c r="F2" s="87"/>
      <c r="G2" s="87"/>
    </row>
    <row r="3" spans="2:9" ht="25.15" x14ac:dyDescent="0.7">
      <c r="B3" s="254"/>
      <c r="C3" s="87"/>
      <c r="D3" s="87"/>
      <c r="F3" s="87"/>
      <c r="G3" s="88"/>
    </row>
    <row r="4" spans="2:9" ht="15.75" thickBot="1" x14ac:dyDescent="0.5">
      <c r="B4" s="1"/>
      <c r="C4" s="1"/>
      <c r="D4" s="1"/>
      <c r="E4" s="1"/>
      <c r="F4" s="1"/>
      <c r="G4" s="1"/>
    </row>
    <row r="5" spans="2:9" ht="15.4" thickBot="1" x14ac:dyDescent="0.5">
      <c r="B5" s="104" t="s">
        <v>423</v>
      </c>
      <c r="C5" s="105"/>
      <c r="D5" s="105"/>
      <c r="E5" s="255"/>
      <c r="F5" s="256"/>
      <c r="G5" s="257"/>
    </row>
    <row r="6" spans="2:9" ht="32.25" customHeight="1" x14ac:dyDescent="0.45">
      <c r="B6" s="415" t="s">
        <v>277</v>
      </c>
      <c r="C6" s="417" t="s">
        <v>278</v>
      </c>
      <c r="D6" s="419" t="s">
        <v>279</v>
      </c>
      <c r="E6" s="506" t="s">
        <v>501</v>
      </c>
      <c r="F6" s="510" t="s">
        <v>450</v>
      </c>
      <c r="G6" s="506" t="s">
        <v>451</v>
      </c>
    </row>
    <row r="7" spans="2:9" ht="92.25" customHeight="1" thickBot="1" x14ac:dyDescent="0.5">
      <c r="B7" s="416"/>
      <c r="C7" s="418"/>
      <c r="D7" s="420"/>
      <c r="E7" s="502"/>
      <c r="F7" s="507"/>
      <c r="G7" s="502"/>
    </row>
    <row r="8" spans="2:9" ht="15.75" thickBot="1" x14ac:dyDescent="0.5">
      <c r="B8" s="122" t="s">
        <v>107</v>
      </c>
      <c r="C8" s="258"/>
      <c r="D8" s="124"/>
      <c r="E8" s="259">
        <f>SUM(E9:E159)</f>
        <v>73943890.14520143</v>
      </c>
      <c r="F8" s="260">
        <f>SUM(F9:F159)</f>
        <v>1036994</v>
      </c>
      <c r="G8" s="259">
        <f>SUM(G9:G159)</f>
        <v>75725508.016653463</v>
      </c>
      <c r="I8" s="10"/>
    </row>
    <row r="9" spans="2:9" ht="15.4" x14ac:dyDescent="0.45">
      <c r="B9" s="140" t="s">
        <v>109</v>
      </c>
      <c r="C9" s="1">
        <v>831</v>
      </c>
      <c r="D9" s="141" t="s">
        <v>110</v>
      </c>
      <c r="E9" s="261">
        <f>INDEX('Baselines+Historic Spend Factor'!$K$9:$K$159,MATCH($C9,'Baselines+Historic Spend Factor'!$C$9:$C$158,0))</f>
        <v>249717</v>
      </c>
      <c r="F9" s="262">
        <v>0</v>
      </c>
      <c r="G9" s="261">
        <f>E9*101%+F9*100.5%</f>
        <v>252214.17</v>
      </c>
      <c r="H9" s="263"/>
    </row>
    <row r="10" spans="2:9" ht="15.4" x14ac:dyDescent="0.45">
      <c r="B10" s="140" t="s">
        <v>109</v>
      </c>
      <c r="C10" s="1">
        <v>830</v>
      </c>
      <c r="D10" s="141" t="s">
        <v>111</v>
      </c>
      <c r="E10" s="261">
        <f>INDEX('Baselines+Historic Spend Factor'!$K$9:$K$159,MATCH($C10,'Baselines+Historic Spend Factor'!$C$9:$C$158,0))</f>
        <v>50000</v>
      </c>
      <c r="F10" s="264">
        <v>0</v>
      </c>
      <c r="G10" s="261">
        <f t="shared" ref="G10:G73" si="0">E10*101%+F10*100.5%</f>
        <v>50500</v>
      </c>
      <c r="H10" s="263"/>
    </row>
    <row r="11" spans="2:9" ht="15.4" x14ac:dyDescent="0.45">
      <c r="B11" s="140" t="s">
        <v>109</v>
      </c>
      <c r="C11" s="1">
        <v>856</v>
      </c>
      <c r="D11" s="141" t="s">
        <v>112</v>
      </c>
      <c r="E11" s="261">
        <f>INDEX('Baselines+Historic Spend Factor'!$K$9:$K$159,MATCH($C11,'Baselines+Historic Spend Factor'!$C$9:$C$158,0))</f>
        <v>1833000</v>
      </c>
      <c r="F11" s="264">
        <v>0</v>
      </c>
      <c r="G11" s="261">
        <f t="shared" si="0"/>
        <v>1851330</v>
      </c>
      <c r="H11" s="263"/>
    </row>
    <row r="12" spans="2:9" ht="15.4" x14ac:dyDescent="0.45">
      <c r="B12" s="140" t="s">
        <v>109</v>
      </c>
      <c r="C12" s="1">
        <v>855</v>
      </c>
      <c r="D12" s="141" t="s">
        <v>113</v>
      </c>
      <c r="E12" s="261">
        <f>INDEX('Baselines+Historic Spend Factor'!$K$9:$K$159,MATCH($C12,'Baselines+Historic Spend Factor'!$C$9:$C$158,0))</f>
        <v>624756</v>
      </c>
      <c r="F12" s="264">
        <v>0</v>
      </c>
      <c r="G12" s="261">
        <f t="shared" si="0"/>
        <v>631003.56000000006</v>
      </c>
      <c r="H12" s="263"/>
    </row>
    <row r="13" spans="2:9" ht="15.4" x14ac:dyDescent="0.45">
      <c r="B13" s="140" t="s">
        <v>109</v>
      </c>
      <c r="C13" s="1">
        <v>925</v>
      </c>
      <c r="D13" s="141" t="s">
        <v>114</v>
      </c>
      <c r="E13" s="261">
        <f>INDEX('Baselines+Historic Spend Factor'!$K$9:$K$159,MATCH($C13,'Baselines+Historic Spend Factor'!$C$9:$C$158,0))</f>
        <v>1897176</v>
      </c>
      <c r="F13" s="264">
        <v>0</v>
      </c>
      <c r="G13" s="261">
        <f t="shared" si="0"/>
        <v>1916147.76</v>
      </c>
      <c r="H13" s="263"/>
    </row>
    <row r="14" spans="2:9" ht="15.4" x14ac:dyDescent="0.45">
      <c r="B14" s="140" t="s">
        <v>109</v>
      </c>
      <c r="C14" s="1">
        <v>928</v>
      </c>
      <c r="D14" s="141" t="s">
        <v>115</v>
      </c>
      <c r="E14" s="261">
        <f>INDEX('Baselines+Historic Spend Factor'!$K$9:$K$159,MATCH($C14,'Baselines+Historic Spend Factor'!$C$9:$C$158,0))</f>
        <v>1309320</v>
      </c>
      <c r="F14" s="264">
        <v>0</v>
      </c>
      <c r="G14" s="261">
        <f t="shared" si="0"/>
        <v>1322413.2</v>
      </c>
      <c r="H14" s="263"/>
    </row>
    <row r="15" spans="2:9" ht="15.4" x14ac:dyDescent="0.45">
      <c r="B15" s="140" t="s">
        <v>109</v>
      </c>
      <c r="C15" s="1">
        <v>892</v>
      </c>
      <c r="D15" s="141" t="s">
        <v>116</v>
      </c>
      <c r="E15" s="261">
        <f>INDEX('Baselines+Historic Spend Factor'!$K$9:$K$159,MATCH($C15,'Baselines+Historic Spend Factor'!$C$9:$C$158,0))</f>
        <v>1368503</v>
      </c>
      <c r="F15" s="264">
        <v>369090</v>
      </c>
      <c r="G15" s="261">
        <f t="shared" si="0"/>
        <v>1753123.48</v>
      </c>
      <c r="H15" s="263"/>
    </row>
    <row r="16" spans="2:9" ht="15.4" x14ac:dyDescent="0.45">
      <c r="B16" s="140" t="s">
        <v>109</v>
      </c>
      <c r="C16" s="1">
        <v>891</v>
      </c>
      <c r="D16" s="141" t="s">
        <v>117</v>
      </c>
      <c r="E16" s="261">
        <f>INDEX('Baselines+Historic Spend Factor'!$K$9:$K$159,MATCH($C16,'Baselines+Historic Spend Factor'!$C$9:$C$158,0))</f>
        <v>0</v>
      </c>
      <c r="F16" s="264">
        <v>0</v>
      </c>
      <c r="G16" s="261">
        <f t="shared" si="0"/>
        <v>0</v>
      </c>
      <c r="H16" s="263"/>
    </row>
    <row r="17" spans="2:8" ht="15.4" x14ac:dyDescent="0.45">
      <c r="B17" s="140" t="s">
        <v>109</v>
      </c>
      <c r="C17" s="1">
        <v>857</v>
      </c>
      <c r="D17" s="141" t="s">
        <v>118</v>
      </c>
      <c r="E17" s="261">
        <f>INDEX('Baselines+Historic Spend Factor'!$K$9:$K$159,MATCH($C17,'Baselines+Historic Spend Factor'!$C$9:$C$158,0))</f>
        <v>0</v>
      </c>
      <c r="F17" s="264">
        <v>0</v>
      </c>
      <c r="G17" s="261">
        <f t="shared" si="0"/>
        <v>0</v>
      </c>
      <c r="H17" s="263"/>
    </row>
    <row r="18" spans="2:8" ht="15.4" x14ac:dyDescent="0.45">
      <c r="B18" s="140" t="s">
        <v>119</v>
      </c>
      <c r="C18" s="1">
        <v>822</v>
      </c>
      <c r="D18" s="141" t="s">
        <v>120</v>
      </c>
      <c r="E18" s="261">
        <f>INDEX('Baselines+Historic Spend Factor'!$K$9:$K$159,MATCH($C18,'Baselines+Historic Spend Factor'!$C$9:$C$158,0))</f>
        <v>666000</v>
      </c>
      <c r="F18" s="264">
        <v>0</v>
      </c>
      <c r="G18" s="261">
        <f t="shared" si="0"/>
        <v>672660</v>
      </c>
      <c r="H18" s="263"/>
    </row>
    <row r="19" spans="2:8" ht="15.4" x14ac:dyDescent="0.45">
      <c r="B19" s="140" t="s">
        <v>119</v>
      </c>
      <c r="C19" s="1">
        <v>873</v>
      </c>
      <c r="D19" s="141" t="s">
        <v>121</v>
      </c>
      <c r="E19" s="261">
        <f>INDEX('Baselines+Historic Spend Factor'!$K$9:$K$159,MATCH($C19,'Baselines+Historic Spend Factor'!$C$9:$C$158,0))</f>
        <v>624000</v>
      </c>
      <c r="F19" s="264">
        <v>0</v>
      </c>
      <c r="G19" s="261">
        <f t="shared" si="0"/>
        <v>630240</v>
      </c>
      <c r="H19" s="263"/>
    </row>
    <row r="20" spans="2:8" ht="15.4" x14ac:dyDescent="0.45">
      <c r="B20" s="140" t="s">
        <v>119</v>
      </c>
      <c r="C20" s="1">
        <v>823</v>
      </c>
      <c r="D20" s="141" t="s">
        <v>122</v>
      </c>
      <c r="E20" s="261">
        <f>INDEX('Baselines+Historic Spend Factor'!$K$9:$K$159,MATCH($C20,'Baselines+Historic Spend Factor'!$C$9:$C$158,0))</f>
        <v>662495</v>
      </c>
      <c r="F20" s="264">
        <v>0</v>
      </c>
      <c r="G20" s="261">
        <f t="shared" si="0"/>
        <v>669119.94999999995</v>
      </c>
      <c r="H20" s="263"/>
    </row>
    <row r="21" spans="2:8" ht="15.4" x14ac:dyDescent="0.45">
      <c r="B21" s="140" t="s">
        <v>119</v>
      </c>
      <c r="C21" s="1">
        <v>881</v>
      </c>
      <c r="D21" s="141" t="s">
        <v>123</v>
      </c>
      <c r="E21" s="261">
        <f>INDEX('Baselines+Historic Spend Factor'!$K$9:$K$159,MATCH($C21,'Baselines+Historic Spend Factor'!$C$9:$C$158,0))</f>
        <v>0</v>
      </c>
      <c r="F21" s="264">
        <v>0</v>
      </c>
      <c r="G21" s="261">
        <f t="shared" si="0"/>
        <v>0</v>
      </c>
      <c r="H21" s="263"/>
    </row>
    <row r="22" spans="2:8" ht="15.4" x14ac:dyDescent="0.45">
      <c r="B22" s="140" t="s">
        <v>119</v>
      </c>
      <c r="C22" s="1">
        <v>919</v>
      </c>
      <c r="D22" s="141" t="s">
        <v>124</v>
      </c>
      <c r="E22" s="261">
        <f>INDEX('Baselines+Historic Spend Factor'!$K$9:$K$159,MATCH($C22,'Baselines+Historic Spend Factor'!$C$9:$C$158,0))</f>
        <v>1328558</v>
      </c>
      <c r="F22" s="264">
        <v>0</v>
      </c>
      <c r="G22" s="261">
        <f t="shared" si="0"/>
        <v>1341843.58</v>
      </c>
      <c r="H22" s="263"/>
    </row>
    <row r="23" spans="2:8" ht="15.4" x14ac:dyDescent="0.45">
      <c r="B23" s="140" t="s">
        <v>119</v>
      </c>
      <c r="C23" s="1">
        <v>821</v>
      </c>
      <c r="D23" s="141" t="s">
        <v>125</v>
      </c>
      <c r="E23" s="261">
        <f>INDEX('Baselines+Historic Spend Factor'!$K$9:$K$159,MATCH($C23,'Baselines+Historic Spend Factor'!$C$9:$C$158,0))</f>
        <v>55271</v>
      </c>
      <c r="F23" s="264">
        <v>0</v>
      </c>
      <c r="G23" s="261">
        <f t="shared" si="0"/>
        <v>55823.71</v>
      </c>
      <c r="H23" s="263"/>
    </row>
    <row r="24" spans="2:8" ht="15.4" x14ac:dyDescent="0.45">
      <c r="B24" s="140" t="s">
        <v>119</v>
      </c>
      <c r="C24" s="1">
        <v>926</v>
      </c>
      <c r="D24" s="141" t="s">
        <v>126</v>
      </c>
      <c r="E24" s="261">
        <f>INDEX('Baselines+Historic Spend Factor'!$K$9:$K$159,MATCH($C24,'Baselines+Historic Spend Factor'!$C$9:$C$158,0))</f>
        <v>0</v>
      </c>
      <c r="F24" s="264">
        <v>0</v>
      </c>
      <c r="G24" s="261">
        <f t="shared" si="0"/>
        <v>0</v>
      </c>
      <c r="H24" s="263"/>
    </row>
    <row r="25" spans="2:8" ht="15.4" x14ac:dyDescent="0.45">
      <c r="B25" s="140" t="s">
        <v>119</v>
      </c>
      <c r="C25" s="1">
        <v>874</v>
      </c>
      <c r="D25" s="141" t="s">
        <v>127</v>
      </c>
      <c r="E25" s="261">
        <f>INDEX('Baselines+Historic Spend Factor'!$K$9:$K$159,MATCH($C25,'Baselines+Historic Spend Factor'!$C$9:$C$158,0))</f>
        <v>249000</v>
      </c>
      <c r="F25" s="264">
        <v>0</v>
      </c>
      <c r="G25" s="261">
        <f t="shared" si="0"/>
        <v>251490</v>
      </c>
      <c r="H25" s="263"/>
    </row>
    <row r="26" spans="2:8" ht="15.4" x14ac:dyDescent="0.45">
      <c r="B26" s="140" t="s">
        <v>119</v>
      </c>
      <c r="C26" s="1">
        <v>882</v>
      </c>
      <c r="D26" s="141" t="s">
        <v>128</v>
      </c>
      <c r="E26" s="261">
        <f>INDEX('Baselines+Historic Spend Factor'!$K$9:$K$159,MATCH($C26,'Baselines+Historic Spend Factor'!$C$9:$C$158,0))</f>
        <v>32000</v>
      </c>
      <c r="F26" s="264">
        <v>0</v>
      </c>
      <c r="G26" s="261">
        <f t="shared" si="0"/>
        <v>32320</v>
      </c>
      <c r="H26" s="263"/>
    </row>
    <row r="27" spans="2:8" ht="15.4" x14ac:dyDescent="0.45">
      <c r="B27" s="140" t="s">
        <v>119</v>
      </c>
      <c r="C27" s="1">
        <v>935</v>
      </c>
      <c r="D27" s="141" t="s">
        <v>129</v>
      </c>
      <c r="E27" s="261">
        <f>INDEX('Baselines+Historic Spend Factor'!$K$9:$K$159,MATCH($C27,'Baselines+Historic Spend Factor'!$C$9:$C$158,0))</f>
        <v>120000</v>
      </c>
      <c r="F27" s="264">
        <v>0</v>
      </c>
      <c r="G27" s="261">
        <f t="shared" si="0"/>
        <v>121200</v>
      </c>
      <c r="H27" s="263"/>
    </row>
    <row r="28" spans="2:8" ht="15.4" x14ac:dyDescent="0.45">
      <c r="B28" s="140" t="s">
        <v>119</v>
      </c>
      <c r="C28" s="1">
        <v>883</v>
      </c>
      <c r="D28" s="141" t="s">
        <v>130</v>
      </c>
      <c r="E28" s="261">
        <f>INDEX('Baselines+Historic Spend Factor'!$K$9:$K$159,MATCH($C28,'Baselines+Historic Spend Factor'!$C$9:$C$158,0))</f>
        <v>0</v>
      </c>
      <c r="F28" s="264">
        <v>0</v>
      </c>
      <c r="G28" s="261">
        <f t="shared" si="0"/>
        <v>0</v>
      </c>
      <c r="H28" s="263"/>
    </row>
    <row r="29" spans="2:8" ht="15.4" x14ac:dyDescent="0.45">
      <c r="B29" s="140" t="s">
        <v>131</v>
      </c>
      <c r="C29" s="1">
        <v>202</v>
      </c>
      <c r="D29" s="141" t="s">
        <v>132</v>
      </c>
      <c r="E29" s="261">
        <f>INDEX('Baselines+Historic Spend Factor'!$K$9:$K$159,MATCH($C29,'Baselines+Historic Spend Factor'!$C$9:$C$158,0))</f>
        <v>2484824.9999999995</v>
      </c>
      <c r="F29" s="264">
        <v>0</v>
      </c>
      <c r="G29" s="261">
        <f t="shared" si="0"/>
        <v>2509673.2499999995</v>
      </c>
      <c r="H29" s="263"/>
    </row>
    <row r="30" spans="2:8" ht="15.4" x14ac:dyDescent="0.45">
      <c r="B30" s="140" t="s">
        <v>131</v>
      </c>
      <c r="C30" s="1">
        <v>204</v>
      </c>
      <c r="D30" s="141" t="s">
        <v>133</v>
      </c>
      <c r="E30" s="261">
        <f>INDEX('Baselines+Historic Spend Factor'!$K$9:$K$159,MATCH($C30,'Baselines+Historic Spend Factor'!$C$9:$C$158,0))</f>
        <v>0</v>
      </c>
      <c r="F30" s="264">
        <v>0</v>
      </c>
      <c r="G30" s="261">
        <f t="shared" si="0"/>
        <v>0</v>
      </c>
      <c r="H30" s="263"/>
    </row>
    <row r="31" spans="2:8" ht="15.4" x14ac:dyDescent="0.45">
      <c r="B31" s="140" t="s">
        <v>131</v>
      </c>
      <c r="C31" s="1">
        <v>205</v>
      </c>
      <c r="D31" s="141" t="s">
        <v>134</v>
      </c>
      <c r="E31" s="261">
        <f>INDEX('Baselines+Historic Spend Factor'!$K$9:$K$159,MATCH($C31,'Baselines+Historic Spend Factor'!$C$9:$C$158,0))</f>
        <v>300000</v>
      </c>
      <c r="F31" s="264">
        <v>0</v>
      </c>
      <c r="G31" s="261">
        <f t="shared" si="0"/>
        <v>303000</v>
      </c>
      <c r="H31" s="263"/>
    </row>
    <row r="32" spans="2:8" ht="15.4" x14ac:dyDescent="0.45">
      <c r="B32" s="140" t="s">
        <v>131</v>
      </c>
      <c r="C32" s="1">
        <v>309</v>
      </c>
      <c r="D32" s="141" t="s">
        <v>135</v>
      </c>
      <c r="E32" s="261">
        <f>INDEX('Baselines+Historic Spend Factor'!$K$9:$K$159,MATCH($C32,'Baselines+Historic Spend Factor'!$C$9:$C$158,0))</f>
        <v>320000</v>
      </c>
      <c r="F32" s="264">
        <v>0</v>
      </c>
      <c r="G32" s="261">
        <f t="shared" si="0"/>
        <v>323200</v>
      </c>
      <c r="H32" s="263"/>
    </row>
    <row r="33" spans="2:8" ht="15.4" x14ac:dyDescent="0.45">
      <c r="B33" s="140" t="s">
        <v>131</v>
      </c>
      <c r="C33" s="1">
        <v>206</v>
      </c>
      <c r="D33" s="141" t="s">
        <v>136</v>
      </c>
      <c r="E33" s="261">
        <f>INDEX('Baselines+Historic Spend Factor'!$K$9:$K$159,MATCH($C33,'Baselines+Historic Spend Factor'!$C$9:$C$158,0))</f>
        <v>0</v>
      </c>
      <c r="F33" s="264">
        <v>0</v>
      </c>
      <c r="G33" s="261">
        <f t="shared" si="0"/>
        <v>0</v>
      </c>
      <c r="H33" s="263"/>
    </row>
    <row r="34" spans="2:8" ht="15.4" x14ac:dyDescent="0.45">
      <c r="B34" s="140" t="s">
        <v>131</v>
      </c>
      <c r="C34" s="1">
        <v>207</v>
      </c>
      <c r="D34" s="141" t="s">
        <v>137</v>
      </c>
      <c r="E34" s="261">
        <f>INDEX('Baselines+Historic Spend Factor'!$K$9:$K$159,MATCH($C34,'Baselines+Historic Spend Factor'!$C$9:$C$158,0))</f>
        <v>1465000</v>
      </c>
      <c r="F34" s="264">
        <v>0</v>
      </c>
      <c r="G34" s="261">
        <f t="shared" si="0"/>
        <v>1479650</v>
      </c>
      <c r="H34" s="263"/>
    </row>
    <row r="35" spans="2:8" ht="15.4" x14ac:dyDescent="0.45">
      <c r="B35" s="140" t="s">
        <v>131</v>
      </c>
      <c r="C35" s="1">
        <v>208</v>
      </c>
      <c r="D35" s="141" t="s">
        <v>138</v>
      </c>
      <c r="E35" s="261">
        <f>INDEX('Baselines+Historic Spend Factor'!$K$9:$K$159,MATCH($C35,'Baselines+Historic Spend Factor'!$C$9:$C$158,0))</f>
        <v>0</v>
      </c>
      <c r="F35" s="264">
        <v>0</v>
      </c>
      <c r="G35" s="261">
        <f t="shared" si="0"/>
        <v>0</v>
      </c>
      <c r="H35" s="263"/>
    </row>
    <row r="36" spans="2:8" ht="15.4" x14ac:dyDescent="0.45">
      <c r="B36" s="140" t="s">
        <v>131</v>
      </c>
      <c r="C36" s="1">
        <v>209</v>
      </c>
      <c r="D36" s="141" t="s">
        <v>139</v>
      </c>
      <c r="E36" s="261">
        <f>INDEX('Baselines+Historic Spend Factor'!$K$9:$K$159,MATCH($C36,'Baselines+Historic Spend Factor'!$C$9:$C$158,0))</f>
        <v>174361.83130788</v>
      </c>
      <c r="F36" s="264">
        <v>0</v>
      </c>
      <c r="G36" s="261">
        <f t="shared" si="0"/>
        <v>176105.4496209588</v>
      </c>
      <c r="H36" s="263"/>
    </row>
    <row r="37" spans="2:8" ht="15.4" x14ac:dyDescent="0.45">
      <c r="B37" s="140" t="s">
        <v>131</v>
      </c>
      <c r="C37" s="1">
        <v>316</v>
      </c>
      <c r="D37" s="141" t="s">
        <v>140</v>
      </c>
      <c r="E37" s="261">
        <f>INDEX('Baselines+Historic Spend Factor'!$K$9:$K$159,MATCH($C37,'Baselines+Historic Spend Factor'!$C$9:$C$158,0))</f>
        <v>0</v>
      </c>
      <c r="F37" s="264">
        <v>0</v>
      </c>
      <c r="G37" s="261">
        <f t="shared" si="0"/>
        <v>0</v>
      </c>
      <c r="H37" s="263"/>
    </row>
    <row r="38" spans="2:8" ht="15.4" x14ac:dyDescent="0.45">
      <c r="B38" s="140" t="s">
        <v>131</v>
      </c>
      <c r="C38" s="1">
        <v>210</v>
      </c>
      <c r="D38" s="141" t="s">
        <v>141</v>
      </c>
      <c r="E38" s="261">
        <f>INDEX('Baselines+Historic Spend Factor'!$K$9:$K$159,MATCH($C38,'Baselines+Historic Spend Factor'!$C$9:$C$158,0))</f>
        <v>2105908.0000000005</v>
      </c>
      <c r="F38" s="264">
        <v>449278</v>
      </c>
      <c r="G38" s="261">
        <f t="shared" si="0"/>
        <v>2578491.4700000007</v>
      </c>
      <c r="H38" s="263"/>
    </row>
    <row r="39" spans="2:8" ht="15.4" x14ac:dyDescent="0.45">
      <c r="B39" s="140" t="s">
        <v>131</v>
      </c>
      <c r="C39" s="1">
        <v>211</v>
      </c>
      <c r="D39" s="141" t="s">
        <v>142</v>
      </c>
      <c r="E39" s="261">
        <f>INDEX('Baselines+Historic Spend Factor'!$K$9:$K$159,MATCH($C39,'Baselines+Historic Spend Factor'!$C$9:$C$158,0))</f>
        <v>460000</v>
      </c>
      <c r="F39" s="264">
        <v>0</v>
      </c>
      <c r="G39" s="261">
        <f t="shared" si="0"/>
        <v>464600</v>
      </c>
    </row>
    <row r="40" spans="2:8" ht="15.4" x14ac:dyDescent="0.45">
      <c r="B40" s="140" t="s">
        <v>131</v>
      </c>
      <c r="C40" s="1">
        <v>212</v>
      </c>
      <c r="D40" s="141" t="s">
        <v>143</v>
      </c>
      <c r="E40" s="261">
        <f>INDEX('Baselines+Historic Spend Factor'!$K$9:$K$159,MATCH($C40,'Baselines+Historic Spend Factor'!$C$9:$C$158,0))</f>
        <v>825977</v>
      </c>
      <c r="F40" s="264">
        <v>0</v>
      </c>
      <c r="G40" s="261">
        <f t="shared" si="0"/>
        <v>834236.77</v>
      </c>
    </row>
    <row r="41" spans="2:8" ht="15.4" x14ac:dyDescent="0.45">
      <c r="B41" s="140" t="s">
        <v>131</v>
      </c>
      <c r="C41" s="1">
        <v>213</v>
      </c>
      <c r="D41" s="141" t="s">
        <v>144</v>
      </c>
      <c r="E41" s="261">
        <f>INDEX('Baselines+Historic Spend Factor'!$K$9:$K$159,MATCH($C41,'Baselines+Historic Spend Factor'!$C$9:$C$158,0))</f>
        <v>447000</v>
      </c>
      <c r="F41" s="264">
        <v>0</v>
      </c>
      <c r="G41" s="261">
        <f t="shared" si="0"/>
        <v>451470</v>
      </c>
    </row>
    <row r="42" spans="2:8" ht="15.4" x14ac:dyDescent="0.45">
      <c r="B42" s="140" t="s">
        <v>145</v>
      </c>
      <c r="C42" s="1">
        <v>841</v>
      </c>
      <c r="D42" s="141" t="s">
        <v>146</v>
      </c>
      <c r="E42" s="261">
        <f>INDEX('Baselines+Historic Spend Factor'!$K$9:$K$159,MATCH($C42,'Baselines+Historic Spend Factor'!$C$9:$C$158,0))</f>
        <v>100500</v>
      </c>
      <c r="F42" s="264">
        <v>0</v>
      </c>
      <c r="G42" s="261">
        <f t="shared" si="0"/>
        <v>101505</v>
      </c>
    </row>
    <row r="43" spans="2:8" ht="15.4" x14ac:dyDescent="0.45">
      <c r="B43" s="140" t="s">
        <v>145</v>
      </c>
      <c r="C43" s="1">
        <v>840</v>
      </c>
      <c r="D43" s="141" t="s">
        <v>147</v>
      </c>
      <c r="E43" s="261">
        <f>INDEX('Baselines+Historic Spend Factor'!$K$9:$K$159,MATCH($C43,'Baselines+Historic Spend Factor'!$C$9:$C$158,0))</f>
        <v>966000</v>
      </c>
      <c r="F43" s="264">
        <v>0</v>
      </c>
      <c r="G43" s="261">
        <f t="shared" si="0"/>
        <v>975660</v>
      </c>
    </row>
    <row r="44" spans="2:8" ht="15.4" x14ac:dyDescent="0.45">
      <c r="B44" s="140" t="s">
        <v>145</v>
      </c>
      <c r="C44" s="1">
        <v>390</v>
      </c>
      <c r="D44" s="141" t="s">
        <v>148</v>
      </c>
      <c r="E44" s="261">
        <f>INDEX('Baselines+Historic Spend Factor'!$K$9:$K$159,MATCH($C44,'Baselines+Historic Spend Factor'!$C$9:$C$158,0))</f>
        <v>0</v>
      </c>
      <c r="F44" s="264">
        <v>0</v>
      </c>
      <c r="G44" s="261">
        <f t="shared" si="0"/>
        <v>0</v>
      </c>
    </row>
    <row r="45" spans="2:8" ht="15.4" x14ac:dyDescent="0.45">
      <c r="B45" s="140" t="s">
        <v>145</v>
      </c>
      <c r="C45" s="1">
        <v>805</v>
      </c>
      <c r="D45" s="141" t="s">
        <v>149</v>
      </c>
      <c r="E45" s="261">
        <f>INDEX('Baselines+Historic Spend Factor'!$K$9:$K$159,MATCH($C45,'Baselines+Historic Spend Factor'!$C$9:$C$158,0))</f>
        <v>0</v>
      </c>
      <c r="F45" s="264">
        <v>0</v>
      </c>
      <c r="G45" s="261">
        <f t="shared" si="0"/>
        <v>0</v>
      </c>
    </row>
    <row r="46" spans="2:8" ht="15.4" x14ac:dyDescent="0.45">
      <c r="B46" s="140" t="s">
        <v>145</v>
      </c>
      <c r="C46" s="1">
        <v>806</v>
      </c>
      <c r="D46" s="141" t="s">
        <v>150</v>
      </c>
      <c r="E46" s="261">
        <f>INDEX('Baselines+Historic Spend Factor'!$K$9:$K$159,MATCH($C46,'Baselines+Historic Spend Factor'!$C$9:$C$158,0))</f>
        <v>1167000</v>
      </c>
      <c r="F46" s="264">
        <v>0</v>
      </c>
      <c r="G46" s="261">
        <f t="shared" si="0"/>
        <v>1178670</v>
      </c>
    </row>
    <row r="47" spans="2:8" ht="15.4" x14ac:dyDescent="0.45">
      <c r="B47" s="140" t="s">
        <v>145</v>
      </c>
      <c r="C47" s="1">
        <v>391</v>
      </c>
      <c r="D47" s="141" t="s">
        <v>151</v>
      </c>
      <c r="E47" s="261">
        <f>INDEX('Baselines+Historic Spend Factor'!$K$9:$K$159,MATCH($C47,'Baselines+Historic Spend Factor'!$C$9:$C$158,0))</f>
        <v>1965000.0000000005</v>
      </c>
      <c r="F47" s="264">
        <v>0</v>
      </c>
      <c r="G47" s="261">
        <f t="shared" si="0"/>
        <v>1984650.0000000005</v>
      </c>
    </row>
    <row r="48" spans="2:8" ht="15.4" x14ac:dyDescent="0.45">
      <c r="B48" s="140" t="s">
        <v>145</v>
      </c>
      <c r="C48" s="1">
        <v>392</v>
      </c>
      <c r="D48" s="141" t="s">
        <v>152</v>
      </c>
      <c r="E48" s="261">
        <f>INDEX('Baselines+Historic Spend Factor'!$K$9:$K$159,MATCH($C48,'Baselines+Historic Spend Factor'!$C$9:$C$158,0))</f>
        <v>0</v>
      </c>
      <c r="F48" s="264">
        <v>0</v>
      </c>
      <c r="G48" s="261">
        <f t="shared" si="0"/>
        <v>0</v>
      </c>
    </row>
    <row r="49" spans="2:7" ht="15.4" x14ac:dyDescent="0.45">
      <c r="B49" s="140" t="s">
        <v>145</v>
      </c>
      <c r="C49" s="1">
        <v>929</v>
      </c>
      <c r="D49" s="141" t="s">
        <v>153</v>
      </c>
      <c r="E49" s="261">
        <f>INDEX('Baselines+Historic Spend Factor'!$K$9:$K$159,MATCH($C49,'Baselines+Historic Spend Factor'!$C$9:$C$158,0))</f>
        <v>0</v>
      </c>
      <c r="F49" s="264">
        <v>0</v>
      </c>
      <c r="G49" s="261">
        <f t="shared" si="0"/>
        <v>0</v>
      </c>
    </row>
    <row r="50" spans="2:7" ht="15.4" x14ac:dyDescent="0.45">
      <c r="B50" s="140" t="s">
        <v>145</v>
      </c>
      <c r="C50" s="1">
        <v>807</v>
      </c>
      <c r="D50" s="141" t="s">
        <v>154</v>
      </c>
      <c r="E50" s="261">
        <f>INDEX('Baselines+Historic Spend Factor'!$K$9:$K$159,MATCH($C50,'Baselines+Historic Spend Factor'!$C$9:$C$158,0))</f>
        <v>134000</v>
      </c>
      <c r="F50" s="264">
        <v>0</v>
      </c>
      <c r="G50" s="261">
        <f t="shared" si="0"/>
        <v>135340</v>
      </c>
    </row>
    <row r="51" spans="2:7" ht="15.4" x14ac:dyDescent="0.45">
      <c r="B51" s="140" t="s">
        <v>145</v>
      </c>
      <c r="C51" s="1">
        <v>393</v>
      </c>
      <c r="D51" s="141" t="s">
        <v>155</v>
      </c>
      <c r="E51" s="261">
        <f>INDEX('Baselines+Historic Spend Factor'!$K$9:$K$159,MATCH($C51,'Baselines+Historic Spend Factor'!$C$9:$C$158,0))</f>
        <v>0</v>
      </c>
      <c r="F51" s="264">
        <v>0</v>
      </c>
      <c r="G51" s="261">
        <f t="shared" si="0"/>
        <v>0</v>
      </c>
    </row>
    <row r="52" spans="2:7" ht="15.4" x14ac:dyDescent="0.45">
      <c r="B52" s="140" t="s">
        <v>145</v>
      </c>
      <c r="C52" s="1">
        <v>808</v>
      </c>
      <c r="D52" s="141" t="s">
        <v>156</v>
      </c>
      <c r="E52" s="261">
        <f>INDEX('Baselines+Historic Spend Factor'!$K$9:$K$159,MATCH($C52,'Baselines+Historic Spend Factor'!$C$9:$C$158,0))</f>
        <v>25000</v>
      </c>
      <c r="F52" s="264">
        <v>0</v>
      </c>
      <c r="G52" s="261">
        <f t="shared" si="0"/>
        <v>25250</v>
      </c>
    </row>
    <row r="53" spans="2:7" ht="15.4" x14ac:dyDescent="0.45">
      <c r="B53" s="140" t="s">
        <v>145</v>
      </c>
      <c r="C53" s="1">
        <v>394</v>
      </c>
      <c r="D53" s="141" t="s">
        <v>157</v>
      </c>
      <c r="E53" s="261">
        <f>INDEX('Baselines+Historic Spend Factor'!$K$9:$K$159,MATCH($C53,'Baselines+Historic Spend Factor'!$C$9:$C$158,0))</f>
        <v>0</v>
      </c>
      <c r="F53" s="264">
        <v>0</v>
      </c>
      <c r="G53" s="261">
        <f t="shared" si="0"/>
        <v>0</v>
      </c>
    </row>
    <row r="54" spans="2:7" ht="15.4" x14ac:dyDescent="0.45">
      <c r="B54" s="140" t="s">
        <v>158</v>
      </c>
      <c r="C54" s="1">
        <v>889</v>
      </c>
      <c r="D54" s="141" t="s">
        <v>159</v>
      </c>
      <c r="E54" s="261">
        <f>INDEX('Baselines+Historic Spend Factor'!$K$9:$K$159,MATCH($C54,'Baselines+Historic Spend Factor'!$C$9:$C$158,0))</f>
        <v>360400.00000000006</v>
      </c>
      <c r="F54" s="264">
        <v>0</v>
      </c>
      <c r="G54" s="261">
        <f t="shared" si="0"/>
        <v>364004.00000000006</v>
      </c>
    </row>
    <row r="55" spans="2:7" ht="15.4" x14ac:dyDescent="0.45">
      <c r="B55" s="140" t="s">
        <v>158</v>
      </c>
      <c r="C55" s="1">
        <v>890</v>
      </c>
      <c r="D55" s="141" t="s">
        <v>160</v>
      </c>
      <c r="E55" s="261">
        <f>INDEX('Baselines+Historic Spend Factor'!$K$9:$K$159,MATCH($C55,'Baselines+Historic Spend Factor'!$C$9:$C$158,0))</f>
        <v>1132000</v>
      </c>
      <c r="F55" s="264">
        <v>0</v>
      </c>
      <c r="G55" s="261">
        <f t="shared" si="0"/>
        <v>1143320</v>
      </c>
    </row>
    <row r="56" spans="2:7" ht="15.4" x14ac:dyDescent="0.45">
      <c r="B56" s="140" t="s">
        <v>158</v>
      </c>
      <c r="C56" s="1">
        <v>350</v>
      </c>
      <c r="D56" s="141" t="s">
        <v>161</v>
      </c>
      <c r="E56" s="261">
        <f>INDEX('Baselines+Historic Spend Factor'!$K$9:$K$159,MATCH($C56,'Baselines+Historic Spend Factor'!$C$9:$C$158,0))</f>
        <v>0</v>
      </c>
      <c r="F56" s="264">
        <v>0</v>
      </c>
      <c r="G56" s="261">
        <f t="shared" si="0"/>
        <v>0</v>
      </c>
    </row>
    <row r="57" spans="2:7" ht="15.4" x14ac:dyDescent="0.45">
      <c r="B57" s="140" t="s">
        <v>158</v>
      </c>
      <c r="C57" s="1">
        <v>351</v>
      </c>
      <c r="D57" s="141" t="s">
        <v>162</v>
      </c>
      <c r="E57" s="261">
        <f>INDEX('Baselines+Historic Spend Factor'!$K$9:$K$159,MATCH($C57,'Baselines+Historic Spend Factor'!$C$9:$C$158,0))</f>
        <v>167616</v>
      </c>
      <c r="F57" s="264">
        <v>0</v>
      </c>
      <c r="G57" s="261">
        <f t="shared" si="0"/>
        <v>169292.16</v>
      </c>
    </row>
    <row r="58" spans="2:7" ht="15.4" x14ac:dyDescent="0.45">
      <c r="B58" s="140" t="s">
        <v>158</v>
      </c>
      <c r="C58" s="1">
        <v>895</v>
      </c>
      <c r="D58" s="141" t="s">
        <v>163</v>
      </c>
      <c r="E58" s="261">
        <f>INDEX('Baselines+Historic Spend Factor'!$K$9:$K$159,MATCH($C58,'Baselines+Historic Spend Factor'!$C$9:$C$158,0))</f>
        <v>0</v>
      </c>
      <c r="F58" s="264">
        <v>0</v>
      </c>
      <c r="G58" s="261">
        <f t="shared" si="0"/>
        <v>0</v>
      </c>
    </row>
    <row r="59" spans="2:7" ht="15.4" x14ac:dyDescent="0.45">
      <c r="B59" s="140" t="s">
        <v>158</v>
      </c>
      <c r="C59" s="1">
        <v>896</v>
      </c>
      <c r="D59" s="141" t="s">
        <v>164</v>
      </c>
      <c r="E59" s="261">
        <f>INDEX('Baselines+Historic Spend Factor'!$K$9:$K$159,MATCH($C59,'Baselines+Historic Spend Factor'!$C$9:$C$158,0))</f>
        <v>525886.00000000012</v>
      </c>
      <c r="F59" s="264">
        <v>0</v>
      </c>
      <c r="G59" s="261">
        <f t="shared" si="0"/>
        <v>531144.8600000001</v>
      </c>
    </row>
    <row r="60" spans="2:7" ht="15.4" x14ac:dyDescent="0.45">
      <c r="B60" s="140" t="s">
        <v>158</v>
      </c>
      <c r="C60" s="1">
        <v>909</v>
      </c>
      <c r="D60" s="141" t="s">
        <v>165</v>
      </c>
      <c r="E60" s="261">
        <f>INDEX('Baselines+Historic Spend Factor'!$K$9:$K$159,MATCH($C60,'Baselines+Historic Spend Factor'!$C$9:$C$158,0))</f>
        <v>802637</v>
      </c>
      <c r="F60" s="264">
        <v>0</v>
      </c>
      <c r="G60" s="261">
        <f t="shared" si="0"/>
        <v>810663.37</v>
      </c>
    </row>
    <row r="61" spans="2:7" ht="15.4" x14ac:dyDescent="0.45">
      <c r="B61" s="140" t="s">
        <v>158</v>
      </c>
      <c r="C61" s="1">
        <v>876</v>
      </c>
      <c r="D61" s="141" t="s">
        <v>166</v>
      </c>
      <c r="E61" s="261">
        <f>INDEX('Baselines+Historic Spend Factor'!$K$9:$K$159,MATCH($C61,'Baselines+Historic Spend Factor'!$C$9:$C$158,0))</f>
        <v>0</v>
      </c>
      <c r="F61" s="264">
        <v>0</v>
      </c>
      <c r="G61" s="261">
        <f t="shared" si="0"/>
        <v>0</v>
      </c>
    </row>
    <row r="62" spans="2:7" ht="15.4" x14ac:dyDescent="0.45">
      <c r="B62" s="140" t="s">
        <v>158</v>
      </c>
      <c r="C62" s="1">
        <v>340</v>
      </c>
      <c r="D62" s="141" t="s">
        <v>167</v>
      </c>
      <c r="E62" s="261">
        <f>INDEX('Baselines+Historic Spend Factor'!$K$9:$K$159,MATCH($C62,'Baselines+Historic Spend Factor'!$C$9:$C$158,0))</f>
        <v>113528</v>
      </c>
      <c r="F62" s="264">
        <v>0</v>
      </c>
      <c r="G62" s="261">
        <f t="shared" si="0"/>
        <v>114663.28</v>
      </c>
    </row>
    <row r="63" spans="2:7" ht="15.4" x14ac:dyDescent="0.45">
      <c r="B63" s="140" t="s">
        <v>158</v>
      </c>
      <c r="C63" s="1">
        <v>888</v>
      </c>
      <c r="D63" s="141" t="s">
        <v>168</v>
      </c>
      <c r="E63" s="261">
        <f>INDEX('Baselines+Historic Spend Factor'!$K$9:$K$159,MATCH($C63,'Baselines+Historic Spend Factor'!$C$9:$C$158,0))</f>
        <v>610000</v>
      </c>
      <c r="F63" s="264">
        <v>0</v>
      </c>
      <c r="G63" s="261">
        <f t="shared" si="0"/>
        <v>616100</v>
      </c>
    </row>
    <row r="64" spans="2:7" ht="15.4" x14ac:dyDescent="0.45">
      <c r="B64" s="140" t="s">
        <v>158</v>
      </c>
      <c r="C64" s="1">
        <v>341</v>
      </c>
      <c r="D64" s="141" t="s">
        <v>169</v>
      </c>
      <c r="E64" s="261">
        <f>INDEX('Baselines+Historic Spend Factor'!$K$9:$K$159,MATCH($C64,'Baselines+Historic Spend Factor'!$C$9:$C$158,0))</f>
        <v>612365</v>
      </c>
      <c r="F64" s="264">
        <v>0</v>
      </c>
      <c r="G64" s="261">
        <f t="shared" si="0"/>
        <v>618488.65</v>
      </c>
    </row>
    <row r="65" spans="2:7" ht="15.4" x14ac:dyDescent="0.45">
      <c r="B65" s="140" t="s">
        <v>158</v>
      </c>
      <c r="C65" s="1">
        <v>352</v>
      </c>
      <c r="D65" s="141" t="s">
        <v>170</v>
      </c>
      <c r="E65" s="261">
        <f>INDEX('Baselines+Historic Spend Factor'!$K$9:$K$159,MATCH($C65,'Baselines+Historic Spend Factor'!$C$9:$C$158,0))</f>
        <v>1740275</v>
      </c>
      <c r="F65" s="264">
        <v>142950</v>
      </c>
      <c r="G65" s="261">
        <f t="shared" si="0"/>
        <v>1901342.5</v>
      </c>
    </row>
    <row r="66" spans="2:7" ht="15.4" x14ac:dyDescent="0.45">
      <c r="B66" s="140" t="s">
        <v>158</v>
      </c>
      <c r="C66" s="1">
        <v>353</v>
      </c>
      <c r="D66" s="141" t="s">
        <v>171</v>
      </c>
      <c r="E66" s="261">
        <f>INDEX('Baselines+Historic Spend Factor'!$K$9:$K$159,MATCH($C66,'Baselines+Historic Spend Factor'!$C$9:$C$158,0))</f>
        <v>445384</v>
      </c>
      <c r="F66" s="264">
        <v>0</v>
      </c>
      <c r="G66" s="261">
        <f t="shared" si="0"/>
        <v>449837.84</v>
      </c>
    </row>
    <row r="67" spans="2:7" ht="15.4" x14ac:dyDescent="0.45">
      <c r="B67" s="140" t="s">
        <v>158</v>
      </c>
      <c r="C67" s="1">
        <v>354</v>
      </c>
      <c r="D67" s="141" t="s">
        <v>172</v>
      </c>
      <c r="E67" s="261">
        <f>INDEX('Baselines+Historic Spend Factor'!$K$9:$K$159,MATCH($C67,'Baselines+Historic Spend Factor'!$C$9:$C$158,0))</f>
        <v>0</v>
      </c>
      <c r="F67" s="264">
        <v>0</v>
      </c>
      <c r="G67" s="261">
        <f t="shared" si="0"/>
        <v>0</v>
      </c>
    </row>
    <row r="68" spans="2:7" ht="15.4" x14ac:dyDescent="0.45">
      <c r="B68" s="140" t="s">
        <v>158</v>
      </c>
      <c r="C68" s="1">
        <v>355</v>
      </c>
      <c r="D68" s="141" t="s">
        <v>173</v>
      </c>
      <c r="E68" s="261">
        <f>INDEX('Baselines+Historic Spend Factor'!$K$9:$K$159,MATCH($C68,'Baselines+Historic Spend Factor'!$C$9:$C$158,0))</f>
        <v>0</v>
      </c>
      <c r="F68" s="264">
        <v>0</v>
      </c>
      <c r="G68" s="261">
        <f t="shared" si="0"/>
        <v>0</v>
      </c>
    </row>
    <row r="69" spans="2:7" ht="15.4" x14ac:dyDescent="0.45">
      <c r="B69" s="140" t="s">
        <v>158</v>
      </c>
      <c r="C69" s="1">
        <v>343</v>
      </c>
      <c r="D69" s="141" t="s">
        <v>174</v>
      </c>
      <c r="E69" s="261">
        <f>INDEX('Baselines+Historic Spend Factor'!$K$9:$K$159,MATCH($C69,'Baselines+Historic Spend Factor'!$C$9:$C$158,0))</f>
        <v>0</v>
      </c>
      <c r="F69" s="264">
        <v>0</v>
      </c>
      <c r="G69" s="261">
        <f t="shared" si="0"/>
        <v>0</v>
      </c>
    </row>
    <row r="70" spans="2:7" ht="15.4" x14ac:dyDescent="0.45">
      <c r="B70" s="140" t="s">
        <v>158</v>
      </c>
      <c r="C70" s="1">
        <v>342</v>
      </c>
      <c r="D70" s="141" t="s">
        <v>175</v>
      </c>
      <c r="E70" s="261">
        <f>INDEX('Baselines+Historic Spend Factor'!$K$9:$K$159,MATCH($C70,'Baselines+Historic Spend Factor'!$C$9:$C$158,0))</f>
        <v>0</v>
      </c>
      <c r="F70" s="264">
        <v>0</v>
      </c>
      <c r="G70" s="261">
        <f t="shared" si="0"/>
        <v>0</v>
      </c>
    </row>
    <row r="71" spans="2:7" ht="15.4" x14ac:dyDescent="0.45">
      <c r="B71" s="140" t="s">
        <v>158</v>
      </c>
      <c r="C71" s="1">
        <v>356</v>
      </c>
      <c r="D71" s="141" t="s">
        <v>176</v>
      </c>
      <c r="E71" s="261">
        <f>INDEX('Baselines+Historic Spend Factor'!$K$9:$K$159,MATCH($C71,'Baselines+Historic Spend Factor'!$C$9:$C$158,0))</f>
        <v>50000</v>
      </c>
      <c r="F71" s="264">
        <v>0</v>
      </c>
      <c r="G71" s="261">
        <f t="shared" si="0"/>
        <v>50500</v>
      </c>
    </row>
    <row r="72" spans="2:7" ht="15.4" x14ac:dyDescent="0.45">
      <c r="B72" s="140" t="s">
        <v>158</v>
      </c>
      <c r="C72" s="1">
        <v>357</v>
      </c>
      <c r="D72" s="141" t="s">
        <v>177</v>
      </c>
      <c r="E72" s="261">
        <f>INDEX('Baselines+Historic Spend Factor'!$K$9:$K$159,MATCH($C72,'Baselines+Historic Spend Factor'!$C$9:$C$158,0))</f>
        <v>75000</v>
      </c>
      <c r="F72" s="264">
        <v>0</v>
      </c>
      <c r="G72" s="261">
        <f t="shared" si="0"/>
        <v>75750</v>
      </c>
    </row>
    <row r="73" spans="2:7" ht="15.4" x14ac:dyDescent="0.45">
      <c r="B73" s="140" t="s">
        <v>158</v>
      </c>
      <c r="C73" s="1">
        <v>358</v>
      </c>
      <c r="D73" s="141" t="s">
        <v>178</v>
      </c>
      <c r="E73" s="261">
        <f>INDEX('Baselines+Historic Spend Factor'!$K$9:$K$159,MATCH($C73,'Baselines+Historic Spend Factor'!$C$9:$C$158,0))</f>
        <v>0</v>
      </c>
      <c r="F73" s="264">
        <v>0</v>
      </c>
      <c r="G73" s="261">
        <f t="shared" si="0"/>
        <v>0</v>
      </c>
    </row>
    <row r="74" spans="2:7" ht="15.4" x14ac:dyDescent="0.45">
      <c r="B74" s="140" t="s">
        <v>158</v>
      </c>
      <c r="C74" s="1">
        <v>877</v>
      </c>
      <c r="D74" s="141" t="s">
        <v>179</v>
      </c>
      <c r="E74" s="261">
        <f>INDEX('Baselines+Historic Spend Factor'!$K$9:$K$159,MATCH($C74,'Baselines+Historic Spend Factor'!$C$9:$C$158,0))</f>
        <v>311525</v>
      </c>
      <c r="F74" s="264">
        <v>0</v>
      </c>
      <c r="G74" s="261">
        <f t="shared" ref="G74:G137" si="1">E74*101%+F74*100.5%</f>
        <v>314640.25</v>
      </c>
    </row>
    <row r="75" spans="2:7" ht="15.4" x14ac:dyDescent="0.45">
      <c r="B75" s="140" t="s">
        <v>158</v>
      </c>
      <c r="C75" s="1">
        <v>359</v>
      </c>
      <c r="D75" s="141" t="s">
        <v>180</v>
      </c>
      <c r="E75" s="261">
        <f>INDEX('Baselines+Historic Spend Factor'!$K$9:$K$159,MATCH($C75,'Baselines+Historic Spend Factor'!$C$9:$C$158,0))</f>
        <v>30000</v>
      </c>
      <c r="F75" s="264">
        <v>0</v>
      </c>
      <c r="G75" s="261">
        <f t="shared" si="1"/>
        <v>30300</v>
      </c>
    </row>
    <row r="76" spans="2:7" ht="15.4" x14ac:dyDescent="0.45">
      <c r="B76" s="140" t="s">
        <v>158</v>
      </c>
      <c r="C76" s="1">
        <v>344</v>
      </c>
      <c r="D76" s="141" t="s">
        <v>181</v>
      </c>
      <c r="E76" s="261">
        <f>INDEX('Baselines+Historic Spend Factor'!$K$9:$K$159,MATCH($C76,'Baselines+Historic Spend Factor'!$C$9:$C$158,0))</f>
        <v>1359100</v>
      </c>
      <c r="F76" s="264">
        <v>0</v>
      </c>
      <c r="G76" s="261">
        <f t="shared" si="1"/>
        <v>1372691</v>
      </c>
    </row>
    <row r="77" spans="2:7" ht="15.4" x14ac:dyDescent="0.45">
      <c r="B77" s="140" t="s">
        <v>182</v>
      </c>
      <c r="C77" s="1">
        <v>301</v>
      </c>
      <c r="D77" s="141" t="s">
        <v>183</v>
      </c>
      <c r="E77" s="261">
        <f>INDEX('Baselines+Historic Spend Factor'!$K$9:$K$159,MATCH($C77,'Baselines+Historic Spend Factor'!$C$9:$C$158,0))</f>
        <v>0</v>
      </c>
      <c r="F77" s="264">
        <v>0</v>
      </c>
      <c r="G77" s="261">
        <f t="shared" si="1"/>
        <v>0</v>
      </c>
    </row>
    <row r="78" spans="2:7" ht="15.4" x14ac:dyDescent="0.45">
      <c r="B78" s="140" t="s">
        <v>182</v>
      </c>
      <c r="C78" s="1">
        <v>302</v>
      </c>
      <c r="D78" s="141" t="s">
        <v>184</v>
      </c>
      <c r="E78" s="261">
        <f>INDEX('Baselines+Historic Spend Factor'!$K$9:$K$159,MATCH($C78,'Baselines+Historic Spend Factor'!$C$9:$C$158,0))</f>
        <v>541146</v>
      </c>
      <c r="F78" s="264">
        <v>0</v>
      </c>
      <c r="G78" s="261">
        <f t="shared" si="1"/>
        <v>546557.46</v>
      </c>
    </row>
    <row r="79" spans="2:7" ht="15.4" x14ac:dyDescent="0.45">
      <c r="B79" s="140" t="s">
        <v>182</v>
      </c>
      <c r="C79" s="1">
        <v>303</v>
      </c>
      <c r="D79" s="141" t="s">
        <v>185</v>
      </c>
      <c r="E79" s="261">
        <f>INDEX('Baselines+Historic Spend Factor'!$K$9:$K$159,MATCH($C79,'Baselines+Historic Spend Factor'!$C$9:$C$158,0))</f>
        <v>295000</v>
      </c>
      <c r="F79" s="264">
        <v>0</v>
      </c>
      <c r="G79" s="261">
        <f t="shared" si="1"/>
        <v>297950</v>
      </c>
    </row>
    <row r="80" spans="2:7" ht="15.4" x14ac:dyDescent="0.45">
      <c r="B80" s="140" t="s">
        <v>182</v>
      </c>
      <c r="C80" s="1">
        <v>304</v>
      </c>
      <c r="D80" s="141" t="s">
        <v>186</v>
      </c>
      <c r="E80" s="261">
        <f>INDEX('Baselines+Historic Spend Factor'!$K$9:$K$159,MATCH($C80,'Baselines+Historic Spend Factor'!$C$9:$C$158,0))</f>
        <v>0</v>
      </c>
      <c r="F80" s="264">
        <v>0</v>
      </c>
      <c r="G80" s="261">
        <f t="shared" si="1"/>
        <v>0</v>
      </c>
    </row>
    <row r="81" spans="2:7" ht="15.4" x14ac:dyDescent="0.45">
      <c r="B81" s="140" t="s">
        <v>182</v>
      </c>
      <c r="C81" s="1">
        <v>305</v>
      </c>
      <c r="D81" s="141" t="s">
        <v>187</v>
      </c>
      <c r="E81" s="261">
        <f>INDEX('Baselines+Historic Spend Factor'!$K$9:$K$159,MATCH($C81,'Baselines+Historic Spend Factor'!$C$9:$C$158,0))</f>
        <v>700000</v>
      </c>
      <c r="F81" s="264">
        <v>0</v>
      </c>
      <c r="G81" s="261">
        <f t="shared" si="1"/>
        <v>707000</v>
      </c>
    </row>
    <row r="82" spans="2:7" ht="15.4" x14ac:dyDescent="0.45">
      <c r="B82" s="140" t="s">
        <v>182</v>
      </c>
      <c r="C82" s="1">
        <v>306</v>
      </c>
      <c r="D82" s="141" t="s">
        <v>188</v>
      </c>
      <c r="E82" s="261">
        <f>INDEX('Baselines+Historic Spend Factor'!$K$9:$K$159,MATCH($C82,'Baselines+Historic Spend Factor'!$C$9:$C$158,0))</f>
        <v>385000</v>
      </c>
      <c r="F82" s="264">
        <v>0</v>
      </c>
      <c r="G82" s="261">
        <f t="shared" si="1"/>
        <v>388850</v>
      </c>
    </row>
    <row r="83" spans="2:7" ht="15.4" x14ac:dyDescent="0.45">
      <c r="B83" s="140" t="s">
        <v>182</v>
      </c>
      <c r="C83" s="1">
        <v>307</v>
      </c>
      <c r="D83" s="141" t="s">
        <v>189</v>
      </c>
      <c r="E83" s="261">
        <f>INDEX('Baselines+Historic Spend Factor'!$K$9:$K$159,MATCH($C83,'Baselines+Historic Spend Factor'!$C$9:$C$158,0))</f>
        <v>0</v>
      </c>
      <c r="F83" s="264">
        <v>0</v>
      </c>
      <c r="G83" s="261">
        <f t="shared" si="1"/>
        <v>0</v>
      </c>
    </row>
    <row r="84" spans="2:7" ht="15.4" x14ac:dyDescent="0.45">
      <c r="B84" s="140" t="s">
        <v>182</v>
      </c>
      <c r="C84" s="1">
        <v>308</v>
      </c>
      <c r="D84" s="141" t="s">
        <v>190</v>
      </c>
      <c r="E84" s="261">
        <f>INDEX('Baselines+Historic Spend Factor'!$K$9:$K$159,MATCH($C84,'Baselines+Historic Spend Factor'!$C$9:$C$158,0))</f>
        <v>388850</v>
      </c>
      <c r="F84" s="264">
        <v>0</v>
      </c>
      <c r="G84" s="261">
        <f t="shared" si="1"/>
        <v>392738.5</v>
      </c>
    </row>
    <row r="85" spans="2:7" ht="15.4" x14ac:dyDescent="0.45">
      <c r="B85" s="140" t="s">
        <v>182</v>
      </c>
      <c r="C85" s="1">
        <v>203</v>
      </c>
      <c r="D85" s="141" t="s">
        <v>191</v>
      </c>
      <c r="E85" s="261">
        <f>INDEX('Baselines+Historic Spend Factor'!$K$9:$K$159,MATCH($C85,'Baselines+Historic Spend Factor'!$C$9:$C$158,0))</f>
        <v>463431</v>
      </c>
      <c r="F85" s="264">
        <v>0</v>
      </c>
      <c r="G85" s="261">
        <f t="shared" si="1"/>
        <v>468065.31</v>
      </c>
    </row>
    <row r="86" spans="2:7" ht="15.4" x14ac:dyDescent="0.45">
      <c r="B86" s="140" t="s">
        <v>182</v>
      </c>
      <c r="C86" s="1">
        <v>310</v>
      </c>
      <c r="D86" s="141" t="s">
        <v>192</v>
      </c>
      <c r="E86" s="261">
        <f>INDEX('Baselines+Historic Spend Factor'!$K$9:$K$159,MATCH($C86,'Baselines+Historic Spend Factor'!$C$9:$C$158,0))</f>
        <v>92000</v>
      </c>
      <c r="F86" s="264">
        <v>75676</v>
      </c>
      <c r="G86" s="261">
        <f t="shared" si="1"/>
        <v>168974.38</v>
      </c>
    </row>
    <row r="87" spans="2:7" ht="15.4" x14ac:dyDescent="0.45">
      <c r="B87" s="140" t="s">
        <v>182</v>
      </c>
      <c r="C87" s="1">
        <v>311</v>
      </c>
      <c r="D87" s="141" t="s">
        <v>193</v>
      </c>
      <c r="E87" s="261">
        <f>INDEX('Baselines+Historic Spend Factor'!$K$9:$K$159,MATCH($C87,'Baselines+Historic Spend Factor'!$C$9:$C$158,0))</f>
        <v>78150</v>
      </c>
      <c r="F87" s="264">
        <v>0</v>
      </c>
      <c r="G87" s="261">
        <f t="shared" si="1"/>
        <v>78931.5</v>
      </c>
    </row>
    <row r="88" spans="2:7" ht="15.4" x14ac:dyDescent="0.45">
      <c r="B88" s="140" t="s">
        <v>182</v>
      </c>
      <c r="C88" s="1">
        <v>312</v>
      </c>
      <c r="D88" s="141" t="s">
        <v>194</v>
      </c>
      <c r="E88" s="261">
        <f>INDEX('Baselines+Historic Spend Factor'!$K$9:$K$159,MATCH($C88,'Baselines+Historic Spend Factor'!$C$9:$C$158,0))</f>
        <v>75000</v>
      </c>
      <c r="F88" s="264">
        <v>0</v>
      </c>
      <c r="G88" s="261">
        <f t="shared" si="1"/>
        <v>75750</v>
      </c>
    </row>
    <row r="89" spans="2:7" ht="15.4" x14ac:dyDescent="0.45">
      <c r="B89" s="140" t="s">
        <v>182</v>
      </c>
      <c r="C89" s="1">
        <v>313</v>
      </c>
      <c r="D89" s="141" t="s">
        <v>195</v>
      </c>
      <c r="E89" s="261">
        <f>INDEX('Baselines+Historic Spend Factor'!$K$9:$K$159,MATCH($C89,'Baselines+Historic Spend Factor'!$C$9:$C$158,0))</f>
        <v>1160000</v>
      </c>
      <c r="F89" s="264">
        <v>0</v>
      </c>
      <c r="G89" s="261">
        <f t="shared" si="1"/>
        <v>1171600</v>
      </c>
    </row>
    <row r="90" spans="2:7" ht="15.4" x14ac:dyDescent="0.45">
      <c r="B90" s="140" t="s">
        <v>182</v>
      </c>
      <c r="C90" s="1">
        <v>314</v>
      </c>
      <c r="D90" s="141" t="s">
        <v>196</v>
      </c>
      <c r="E90" s="261">
        <f>INDEX('Baselines+Historic Spend Factor'!$K$9:$K$159,MATCH($C90,'Baselines+Historic Spend Factor'!$C$9:$C$158,0))</f>
        <v>0</v>
      </c>
      <c r="F90" s="264">
        <v>0</v>
      </c>
      <c r="G90" s="261">
        <f t="shared" si="1"/>
        <v>0</v>
      </c>
    </row>
    <row r="91" spans="2:7" ht="15.4" x14ac:dyDescent="0.45">
      <c r="B91" s="140" t="s">
        <v>182</v>
      </c>
      <c r="C91" s="1">
        <v>315</v>
      </c>
      <c r="D91" s="141" t="s">
        <v>197</v>
      </c>
      <c r="E91" s="261">
        <f>INDEX('Baselines+Historic Spend Factor'!$K$9:$K$159,MATCH($C91,'Baselines+Historic Spend Factor'!$C$9:$C$158,0))</f>
        <v>50000</v>
      </c>
      <c r="F91" s="264">
        <v>0</v>
      </c>
      <c r="G91" s="261">
        <f t="shared" si="1"/>
        <v>50500</v>
      </c>
    </row>
    <row r="92" spans="2:7" ht="15.4" x14ac:dyDescent="0.45">
      <c r="B92" s="140" t="s">
        <v>182</v>
      </c>
      <c r="C92" s="1">
        <v>317</v>
      </c>
      <c r="D92" s="141" t="s">
        <v>198</v>
      </c>
      <c r="E92" s="261">
        <f>INDEX('Baselines+Historic Spend Factor'!$K$9:$K$159,MATCH($C92,'Baselines+Historic Spend Factor'!$C$9:$C$158,0))</f>
        <v>0</v>
      </c>
      <c r="F92" s="264">
        <v>0</v>
      </c>
      <c r="G92" s="261">
        <f t="shared" si="1"/>
        <v>0</v>
      </c>
    </row>
    <row r="93" spans="2:7" ht="15.4" x14ac:dyDescent="0.45">
      <c r="B93" s="140" t="s">
        <v>182</v>
      </c>
      <c r="C93" s="1">
        <v>318</v>
      </c>
      <c r="D93" s="141" t="s">
        <v>199</v>
      </c>
      <c r="E93" s="261">
        <f>INDEX('Baselines+Historic Spend Factor'!$K$9:$K$159,MATCH($C93,'Baselines+Historic Spend Factor'!$C$9:$C$158,0))</f>
        <v>0</v>
      </c>
      <c r="F93" s="264">
        <v>0</v>
      </c>
      <c r="G93" s="261">
        <f t="shared" si="1"/>
        <v>0</v>
      </c>
    </row>
    <row r="94" spans="2:7" ht="15.4" x14ac:dyDescent="0.45">
      <c r="B94" s="140" t="s">
        <v>182</v>
      </c>
      <c r="C94" s="1">
        <v>319</v>
      </c>
      <c r="D94" s="141" t="s">
        <v>200</v>
      </c>
      <c r="E94" s="261">
        <f>INDEX('Baselines+Historic Spend Factor'!$K$9:$K$159,MATCH($C94,'Baselines+Historic Spend Factor'!$C$9:$C$158,0))</f>
        <v>266000</v>
      </c>
      <c r="F94" s="264">
        <v>0</v>
      </c>
      <c r="G94" s="261">
        <f t="shared" si="1"/>
        <v>268660</v>
      </c>
    </row>
    <row r="95" spans="2:7" ht="15.4" x14ac:dyDescent="0.45">
      <c r="B95" s="140" t="s">
        <v>182</v>
      </c>
      <c r="C95" s="1">
        <v>320</v>
      </c>
      <c r="D95" s="141" t="s">
        <v>201</v>
      </c>
      <c r="E95" s="261">
        <f>INDEX('Baselines+Historic Spend Factor'!$K$9:$K$159,MATCH($C95,'Baselines+Historic Spend Factor'!$C$9:$C$158,0))</f>
        <v>363000</v>
      </c>
      <c r="F95" s="264">
        <v>0</v>
      </c>
      <c r="G95" s="261">
        <f t="shared" si="1"/>
        <v>366630</v>
      </c>
    </row>
    <row r="96" spans="2:7" ht="15.4" x14ac:dyDescent="0.45">
      <c r="B96" s="140" t="s">
        <v>202</v>
      </c>
      <c r="C96" s="1">
        <v>867</v>
      </c>
      <c r="D96" s="141" t="s">
        <v>203</v>
      </c>
      <c r="E96" s="261">
        <f>INDEX('Baselines+Historic Spend Factor'!$K$9:$K$159,MATCH($C96,'Baselines+Historic Spend Factor'!$C$9:$C$158,0))</f>
        <v>20000</v>
      </c>
      <c r="F96" s="264">
        <v>0</v>
      </c>
      <c r="G96" s="261">
        <f t="shared" si="1"/>
        <v>20200</v>
      </c>
    </row>
    <row r="97" spans="2:7" ht="15.4" x14ac:dyDescent="0.45">
      <c r="B97" s="140" t="s">
        <v>202</v>
      </c>
      <c r="C97" s="1">
        <v>846</v>
      </c>
      <c r="D97" s="141" t="s">
        <v>204</v>
      </c>
      <c r="E97" s="261">
        <f>INDEX('Baselines+Historic Spend Factor'!$K$9:$K$159,MATCH($C97,'Baselines+Historic Spend Factor'!$C$9:$C$158,0))</f>
        <v>0</v>
      </c>
      <c r="F97" s="264">
        <v>0</v>
      </c>
      <c r="G97" s="261">
        <f t="shared" si="1"/>
        <v>0</v>
      </c>
    </row>
    <row r="98" spans="2:7" ht="15.4" x14ac:dyDescent="0.45">
      <c r="B98" s="140" t="s">
        <v>202</v>
      </c>
      <c r="C98" s="1">
        <v>825</v>
      </c>
      <c r="D98" s="141" t="s">
        <v>205</v>
      </c>
      <c r="E98" s="261">
        <f>INDEX('Baselines+Historic Spend Factor'!$K$9:$K$159,MATCH($C98,'Baselines+Historic Spend Factor'!$C$9:$C$158,0))</f>
        <v>237490</v>
      </c>
      <c r="F98" s="264">
        <v>0</v>
      </c>
      <c r="G98" s="261">
        <f t="shared" si="1"/>
        <v>239864.9</v>
      </c>
    </row>
    <row r="99" spans="2:7" ht="15.4" x14ac:dyDescent="0.45">
      <c r="B99" s="140" t="s">
        <v>202</v>
      </c>
      <c r="C99" s="1">
        <v>845</v>
      </c>
      <c r="D99" s="141" t="s">
        <v>206</v>
      </c>
      <c r="E99" s="261">
        <f>INDEX('Baselines+Historic Spend Factor'!$K$9:$K$159,MATCH($C99,'Baselines+Historic Spend Factor'!$C$9:$C$158,0))</f>
        <v>0</v>
      </c>
      <c r="F99" s="264">
        <v>0</v>
      </c>
      <c r="G99" s="261">
        <f t="shared" si="1"/>
        <v>0</v>
      </c>
    </row>
    <row r="100" spans="2:7" ht="15.4" x14ac:dyDescent="0.45">
      <c r="B100" s="140" t="s">
        <v>202</v>
      </c>
      <c r="C100" s="1">
        <v>850</v>
      </c>
      <c r="D100" s="141" t="s">
        <v>207</v>
      </c>
      <c r="E100" s="261">
        <f>INDEX('Baselines+Historic Spend Factor'!$K$9:$K$159,MATCH($C100,'Baselines+Historic Spend Factor'!$C$9:$C$158,0))</f>
        <v>2773000</v>
      </c>
      <c r="F100" s="264">
        <v>0</v>
      </c>
      <c r="G100" s="261">
        <f t="shared" si="1"/>
        <v>2800730</v>
      </c>
    </row>
    <row r="101" spans="2:7" ht="15.4" x14ac:dyDescent="0.45">
      <c r="B101" s="140" t="s">
        <v>202</v>
      </c>
      <c r="C101" s="1">
        <v>921</v>
      </c>
      <c r="D101" s="141" t="s">
        <v>208</v>
      </c>
      <c r="E101" s="261">
        <f>INDEX('Baselines+Historic Spend Factor'!$K$9:$K$159,MATCH($C101,'Baselines+Historic Spend Factor'!$C$9:$C$158,0))</f>
        <v>12000</v>
      </c>
      <c r="F101" s="264">
        <v>0</v>
      </c>
      <c r="G101" s="261">
        <f t="shared" si="1"/>
        <v>12120</v>
      </c>
    </row>
    <row r="102" spans="2:7" ht="15.4" x14ac:dyDescent="0.45">
      <c r="B102" s="140" t="s">
        <v>202</v>
      </c>
      <c r="C102" s="1">
        <v>886</v>
      </c>
      <c r="D102" s="141" t="s">
        <v>209</v>
      </c>
      <c r="E102" s="261">
        <f>INDEX('Baselines+Historic Spend Factor'!$K$9:$K$159,MATCH($C102,'Baselines+Historic Spend Factor'!$C$9:$C$158,0))</f>
        <v>2972754</v>
      </c>
      <c r="F102" s="264">
        <v>0</v>
      </c>
      <c r="G102" s="261">
        <f t="shared" si="1"/>
        <v>3002481.54</v>
      </c>
    </row>
    <row r="103" spans="2:7" ht="15.4" x14ac:dyDescent="0.45">
      <c r="B103" s="140" t="s">
        <v>202</v>
      </c>
      <c r="C103" s="1">
        <v>887</v>
      </c>
      <c r="D103" s="141" t="s">
        <v>210</v>
      </c>
      <c r="E103" s="261">
        <f>INDEX('Baselines+Historic Spend Factor'!$K$9:$K$159,MATCH($C103,'Baselines+Historic Spend Factor'!$C$9:$C$158,0))</f>
        <v>0</v>
      </c>
      <c r="F103" s="264">
        <v>0</v>
      </c>
      <c r="G103" s="261">
        <f t="shared" si="1"/>
        <v>0</v>
      </c>
    </row>
    <row r="104" spans="2:7" ht="15.4" x14ac:dyDescent="0.45">
      <c r="B104" s="140" t="s">
        <v>202</v>
      </c>
      <c r="C104" s="1">
        <v>826</v>
      </c>
      <c r="D104" s="141" t="s">
        <v>211</v>
      </c>
      <c r="E104" s="261">
        <f>INDEX('Baselines+Historic Spend Factor'!$K$9:$K$159,MATCH($C104,'Baselines+Historic Spend Factor'!$C$9:$C$158,0))</f>
        <v>0</v>
      </c>
      <c r="F104" s="264">
        <v>0</v>
      </c>
      <c r="G104" s="261">
        <f t="shared" si="1"/>
        <v>0</v>
      </c>
    </row>
    <row r="105" spans="2:7" ht="15.4" x14ac:dyDescent="0.45">
      <c r="B105" s="140" t="s">
        <v>202</v>
      </c>
      <c r="C105" s="1">
        <v>931</v>
      </c>
      <c r="D105" s="141" t="s">
        <v>212</v>
      </c>
      <c r="E105" s="261">
        <f>INDEX('Baselines+Historic Spend Factor'!$K$9:$K$159,MATCH($C105,'Baselines+Historic Spend Factor'!$C$9:$C$158,0))</f>
        <v>1607000</v>
      </c>
      <c r="F105" s="264">
        <v>0</v>
      </c>
      <c r="G105" s="261">
        <f t="shared" si="1"/>
        <v>1623070</v>
      </c>
    </row>
    <row r="106" spans="2:7" ht="15.4" x14ac:dyDescent="0.45">
      <c r="B106" s="140" t="s">
        <v>202</v>
      </c>
      <c r="C106" s="1">
        <v>851</v>
      </c>
      <c r="D106" s="141" t="s">
        <v>213</v>
      </c>
      <c r="E106" s="261">
        <f>INDEX('Baselines+Historic Spend Factor'!$K$9:$K$159,MATCH($C106,'Baselines+Historic Spend Factor'!$C$9:$C$158,0))</f>
        <v>660000</v>
      </c>
      <c r="F106" s="264">
        <v>0</v>
      </c>
      <c r="G106" s="261">
        <f t="shared" si="1"/>
        <v>666600</v>
      </c>
    </row>
    <row r="107" spans="2:7" ht="15.4" x14ac:dyDescent="0.45">
      <c r="B107" s="140" t="s">
        <v>202</v>
      </c>
      <c r="C107" s="1">
        <v>870</v>
      </c>
      <c r="D107" s="141" t="s">
        <v>214</v>
      </c>
      <c r="E107" s="261">
        <f>INDEX('Baselines+Historic Spend Factor'!$K$9:$K$159,MATCH($C107,'Baselines+Historic Spend Factor'!$C$9:$C$158,0))</f>
        <v>181000</v>
      </c>
      <c r="F107" s="264">
        <v>0</v>
      </c>
      <c r="G107" s="261">
        <f t="shared" si="1"/>
        <v>182810</v>
      </c>
    </row>
    <row r="108" spans="2:7" ht="15.4" x14ac:dyDescent="0.45">
      <c r="B108" s="140" t="s">
        <v>202</v>
      </c>
      <c r="C108" s="1">
        <v>871</v>
      </c>
      <c r="D108" s="141" t="s">
        <v>215</v>
      </c>
      <c r="E108" s="261">
        <f>INDEX('Baselines+Historic Spend Factor'!$K$9:$K$159,MATCH($C108,'Baselines+Historic Spend Factor'!$C$9:$C$158,0))</f>
        <v>120000</v>
      </c>
      <c r="F108" s="264">
        <v>0</v>
      </c>
      <c r="G108" s="261">
        <f t="shared" si="1"/>
        <v>121200</v>
      </c>
    </row>
    <row r="109" spans="2:7" ht="15.4" x14ac:dyDescent="0.45">
      <c r="B109" s="140" t="s">
        <v>202</v>
      </c>
      <c r="C109" s="1">
        <v>852</v>
      </c>
      <c r="D109" s="141" t="s">
        <v>216</v>
      </c>
      <c r="E109" s="261">
        <f>INDEX('Baselines+Historic Spend Factor'!$K$9:$K$159,MATCH($C109,'Baselines+Historic Spend Factor'!$C$9:$C$158,0))</f>
        <v>0</v>
      </c>
      <c r="F109" s="264">
        <v>0</v>
      </c>
      <c r="G109" s="261">
        <f t="shared" si="1"/>
        <v>0</v>
      </c>
    </row>
    <row r="110" spans="2:7" ht="15.4" x14ac:dyDescent="0.45">
      <c r="B110" s="140" t="s">
        <v>202</v>
      </c>
      <c r="C110" s="1">
        <v>936</v>
      </c>
      <c r="D110" s="141" t="s">
        <v>217</v>
      </c>
      <c r="E110" s="261">
        <f>INDEX('Baselines+Historic Spend Factor'!$K$9:$K$159,MATCH($C110,'Baselines+Historic Spend Factor'!$C$9:$C$158,0))</f>
        <v>634000</v>
      </c>
      <c r="F110" s="264">
        <v>0</v>
      </c>
      <c r="G110" s="261">
        <f t="shared" si="1"/>
        <v>640340</v>
      </c>
    </row>
    <row r="111" spans="2:7" ht="15.4" x14ac:dyDescent="0.45">
      <c r="B111" s="140" t="s">
        <v>202</v>
      </c>
      <c r="C111" s="1">
        <v>869</v>
      </c>
      <c r="D111" s="141" t="s">
        <v>218</v>
      </c>
      <c r="E111" s="261">
        <f>INDEX('Baselines+Historic Spend Factor'!$K$9:$K$159,MATCH($C111,'Baselines+Historic Spend Factor'!$C$9:$C$158,0))</f>
        <v>45000</v>
      </c>
      <c r="F111" s="264">
        <v>0</v>
      </c>
      <c r="G111" s="261">
        <f t="shared" si="1"/>
        <v>45450</v>
      </c>
    </row>
    <row r="112" spans="2:7" ht="15.4" x14ac:dyDescent="0.45">
      <c r="B112" s="140" t="s">
        <v>202</v>
      </c>
      <c r="C112" s="1">
        <v>938</v>
      </c>
      <c r="D112" s="141" t="s">
        <v>219</v>
      </c>
      <c r="E112" s="261">
        <f>INDEX('Baselines+Historic Spend Factor'!$K$9:$K$159,MATCH($C112,'Baselines+Historic Spend Factor'!$C$9:$C$158,0))</f>
        <v>529100</v>
      </c>
      <c r="F112" s="264">
        <v>0</v>
      </c>
      <c r="G112" s="261">
        <f t="shared" si="1"/>
        <v>534391</v>
      </c>
    </row>
    <row r="113" spans="2:7" ht="15.4" x14ac:dyDescent="0.45">
      <c r="B113" s="140" t="s">
        <v>202</v>
      </c>
      <c r="C113" s="1">
        <v>868</v>
      </c>
      <c r="D113" s="141" t="s">
        <v>220</v>
      </c>
      <c r="E113" s="261">
        <f>INDEX('Baselines+Historic Spend Factor'!$K$9:$K$159,MATCH($C113,'Baselines+Historic Spend Factor'!$C$9:$C$158,0))</f>
        <v>32700</v>
      </c>
      <c r="F113" s="264">
        <v>0</v>
      </c>
      <c r="G113" s="261">
        <f t="shared" si="1"/>
        <v>33027</v>
      </c>
    </row>
    <row r="114" spans="2:7" ht="15.4" x14ac:dyDescent="0.45">
      <c r="B114" s="140" t="s">
        <v>202</v>
      </c>
      <c r="C114" s="1">
        <v>872</v>
      </c>
      <c r="D114" s="141" t="s">
        <v>221</v>
      </c>
      <c r="E114" s="261">
        <f>INDEX('Baselines+Historic Spend Factor'!$K$9:$K$159,MATCH($C114,'Baselines+Historic Spend Factor'!$C$9:$C$158,0))</f>
        <v>220000</v>
      </c>
      <c r="F114" s="264">
        <v>0</v>
      </c>
      <c r="G114" s="261">
        <f t="shared" si="1"/>
        <v>222200</v>
      </c>
    </row>
    <row r="115" spans="2:7" ht="15.4" x14ac:dyDescent="0.45">
      <c r="B115" s="140" t="s">
        <v>222</v>
      </c>
      <c r="C115" s="1">
        <v>800</v>
      </c>
      <c r="D115" s="141" t="s">
        <v>223</v>
      </c>
      <c r="E115" s="261">
        <f>INDEX('Baselines+Historic Spend Factor'!$K$9:$K$159,MATCH($C115,'Baselines+Historic Spend Factor'!$C$9:$C$158,0))</f>
        <v>308000</v>
      </c>
      <c r="F115" s="264">
        <v>0</v>
      </c>
      <c r="G115" s="261">
        <f t="shared" si="1"/>
        <v>311080</v>
      </c>
    </row>
    <row r="116" spans="2:7" ht="15.4" x14ac:dyDescent="0.45">
      <c r="B116" s="140" t="s">
        <v>222</v>
      </c>
      <c r="C116" s="1">
        <v>837</v>
      </c>
      <c r="D116" s="141" t="s">
        <v>224</v>
      </c>
      <c r="E116" s="261">
        <f>INDEX('Baselines+Historic Spend Factor'!$K$9:$K$159,MATCH($C116,'Baselines+Historic Spend Factor'!$C$9:$C$158,0))</f>
        <v>0</v>
      </c>
      <c r="F116" s="264">
        <v>0</v>
      </c>
      <c r="G116" s="261">
        <f t="shared" si="1"/>
        <v>0</v>
      </c>
    </row>
    <row r="117" spans="2:7" ht="15.4" x14ac:dyDescent="0.45">
      <c r="B117" s="140" t="s">
        <v>222</v>
      </c>
      <c r="C117" s="1">
        <v>801</v>
      </c>
      <c r="D117" s="141" t="s">
        <v>225</v>
      </c>
      <c r="E117" s="261">
        <f>INDEX('Baselines+Historic Spend Factor'!$K$9:$K$159,MATCH($C117,'Baselines+Historic Spend Factor'!$C$9:$C$158,0))</f>
        <v>2005710</v>
      </c>
      <c r="F117" s="264">
        <v>0</v>
      </c>
      <c r="G117" s="261">
        <f t="shared" si="1"/>
        <v>2025767.1</v>
      </c>
    </row>
    <row r="118" spans="2:7" ht="15.4" x14ac:dyDescent="0.45">
      <c r="B118" s="140" t="s">
        <v>222</v>
      </c>
      <c r="C118" s="1">
        <v>908</v>
      </c>
      <c r="D118" s="141" t="s">
        <v>226</v>
      </c>
      <c r="E118" s="261">
        <f>INDEX('Baselines+Historic Spend Factor'!$K$9:$K$159,MATCH($C118,'Baselines+Historic Spend Factor'!$C$9:$C$158,0))</f>
        <v>894000</v>
      </c>
      <c r="F118" s="264">
        <v>0</v>
      </c>
      <c r="G118" s="261">
        <f t="shared" si="1"/>
        <v>902940</v>
      </c>
    </row>
    <row r="119" spans="2:7" ht="15.4" x14ac:dyDescent="0.45">
      <c r="B119" s="140" t="s">
        <v>222</v>
      </c>
      <c r="C119" s="1">
        <v>878</v>
      </c>
      <c r="D119" s="141" t="s">
        <v>227</v>
      </c>
      <c r="E119" s="261">
        <f>INDEX('Baselines+Historic Spend Factor'!$K$9:$K$159,MATCH($C119,'Baselines+Historic Spend Factor'!$C$9:$C$158,0))</f>
        <v>1912000.0000000002</v>
      </c>
      <c r="F119" s="264">
        <v>0</v>
      </c>
      <c r="G119" s="261">
        <f t="shared" si="1"/>
        <v>1931120.0000000002</v>
      </c>
    </row>
    <row r="120" spans="2:7" ht="15.4" x14ac:dyDescent="0.45">
      <c r="B120" s="140" t="s">
        <v>222</v>
      </c>
      <c r="C120" s="1">
        <v>835</v>
      </c>
      <c r="D120" s="141" t="s">
        <v>228</v>
      </c>
      <c r="E120" s="261">
        <f>INDEX('Baselines+Historic Spend Factor'!$K$9:$K$159,MATCH($C120,'Baselines+Historic Spend Factor'!$C$9:$C$158,0))</f>
        <v>0</v>
      </c>
      <c r="F120" s="264">
        <v>0</v>
      </c>
      <c r="G120" s="261">
        <f t="shared" si="1"/>
        <v>0</v>
      </c>
    </row>
    <row r="121" spans="2:7" ht="15.4" x14ac:dyDescent="0.45">
      <c r="B121" s="140" t="s">
        <v>222</v>
      </c>
      <c r="C121" s="1">
        <v>916</v>
      </c>
      <c r="D121" s="141" t="s">
        <v>229</v>
      </c>
      <c r="E121" s="261">
        <f>INDEX('Baselines+Historic Spend Factor'!$K$9:$K$159,MATCH($C121,'Baselines+Historic Spend Factor'!$C$9:$C$158,0))</f>
        <v>1676183.3886031068</v>
      </c>
      <c r="F121" s="264">
        <v>0</v>
      </c>
      <c r="G121" s="261">
        <f t="shared" si="1"/>
        <v>1692945.2224891379</v>
      </c>
    </row>
    <row r="122" spans="2:7" ht="15.4" x14ac:dyDescent="0.45">
      <c r="B122" s="140" t="s">
        <v>222</v>
      </c>
      <c r="C122" s="1">
        <v>802</v>
      </c>
      <c r="D122" s="141" t="s">
        <v>230</v>
      </c>
      <c r="E122" s="261">
        <f>INDEX('Baselines+Historic Spend Factor'!$K$9:$K$159,MATCH($C122,'Baselines+Historic Spend Factor'!$C$9:$C$158,0))</f>
        <v>0</v>
      </c>
      <c r="F122" s="264">
        <v>0</v>
      </c>
      <c r="G122" s="261">
        <f t="shared" si="1"/>
        <v>0</v>
      </c>
    </row>
    <row r="123" spans="2:7" ht="15.4" x14ac:dyDescent="0.45">
      <c r="B123" s="140" t="s">
        <v>222</v>
      </c>
      <c r="C123" s="1">
        <v>879</v>
      </c>
      <c r="D123" s="141" t="s">
        <v>231</v>
      </c>
      <c r="E123" s="261">
        <f>INDEX('Baselines+Historic Spend Factor'!$K$9:$K$159,MATCH($C123,'Baselines+Historic Spend Factor'!$C$9:$C$158,0))</f>
        <v>626000</v>
      </c>
      <c r="F123" s="264">
        <v>0</v>
      </c>
      <c r="G123" s="261">
        <f t="shared" si="1"/>
        <v>632260</v>
      </c>
    </row>
    <row r="124" spans="2:7" ht="15.4" x14ac:dyDescent="0.45">
      <c r="B124" s="140" t="s">
        <v>222</v>
      </c>
      <c r="C124" s="1">
        <v>836</v>
      </c>
      <c r="D124" s="141" t="s">
        <v>232</v>
      </c>
      <c r="E124" s="261">
        <f>INDEX('Baselines+Historic Spend Factor'!$K$9:$K$159,MATCH($C124,'Baselines+Historic Spend Factor'!$C$9:$C$158,0))</f>
        <v>906000</v>
      </c>
      <c r="F124" s="264">
        <v>0</v>
      </c>
      <c r="G124" s="261">
        <f t="shared" si="1"/>
        <v>915060</v>
      </c>
    </row>
    <row r="125" spans="2:7" ht="15.4" x14ac:dyDescent="0.45">
      <c r="B125" s="140" t="s">
        <v>222</v>
      </c>
      <c r="C125" s="1">
        <v>933</v>
      </c>
      <c r="D125" s="141" t="s">
        <v>233</v>
      </c>
      <c r="E125" s="261">
        <f>INDEX('Baselines+Historic Spend Factor'!$K$9:$K$159,MATCH($C125,'Baselines+Historic Spend Factor'!$C$9:$C$158,0))</f>
        <v>2105800.0000000005</v>
      </c>
      <c r="F125" s="264">
        <v>0</v>
      </c>
      <c r="G125" s="261">
        <f t="shared" si="1"/>
        <v>2126858.0000000005</v>
      </c>
    </row>
    <row r="126" spans="2:7" ht="15.4" x14ac:dyDescent="0.45">
      <c r="B126" s="140" t="s">
        <v>222</v>
      </c>
      <c r="C126" s="1">
        <v>803</v>
      </c>
      <c r="D126" s="141" t="s">
        <v>234</v>
      </c>
      <c r="E126" s="261">
        <f>INDEX('Baselines+Historic Spend Factor'!$K$9:$K$159,MATCH($C126,'Baselines+Historic Spend Factor'!$C$9:$C$158,0))</f>
        <v>10000</v>
      </c>
      <c r="F126" s="264">
        <v>0</v>
      </c>
      <c r="G126" s="261">
        <f t="shared" si="1"/>
        <v>10100</v>
      </c>
    </row>
    <row r="127" spans="2:7" ht="15.4" x14ac:dyDescent="0.45">
      <c r="B127" s="140" t="s">
        <v>222</v>
      </c>
      <c r="C127" s="1">
        <v>866</v>
      </c>
      <c r="D127" s="141" t="s">
        <v>235</v>
      </c>
      <c r="E127" s="261">
        <f>INDEX('Baselines+Historic Spend Factor'!$K$9:$K$159,MATCH($C127,'Baselines+Historic Spend Factor'!$C$9:$C$158,0))</f>
        <v>468000</v>
      </c>
      <c r="F127" s="264">
        <v>0</v>
      </c>
      <c r="G127" s="261">
        <f t="shared" si="1"/>
        <v>472680</v>
      </c>
    </row>
    <row r="128" spans="2:7" ht="15.4" x14ac:dyDescent="0.45">
      <c r="B128" s="140" t="s">
        <v>222</v>
      </c>
      <c r="C128" s="1">
        <v>880</v>
      </c>
      <c r="D128" s="141" t="s">
        <v>236</v>
      </c>
      <c r="E128" s="261">
        <f>INDEX('Baselines+Historic Spend Factor'!$K$9:$K$159,MATCH($C128,'Baselines+Historic Spend Factor'!$C$9:$C$158,0))</f>
        <v>65000</v>
      </c>
      <c r="F128" s="264">
        <v>0</v>
      </c>
      <c r="G128" s="261">
        <f t="shared" si="1"/>
        <v>65650</v>
      </c>
    </row>
    <row r="129" spans="2:7" ht="15.4" x14ac:dyDescent="0.45">
      <c r="B129" s="140" t="s">
        <v>222</v>
      </c>
      <c r="C129" s="1">
        <v>865</v>
      </c>
      <c r="D129" s="141" t="s">
        <v>237</v>
      </c>
      <c r="E129" s="261">
        <f>INDEX('Baselines+Historic Spend Factor'!$K$9:$K$159,MATCH($C129,'Baselines+Historic Spend Factor'!$C$9:$C$158,0))</f>
        <v>653000</v>
      </c>
      <c r="F129" s="264">
        <v>0</v>
      </c>
      <c r="G129" s="261">
        <f t="shared" si="1"/>
        <v>659530</v>
      </c>
    </row>
    <row r="130" spans="2:7" ht="15.4" x14ac:dyDescent="0.45">
      <c r="B130" s="140" t="s">
        <v>238</v>
      </c>
      <c r="C130" s="1">
        <v>330</v>
      </c>
      <c r="D130" s="141" t="s">
        <v>239</v>
      </c>
      <c r="E130" s="261">
        <f>INDEX('Baselines+Historic Spend Factor'!$K$9:$K$159,MATCH($C130,'Baselines+Historic Spend Factor'!$C$9:$C$158,0))</f>
        <v>4887000</v>
      </c>
      <c r="F130" s="264">
        <v>0</v>
      </c>
      <c r="G130" s="261">
        <f t="shared" si="1"/>
        <v>4935870</v>
      </c>
    </row>
    <row r="131" spans="2:7" ht="15.4" x14ac:dyDescent="0.45">
      <c r="B131" s="140" t="s">
        <v>238</v>
      </c>
      <c r="C131" s="1">
        <v>331</v>
      </c>
      <c r="D131" s="141" t="s">
        <v>240</v>
      </c>
      <c r="E131" s="261">
        <f>INDEX('Baselines+Historic Spend Factor'!$K$9:$K$159,MATCH($C131,'Baselines+Historic Spend Factor'!$C$9:$C$158,0))</f>
        <v>493000</v>
      </c>
      <c r="F131" s="264">
        <v>0</v>
      </c>
      <c r="G131" s="261">
        <f t="shared" si="1"/>
        <v>497930</v>
      </c>
    </row>
    <row r="132" spans="2:7" ht="15.4" x14ac:dyDescent="0.45">
      <c r="B132" s="140" t="s">
        <v>238</v>
      </c>
      <c r="C132" s="1">
        <v>332</v>
      </c>
      <c r="D132" s="141" t="s">
        <v>241</v>
      </c>
      <c r="E132" s="261">
        <f>INDEX('Baselines+Historic Spend Factor'!$K$9:$K$159,MATCH($C132,'Baselines+Historic Spend Factor'!$C$9:$C$158,0))</f>
        <v>1231000</v>
      </c>
      <c r="F132" s="264">
        <v>0</v>
      </c>
      <c r="G132" s="261">
        <f t="shared" si="1"/>
        <v>1243310</v>
      </c>
    </row>
    <row r="133" spans="2:7" ht="15.4" x14ac:dyDescent="0.45">
      <c r="B133" s="140" t="s">
        <v>238</v>
      </c>
      <c r="C133" s="1">
        <v>884</v>
      </c>
      <c r="D133" s="141" t="s">
        <v>242</v>
      </c>
      <c r="E133" s="261">
        <f>INDEX('Baselines+Historic Spend Factor'!$K$9:$K$159,MATCH($C133,'Baselines+Historic Spend Factor'!$C$9:$C$158,0))</f>
        <v>278000</v>
      </c>
      <c r="F133" s="264">
        <v>0</v>
      </c>
      <c r="G133" s="261">
        <f t="shared" si="1"/>
        <v>280780</v>
      </c>
    </row>
    <row r="134" spans="2:7" ht="15.4" x14ac:dyDescent="0.45">
      <c r="B134" s="140" t="s">
        <v>238</v>
      </c>
      <c r="C134" s="1">
        <v>333</v>
      </c>
      <c r="D134" s="141" t="s">
        <v>243</v>
      </c>
      <c r="E134" s="261">
        <f>INDEX('Baselines+Historic Spend Factor'!$K$9:$K$159,MATCH($C134,'Baselines+Historic Spend Factor'!$C$9:$C$158,0))</f>
        <v>984000</v>
      </c>
      <c r="F134" s="264">
        <v>0</v>
      </c>
      <c r="G134" s="261">
        <f t="shared" si="1"/>
        <v>993840</v>
      </c>
    </row>
    <row r="135" spans="2:7" ht="15.4" x14ac:dyDescent="0.45">
      <c r="B135" s="140" t="s">
        <v>238</v>
      </c>
      <c r="C135" s="1">
        <v>893</v>
      </c>
      <c r="D135" s="141" t="s">
        <v>244</v>
      </c>
      <c r="E135" s="261">
        <f>INDEX('Baselines+Historic Spend Factor'!$K$9:$K$159,MATCH($C135,'Baselines+Historic Spend Factor'!$C$9:$C$158,0))</f>
        <v>105000</v>
      </c>
      <c r="F135" s="264">
        <v>0</v>
      </c>
      <c r="G135" s="261">
        <f t="shared" si="1"/>
        <v>106050</v>
      </c>
    </row>
    <row r="136" spans="2:7" ht="15.4" x14ac:dyDescent="0.45">
      <c r="B136" s="140" t="s">
        <v>238</v>
      </c>
      <c r="C136" s="1">
        <v>334</v>
      </c>
      <c r="D136" s="141" t="s">
        <v>245</v>
      </c>
      <c r="E136" s="261">
        <f>INDEX('Baselines+Historic Spend Factor'!$K$9:$K$159,MATCH($C136,'Baselines+Historic Spend Factor'!$C$9:$C$158,0))</f>
        <v>0</v>
      </c>
      <c r="F136" s="264">
        <v>0</v>
      </c>
      <c r="G136" s="261">
        <f t="shared" si="1"/>
        <v>0</v>
      </c>
    </row>
    <row r="137" spans="2:7" ht="15.4" x14ac:dyDescent="0.45">
      <c r="B137" s="140" t="s">
        <v>238</v>
      </c>
      <c r="C137" s="1">
        <v>860</v>
      </c>
      <c r="D137" s="141" t="s">
        <v>246</v>
      </c>
      <c r="E137" s="261">
        <f>INDEX('Baselines+Historic Spend Factor'!$K$9:$K$159,MATCH($C137,'Baselines+Historic Spend Factor'!$C$9:$C$158,0))</f>
        <v>333999.99999999994</v>
      </c>
      <c r="F137" s="264">
        <v>0</v>
      </c>
      <c r="G137" s="261">
        <f t="shared" si="1"/>
        <v>337339.99999999994</v>
      </c>
    </row>
    <row r="138" spans="2:7" ht="15.4" x14ac:dyDescent="0.45">
      <c r="B138" s="140" t="s">
        <v>238</v>
      </c>
      <c r="C138" s="1">
        <v>861</v>
      </c>
      <c r="D138" s="141" t="s">
        <v>247</v>
      </c>
      <c r="E138" s="261">
        <f>INDEX('Baselines+Historic Spend Factor'!$K$9:$K$159,MATCH($C138,'Baselines+Historic Spend Factor'!$C$9:$C$158,0))</f>
        <v>182550</v>
      </c>
      <c r="F138" s="264">
        <v>0</v>
      </c>
      <c r="G138" s="261">
        <f t="shared" ref="G138:G159" si="2">E138*101%+F138*100.5%</f>
        <v>184375.5</v>
      </c>
    </row>
    <row r="139" spans="2:7" ht="15.4" x14ac:dyDescent="0.45">
      <c r="B139" s="140" t="s">
        <v>238</v>
      </c>
      <c r="C139" s="1">
        <v>894</v>
      </c>
      <c r="D139" s="141" t="s">
        <v>248</v>
      </c>
      <c r="E139" s="261">
        <f>INDEX('Baselines+Historic Spend Factor'!$K$9:$K$159,MATCH($C139,'Baselines+Historic Spend Factor'!$C$9:$C$158,0))</f>
        <v>20066</v>
      </c>
      <c r="F139" s="264">
        <v>0</v>
      </c>
      <c r="G139" s="261">
        <f t="shared" si="2"/>
        <v>20266.66</v>
      </c>
    </row>
    <row r="140" spans="2:7" ht="15.4" x14ac:dyDescent="0.45">
      <c r="B140" s="140" t="s">
        <v>238</v>
      </c>
      <c r="C140" s="1">
        <v>335</v>
      </c>
      <c r="D140" s="141" t="s">
        <v>249</v>
      </c>
      <c r="E140" s="261">
        <f>INDEX('Baselines+Historic Spend Factor'!$K$9:$K$159,MATCH($C140,'Baselines+Historic Spend Factor'!$C$9:$C$158,0))</f>
        <v>0</v>
      </c>
      <c r="F140" s="264">
        <v>0</v>
      </c>
      <c r="G140" s="261">
        <f t="shared" si="2"/>
        <v>0</v>
      </c>
    </row>
    <row r="141" spans="2:7" ht="15.4" x14ac:dyDescent="0.45">
      <c r="B141" s="140" t="s">
        <v>238</v>
      </c>
      <c r="C141" s="1">
        <v>937</v>
      </c>
      <c r="D141" s="141" t="s">
        <v>250</v>
      </c>
      <c r="E141" s="261">
        <f>INDEX('Baselines+Historic Spend Factor'!$K$9:$K$159,MATCH($C141,'Baselines+Historic Spend Factor'!$C$9:$C$158,0))</f>
        <v>103272.92529045421</v>
      </c>
      <c r="F141" s="264">
        <v>0</v>
      </c>
      <c r="G141" s="261">
        <f t="shared" si="2"/>
        <v>104305.65454335875</v>
      </c>
    </row>
    <row r="142" spans="2:7" ht="15.4" x14ac:dyDescent="0.45">
      <c r="B142" s="140" t="s">
        <v>238</v>
      </c>
      <c r="C142" s="1">
        <v>336</v>
      </c>
      <c r="D142" s="141" t="s">
        <v>251</v>
      </c>
      <c r="E142" s="261">
        <f>INDEX('Baselines+Historic Spend Factor'!$K$9:$K$159,MATCH($C142,'Baselines+Historic Spend Factor'!$C$9:$C$158,0))</f>
        <v>437000</v>
      </c>
      <c r="F142" s="264">
        <v>0</v>
      </c>
      <c r="G142" s="261">
        <f t="shared" si="2"/>
        <v>441370</v>
      </c>
    </row>
    <row r="143" spans="2:7" ht="15.4" x14ac:dyDescent="0.45">
      <c r="B143" s="140" t="s">
        <v>238</v>
      </c>
      <c r="C143" s="1">
        <v>885</v>
      </c>
      <c r="D143" s="141" t="s">
        <v>252</v>
      </c>
      <c r="E143" s="261">
        <f>INDEX('Baselines+Historic Spend Factor'!$K$9:$K$159,MATCH($C143,'Baselines+Historic Spend Factor'!$C$9:$C$158,0))</f>
        <v>559000</v>
      </c>
      <c r="F143" s="264">
        <v>0</v>
      </c>
      <c r="G143" s="261">
        <f t="shared" si="2"/>
        <v>564590</v>
      </c>
    </row>
    <row r="144" spans="2:7" ht="15.4" x14ac:dyDescent="0.45">
      <c r="B144" s="140" t="s">
        <v>253</v>
      </c>
      <c r="C144" s="1">
        <v>370</v>
      </c>
      <c r="D144" s="141" t="s">
        <v>254</v>
      </c>
      <c r="E144" s="261">
        <f>INDEX('Baselines+Historic Spend Factor'!$K$9:$K$159,MATCH($C144,'Baselines+Historic Spend Factor'!$C$9:$C$158,0))</f>
        <v>0</v>
      </c>
      <c r="F144" s="264">
        <v>0</v>
      </c>
      <c r="G144" s="261">
        <f t="shared" si="2"/>
        <v>0</v>
      </c>
    </row>
    <row r="145" spans="2:7" ht="15.4" x14ac:dyDescent="0.45">
      <c r="B145" s="140" t="s">
        <v>253</v>
      </c>
      <c r="C145" s="1">
        <v>380</v>
      </c>
      <c r="D145" s="141" t="s">
        <v>255</v>
      </c>
      <c r="E145" s="261">
        <f>INDEX('Baselines+Historic Spend Factor'!$K$9:$K$159,MATCH($C145,'Baselines+Historic Spend Factor'!$C$9:$C$158,0))</f>
        <v>1644000</v>
      </c>
      <c r="F145" s="264">
        <v>0</v>
      </c>
      <c r="G145" s="261">
        <f t="shared" si="2"/>
        <v>1660440</v>
      </c>
    </row>
    <row r="146" spans="2:7" ht="15.4" x14ac:dyDescent="0.45">
      <c r="B146" s="140" t="s">
        <v>253</v>
      </c>
      <c r="C146" s="1">
        <v>381</v>
      </c>
      <c r="D146" s="141" t="s">
        <v>256</v>
      </c>
      <c r="E146" s="261">
        <f>INDEX('Baselines+Historic Spend Factor'!$K$9:$K$159,MATCH($C146,'Baselines+Historic Spend Factor'!$C$9:$C$158,0))</f>
        <v>0</v>
      </c>
      <c r="F146" s="264">
        <v>0</v>
      </c>
      <c r="G146" s="261">
        <f t="shared" si="2"/>
        <v>0</v>
      </c>
    </row>
    <row r="147" spans="2:7" ht="15.4" x14ac:dyDescent="0.45">
      <c r="B147" s="140" t="s">
        <v>253</v>
      </c>
      <c r="C147" s="1">
        <v>371</v>
      </c>
      <c r="D147" s="141" t="s">
        <v>257</v>
      </c>
      <c r="E147" s="261">
        <f>INDEX('Baselines+Historic Spend Factor'!$K$9:$K$159,MATCH($C147,'Baselines+Historic Spend Factor'!$C$9:$C$158,0))</f>
        <v>256000</v>
      </c>
      <c r="F147" s="264">
        <v>0</v>
      </c>
      <c r="G147" s="261">
        <f t="shared" si="2"/>
        <v>258560</v>
      </c>
    </row>
    <row r="148" spans="2:7" ht="15.4" x14ac:dyDescent="0.45">
      <c r="B148" s="140" t="s">
        <v>253</v>
      </c>
      <c r="C148" s="1">
        <v>811</v>
      </c>
      <c r="D148" s="141" t="s">
        <v>258</v>
      </c>
      <c r="E148" s="261">
        <f>INDEX('Baselines+Historic Spend Factor'!$K$9:$K$159,MATCH($C148,'Baselines+Historic Spend Factor'!$C$9:$C$158,0))</f>
        <v>0</v>
      </c>
      <c r="F148" s="264">
        <v>0</v>
      </c>
      <c r="G148" s="261">
        <f t="shared" si="2"/>
        <v>0</v>
      </c>
    </row>
    <row r="149" spans="2:7" ht="15.4" x14ac:dyDescent="0.45">
      <c r="B149" s="140" t="s">
        <v>253</v>
      </c>
      <c r="C149" s="1">
        <v>810</v>
      </c>
      <c r="D149" s="141" t="s">
        <v>259</v>
      </c>
      <c r="E149" s="261">
        <f>INDEX('Baselines+Historic Spend Factor'!$K$9:$K$159,MATCH($C149,'Baselines+Historic Spend Factor'!$C$9:$C$158,0))</f>
        <v>0</v>
      </c>
      <c r="F149" s="264">
        <v>0</v>
      </c>
      <c r="G149" s="261">
        <f t="shared" si="2"/>
        <v>0</v>
      </c>
    </row>
    <row r="150" spans="2:7" ht="15.4" x14ac:dyDescent="0.45">
      <c r="B150" s="140" t="s">
        <v>253</v>
      </c>
      <c r="C150" s="1">
        <v>382</v>
      </c>
      <c r="D150" s="141" t="s">
        <v>260</v>
      </c>
      <c r="E150" s="261">
        <f>INDEX('Baselines+Historic Spend Factor'!$K$9:$K$159,MATCH($C150,'Baselines+Historic Spend Factor'!$C$9:$C$158,0))</f>
        <v>0</v>
      </c>
      <c r="F150" s="264">
        <v>0</v>
      </c>
      <c r="G150" s="261">
        <f t="shared" si="2"/>
        <v>0</v>
      </c>
    </row>
    <row r="151" spans="2:7" ht="15.4" x14ac:dyDescent="0.45">
      <c r="B151" s="140" t="s">
        <v>253</v>
      </c>
      <c r="C151" s="1">
        <v>383</v>
      </c>
      <c r="D151" s="141" t="s">
        <v>261</v>
      </c>
      <c r="E151" s="261">
        <f>INDEX('Baselines+Historic Spend Factor'!$K$9:$K$159,MATCH($C151,'Baselines+Historic Spend Factor'!$C$9:$C$158,0))</f>
        <v>987500</v>
      </c>
      <c r="F151" s="264">
        <v>0</v>
      </c>
      <c r="G151" s="261">
        <f t="shared" si="2"/>
        <v>997375</v>
      </c>
    </row>
    <row r="152" spans="2:7" ht="15.4" x14ac:dyDescent="0.45">
      <c r="B152" s="140" t="s">
        <v>253</v>
      </c>
      <c r="C152" s="1">
        <v>812</v>
      </c>
      <c r="D152" s="141" t="s">
        <v>262</v>
      </c>
      <c r="E152" s="261">
        <f>INDEX('Baselines+Historic Spend Factor'!$K$9:$K$159,MATCH($C152,'Baselines+Historic Spend Factor'!$C$9:$C$158,0))</f>
        <v>0</v>
      </c>
      <c r="F152" s="264">
        <v>0</v>
      </c>
      <c r="G152" s="261">
        <f t="shared" si="2"/>
        <v>0</v>
      </c>
    </row>
    <row r="153" spans="2:7" ht="15.4" x14ac:dyDescent="0.45">
      <c r="B153" s="140" t="s">
        <v>253</v>
      </c>
      <c r="C153" s="1">
        <v>813</v>
      </c>
      <c r="D153" s="141" t="s">
        <v>263</v>
      </c>
      <c r="E153" s="261">
        <f>INDEX('Baselines+Historic Spend Factor'!$K$9:$K$159,MATCH($C153,'Baselines+Historic Spend Factor'!$C$9:$C$158,0))</f>
        <v>0</v>
      </c>
      <c r="F153" s="264">
        <v>0</v>
      </c>
      <c r="G153" s="261">
        <f t="shared" si="2"/>
        <v>0</v>
      </c>
    </row>
    <row r="154" spans="2:7" ht="15.4" x14ac:dyDescent="0.45">
      <c r="B154" s="140" t="s">
        <v>253</v>
      </c>
      <c r="C154" s="1">
        <v>815</v>
      </c>
      <c r="D154" s="141" t="s">
        <v>264</v>
      </c>
      <c r="E154" s="261">
        <f>INDEX('Baselines+Historic Spend Factor'!$K$9:$K$159,MATCH($C154,'Baselines+Historic Spend Factor'!$C$9:$C$158,0))</f>
        <v>100000</v>
      </c>
      <c r="F154" s="264">
        <v>0</v>
      </c>
      <c r="G154" s="261">
        <f t="shared" si="2"/>
        <v>101000</v>
      </c>
    </row>
    <row r="155" spans="2:7" ht="15.4" x14ac:dyDescent="0.45">
      <c r="B155" s="140" t="s">
        <v>253</v>
      </c>
      <c r="C155" s="1">
        <v>372</v>
      </c>
      <c r="D155" s="141" t="s">
        <v>265</v>
      </c>
      <c r="E155" s="261">
        <f>INDEX('Baselines+Historic Spend Factor'!$K$9:$K$159,MATCH($C155,'Baselines+Historic Spend Factor'!$C$9:$C$158,0))</f>
        <v>0</v>
      </c>
      <c r="F155" s="264">
        <v>0</v>
      </c>
      <c r="G155" s="261">
        <f t="shared" si="2"/>
        <v>0</v>
      </c>
    </row>
    <row r="156" spans="2:7" ht="15.4" x14ac:dyDescent="0.45">
      <c r="B156" s="140" t="s">
        <v>253</v>
      </c>
      <c r="C156" s="1">
        <v>373</v>
      </c>
      <c r="D156" s="141" t="s">
        <v>266</v>
      </c>
      <c r="E156" s="261">
        <f>INDEX('Baselines+Historic Spend Factor'!$K$9:$K$159,MATCH($C156,'Baselines+Historic Spend Factor'!$C$9:$C$158,0))</f>
        <v>1567000</v>
      </c>
      <c r="F156" s="264">
        <v>0</v>
      </c>
      <c r="G156" s="261">
        <f t="shared" si="2"/>
        <v>1582670</v>
      </c>
    </row>
    <row r="157" spans="2:7" ht="15.4" x14ac:dyDescent="0.45">
      <c r="B157" s="140" t="s">
        <v>253</v>
      </c>
      <c r="C157" s="1">
        <v>384</v>
      </c>
      <c r="D157" s="141" t="s">
        <v>267</v>
      </c>
      <c r="E157" s="261">
        <f>INDEX('Baselines+Historic Spend Factor'!$K$9:$K$159,MATCH($C157,'Baselines+Historic Spend Factor'!$C$9:$C$158,0))</f>
        <v>681878</v>
      </c>
      <c r="F157" s="264">
        <v>0</v>
      </c>
      <c r="G157" s="261">
        <f t="shared" si="2"/>
        <v>688696.78</v>
      </c>
    </row>
    <row r="158" spans="2:7" ht="15.4" x14ac:dyDescent="0.45">
      <c r="B158" s="140" t="s">
        <v>253</v>
      </c>
      <c r="C158" s="1">
        <v>816</v>
      </c>
      <c r="D158" s="141" t="s">
        <v>268</v>
      </c>
      <c r="E158" s="261">
        <f>INDEX('Baselines+Historic Spend Factor'!$K$9:$K$159,MATCH($C158,'Baselines+Historic Spend Factor'!$C$9:$C$158,0))</f>
        <v>216225</v>
      </c>
      <c r="F158" s="264">
        <v>0</v>
      </c>
      <c r="G158" s="261">
        <f t="shared" si="2"/>
        <v>218387.25</v>
      </c>
    </row>
    <row r="159" spans="2:7" ht="15.75" thickBot="1" x14ac:dyDescent="0.5">
      <c r="B159" s="159" t="s">
        <v>18</v>
      </c>
      <c r="C159" s="265">
        <v>9999</v>
      </c>
      <c r="D159" s="161" t="s">
        <v>18</v>
      </c>
      <c r="E159" s="266">
        <v>0</v>
      </c>
      <c r="F159" s="267">
        <v>0</v>
      </c>
      <c r="G159" s="266">
        <f t="shared" si="2"/>
        <v>0</v>
      </c>
    </row>
    <row r="160" spans="2:7" ht="15" customHeight="1" x14ac:dyDescent="0.45"/>
    <row r="161" ht="15" customHeight="1" x14ac:dyDescent="0.45"/>
  </sheetData>
  <mergeCells count="6">
    <mergeCell ref="G6:G7"/>
    <mergeCell ref="B6:B7"/>
    <mergeCell ref="C6:C7"/>
    <mergeCell ref="D6:D7"/>
    <mergeCell ref="E6:E7"/>
    <mergeCell ref="F6:F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olicy development" ma:contentTypeID="0x01010071ABDBD005CD394BA8E9A85BA7B24E2B070027632DEE7F4100488367D18865D0F77B" ma:contentTypeVersion="43" ma:contentTypeDescription="For departmental policy documents. Records retained for 10 years." ma:contentTypeScope="" ma:versionID="e3f37b2fbb081a5914904b408b6c4333">
  <xsd:schema xmlns:xsd="http://www.w3.org/2001/XMLSchema" xmlns:xs="http://www.w3.org/2001/XMLSchema" xmlns:p="http://schemas.microsoft.com/office/2006/metadata/properties" xmlns:ns1="http://schemas.microsoft.com/sharepoint/v3" xmlns:ns2="5dab4409-e6f9-4681-b40f-dc926b7fe1b6" xmlns:ns3="b2c58c46-1844-4e06-83a2-fa8c8b6c7df2" xmlns:ns4="31c51b5d-7f3f-4b21-a77f-e3f635b8e08e" targetNamespace="http://schemas.microsoft.com/office/2006/metadata/properties" ma:root="true" ma:fieldsID="fd4bddd1d85b67b6c58a61e41c93fea3" ns1:_="" ns2:_="" ns3:_="" ns4:_="">
    <xsd:import namespace="http://schemas.microsoft.com/sharepoint/v3"/>
    <xsd:import namespace="5dab4409-e6f9-4681-b40f-dc926b7fe1b6"/>
    <xsd:import namespace="b2c58c46-1844-4e06-83a2-fa8c8b6c7df2"/>
    <xsd:import namespace="31c51b5d-7f3f-4b21-a77f-e3f635b8e08e"/>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jb9a09c531cd4bfb9668bd67ecafeff9" minOccurs="0"/>
                <xsd:element ref="ns2:ncc3a70845234118adb983ec49ec7f51" minOccurs="0"/>
                <xsd:element ref="ns2:peda2702f388461592476ffcfd89c4b4" minOccurs="0"/>
                <xsd:element ref="ns2:gd5d3039cad8414bb3a9634afb0e9d27" minOccurs="0"/>
                <xsd:element ref="ns2:b69fb28e3c9a4eb195d14a97422a7adc"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dab4409-e6f9-4681-b40f-dc926b7fe1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13fd2b96-0e80-4c45-9a80-b95883d490d2}" ma:internalName="TaxCatchAll" ma:readOnly="false" ma:showField="CatchAllData"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13fd2b96-0e80-4c45-9a80-b95883d490d2}" ma:internalName="TaxCatchAllLabel" ma:readOnly="true" ma:showField="CatchAllDataLabel"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jb9a09c531cd4bfb9668bd67ecafeff9" ma:index="23" nillable="true" ma:taxonomy="true" ma:internalName="jb9a09c531cd4bfb9668bd67ecafeff9" ma:taxonomyFieldName="IWPFunction" ma:displayName="Function" ma:readOnly="false" ma:fieldId="{3b9a09c5-31cd-4bfb-9668-bd67ecafef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ncc3a70845234118adb983ec49ec7f51" ma:index="24" ma:taxonomy="true" ma:internalName="ncc3a70845234118adb983ec49ec7f51" ma:taxonomyFieldName="IWPOwner" ma:displayName="Owner" ma:readOnly="false" ma:default="3;#DfE|a484111e-5b24-4ad9-9778-c536c8c88985" ma:fieldId="{7cc3a708-4523-4118-adb9-83ec49ec7f51}"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peda2702f388461592476ffcfd89c4b4" ma:index="25" ma:taxonomy="true" ma:internalName="peda2702f388461592476ffcfd89c4b4" ma:taxonomyFieldName="IWPRightsProtectiveMarking" ma:displayName="Rights: Protective Marking" ma:readOnly="false" ma:default="1;#Official|0884c477-2e62-47ea-b19c-5af6e91124c5" ma:fieldId="{9eda2702-f388-4615-9247-6ffcfd89c4b4}"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gd5d3039cad8414bb3a9634afb0e9d27" ma:index="26" nillable="true" ma:taxonomy="true" ma:internalName="gd5d3039cad8414bb3a9634afb0e9d27" ma:taxonomyFieldName="IWPSiteType" ma:displayName="Site Type" ma:readOnly="false" ma:fieldId="{0d5d3039-cad8-414b-b3a9-634afb0e9d27}"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b69fb28e3c9a4eb195d14a97422a7adc" ma:index="27" ma:taxonomy="true" ma:internalName="b69fb28e3c9a4eb195d14a97422a7adc" ma:taxonomyFieldName="IWPOrganisationalUnit" ma:displayName="Organisational Unit" ma:readOnly="false" ma:default="4;#DfE|cc08a6d4-dfde-4d0f-bd85-069ebcef80d5" ma:fieldId="{b69fb28e-3c9a-4eb1-95d1-4a97422a7adc}"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c58c46-1844-4e06-83a2-fa8c8b6c7df2"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c51b5d-7f3f-4b21-a77f-e3f635b8e08e"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Url xmlns="5dab4409-e6f9-4681-b40f-dc926b7fe1b6">
      <Url>https://educationgovuk.sharepoint.com/sites/efg/f/_layouts/15/DocIdRedir.aspx?ID=RTQ4ZUEHD5EN-9-7244</Url>
      <Description>RTQ4ZUEHD5EN-9-7244</Description>
    </_dlc_DocIdUrl>
    <ncc3a70845234118adb983ec49ec7f51 xmlns="5dab4409-e6f9-4681-b40f-dc926b7fe1b6">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ncc3a70845234118adb983ec49ec7f51>
    <gd5d3039cad8414bb3a9634afb0e9d27 xmlns="5dab4409-e6f9-4681-b40f-dc926b7fe1b6">
      <Terms xmlns="http://schemas.microsoft.com/office/infopath/2007/PartnerControls"/>
    </gd5d3039cad8414bb3a9634afb0e9d27>
    <h5181134883947a99a38d116ffff0006 xmlns="31c51b5d-7f3f-4b21-a77f-e3f635b8e08e">
      <Terms xmlns="http://schemas.microsoft.com/office/infopath/2007/PartnerControls"/>
    </h5181134883947a99a38d116ffff0006>
    <_dlc_DocId xmlns="5dab4409-e6f9-4681-b40f-dc926b7fe1b6">RTQ4ZUEHD5EN-9-7244</_dlc_DocId>
    <b69fb28e3c9a4eb195d14a97422a7adc xmlns="5dab4409-e6f9-4681-b40f-dc926b7fe1b6">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b69fb28e3c9a4eb195d14a97422a7adc>
    <IWPContributor xmlns="b2c58c46-1844-4e06-83a2-fa8c8b6c7df2">
      <UserInfo>
        <DisplayName/>
        <AccountId xsi:nil="true"/>
        <AccountType/>
      </UserInfo>
    </IWPContributor>
    <TaxCatchAll xmlns="5dab4409-e6f9-4681-b40f-dc926b7fe1b6">
      <Value>4</Value>
      <Value>3</Value>
      <Value>1</Value>
    </TaxCatchAll>
    <peda2702f388461592476ffcfd89c4b4 xmlns="5dab4409-e6f9-4681-b40f-dc926b7fe1b6">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peda2702f388461592476ffcfd89c4b4>
    <jb9a09c531cd4bfb9668bd67ecafeff9 xmlns="5dab4409-e6f9-4681-b40f-dc926b7fe1b6">
      <Terms xmlns="http://schemas.microsoft.com/office/infopath/2007/PartnerControls"/>
    </jb9a09c531cd4bfb9668bd67ecafeff9>
    <Comment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04837-37AF-4E7E-803A-1801B2E2E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ab4409-e6f9-4681-b40f-dc926b7fe1b6"/>
    <ds:schemaRef ds:uri="b2c58c46-1844-4e06-83a2-fa8c8b6c7df2"/>
    <ds:schemaRef ds:uri="31c51b5d-7f3f-4b21-a77f-e3f635b8e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8D3263-1102-4363-A2AD-72EF9EFCEA15}">
  <ds:schemaRefs>
    <ds:schemaRef ds:uri="http://schemas.microsoft.com/sharepoint/events"/>
  </ds:schemaRefs>
</ds:datastoreItem>
</file>

<file path=customXml/itemProps3.xml><?xml version="1.0" encoding="utf-8"?>
<ds:datastoreItem xmlns:ds="http://schemas.openxmlformats.org/officeDocument/2006/customXml" ds:itemID="{C251AA2D-4209-4B41-842A-A83AD6AFFF11}">
  <ds:schemaRefs>
    <ds:schemaRef ds:uri="31c51b5d-7f3f-4b21-a77f-e3f635b8e08e"/>
    <ds:schemaRef ds:uri="http://purl.org/dc/elements/1.1/"/>
    <ds:schemaRef ds:uri="http://purl.org/dc/terms/"/>
    <ds:schemaRef ds:uri="5dab4409-e6f9-4681-b40f-dc926b7fe1b6"/>
    <ds:schemaRef ds:uri="http://schemas.microsoft.com/office/2006/metadata/properties"/>
    <ds:schemaRef ds:uri="http://purl.org/dc/dcmitype/"/>
    <ds:schemaRef ds:uri="http://schemas.microsoft.com/office/2006/documentManagement/types"/>
    <ds:schemaRef ds:uri="http://schemas.microsoft.com/office/infopath/2007/PartnerControls"/>
    <ds:schemaRef ds:uri="b2c58c46-1844-4e06-83a2-fa8c8b6c7df2"/>
    <ds:schemaRef ds:uri="http://schemas.openxmlformats.org/package/2006/metadata/core-propertie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B2D045A5-BFE2-4E20-94C5-752B192AB8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National Details</vt:lpstr>
      <vt:lpstr>2019-20 Allocations</vt:lpstr>
      <vt:lpstr>2019-20 StepbyStep Allocations</vt:lpstr>
      <vt:lpstr>Individual LA</vt:lpstr>
      <vt:lpstr>Baselines+Historic Spend Factor</vt:lpstr>
      <vt:lpstr>Import|Export Adjustments Data</vt:lpstr>
      <vt:lpstr>Hospital Education Funding</vt:lpstr>
      <vt:lpstr>LA_List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Needs NFF 19-20 July 2018</dc:title>
  <dc:subject/>
  <dc:creator>THAIR, Tim</dc:creator>
  <cp:keywords/>
  <dc:description/>
  <cp:lastModifiedBy>WATSON, Kate1</cp:lastModifiedBy>
  <cp:revision/>
  <dcterms:created xsi:type="dcterms:W3CDTF">2018-06-14T13:05:50Z</dcterms:created>
  <dcterms:modified xsi:type="dcterms:W3CDTF">2018-07-25T10:59:48Z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0x01010071ABDBD005CD394BA8E9A85BA7B24E2B070027632DEE7F4100488367D18865D0F77B</vt:lpwstr>
  </property>
  <property fmtid="{D5CDD505-2E9C-101B-9397-08002B2CF9AE}" pid="3" name="IWPOrganisationalUnit">
    <vt:lpwstr>4;#DfE|cc08a6d4-dfde-4d0f-bd85-069ebcef80d5</vt:lpwstr>
  </property>
  <property fmtid="{D5CDD505-2E9C-101B-9397-08002B2CF9AE}" pid="4" name="IWPOwner">
    <vt:lpwstr>3;#DfE|a484111e-5b24-4ad9-9778-c536c8c88985</vt:lpwstr>
  </property>
  <property fmtid="{D5CDD505-2E9C-101B-9397-08002B2CF9AE}" pid="5" name="IWPFunction">
    <vt:lpwstr/>
  </property>
  <property fmtid="{D5CDD505-2E9C-101B-9397-08002B2CF9AE}" pid="6" name="IWPSiteType">
    <vt:lpwstr/>
  </property>
  <property fmtid="{D5CDD505-2E9C-101B-9397-08002B2CF9AE}" pid="7" name="IWPRightsProtectiveMarking">
    <vt:lpwstr>1;#Official|0884c477-2e62-47ea-b19c-5af6e91124c5</vt:lpwstr>
  </property>
  <property fmtid="{D5CDD505-2E9C-101B-9397-08002B2CF9AE}" pid="8" name="IWPSubject">
    <vt:lpwstr/>
  </property>
  <property fmtid="{D5CDD505-2E9C-101B-9397-08002B2CF9AE}" pid="9" name="_dlc_DocIdItemGuid">
    <vt:lpwstr>61f5f371-103e-4521-8cdd-b3f803ef4300</vt:lpwstr>
  </property>
</Properties>
</file>