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465" windowWidth="19035" windowHeight="7065"/>
  </bookViews>
  <sheets>
    <sheet name="Calculator" sheetId="1" r:id="rId1"/>
    <sheet name="Working Sheet" sheetId="2" r:id="rId2"/>
    <sheet name="KI 2017-18" sheetId="6" state="hidden" r:id="rId3"/>
    <sheet name="KI 2018-19" sheetId="8" state="hidden" r:id="rId4"/>
    <sheet name="KI 2018-19 (P)" sheetId="10" state="hidden" r:id="rId5"/>
    <sheet name="Data"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R" localSheetId="5">#REF!</definedName>
    <definedName name="\R" localSheetId="3">#REF!</definedName>
    <definedName name="\R" localSheetId="4">#REF!</definedName>
    <definedName name="\R">#REF!</definedName>
    <definedName name="__123Graph_A" localSheetId="5" hidden="1">'[1]Model inputs'!#REF!</definedName>
    <definedName name="__123Graph_A" localSheetId="2" hidden="1">'[1]Model inputs'!#REF!</definedName>
    <definedName name="__123Graph_A" localSheetId="3" hidden="1">'[1]Model inputs'!#REF!</definedName>
    <definedName name="__123Graph_A" localSheetId="4" hidden="1">'[1]Model inputs'!#REF!</definedName>
    <definedName name="__123Graph_A" hidden="1">'[1]Model inputs'!#REF!</definedName>
    <definedName name="__123Graph_ACHGSPD1" hidden="1">[2]CHGSPD19.FIN!$B$10:$B$20</definedName>
    <definedName name="__123Graph_ACHGSPD2" hidden="1">[2]CHGSPD19.FIN!$E$11:$E$20</definedName>
    <definedName name="__123Graph_AEFF" localSheetId="5" hidden="1">'[3]T3 Page 1'!#REF!</definedName>
    <definedName name="__123Graph_AEFF" localSheetId="2" hidden="1">'[3]T3 Page 1'!#REF!</definedName>
    <definedName name="__123Graph_AEFF" localSheetId="3" hidden="1">'[3]T3 Page 1'!#REF!</definedName>
    <definedName name="__123Graph_AEFF" localSheetId="4" hidden="1">'[3]T3 Page 1'!#REF!</definedName>
    <definedName name="__123Graph_AEFF" hidden="1">'[3]T3 Page 1'!#REF!</definedName>
    <definedName name="__123Graph_AGR14PBF1" hidden="1">'[4]HIS19FIN(A)'!$AF$70:$AF$81</definedName>
    <definedName name="__123Graph_ALBFFIN" localSheetId="5" hidden="1">'[3]FC Page 1'!#REF!</definedName>
    <definedName name="__123Graph_ALBFFIN" localSheetId="2" hidden="1">'[3]FC Page 1'!#REF!</definedName>
    <definedName name="__123Graph_ALBFFIN" localSheetId="3" hidden="1">'[3]FC Page 1'!#REF!</definedName>
    <definedName name="__123Graph_ALBFFIN" localSheetId="4" hidden="1">'[3]FC Page 1'!#REF!</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localSheetId="5" hidden="1">'[3]T3 Page 1'!#REF!</definedName>
    <definedName name="__123Graph_APIC" localSheetId="2" hidden="1">'[3]T3 Page 1'!#REF!</definedName>
    <definedName name="__123Graph_APIC" localSheetId="3" hidden="1">'[3]T3 Page 1'!#REF!</definedName>
    <definedName name="__123Graph_APIC" localSheetId="4" hidden="1">'[3]T3 Page 1'!#REF!</definedName>
    <definedName name="__123Graph_APIC" hidden="1">'[3]T3 Page 1'!#REF!</definedName>
    <definedName name="__123Graph_B" localSheetId="5" hidden="1">'[1]Model inputs'!#REF!</definedName>
    <definedName name="__123Graph_B" localSheetId="2" hidden="1">'[1]Model inputs'!#REF!</definedName>
    <definedName name="__123Graph_B" localSheetId="3" hidden="1">'[1]Model inputs'!#REF!</definedName>
    <definedName name="__123Graph_B" localSheetId="4" hidden="1">'[1]Model inputs'!#REF!</definedName>
    <definedName name="__123Graph_B" hidden="1">'[1]Model inputs'!#REF!</definedName>
    <definedName name="__123Graph_BCHGSPD1" hidden="1">[2]CHGSPD19.FIN!$H$10:$H$25</definedName>
    <definedName name="__123Graph_BCHGSPD2" hidden="1">[2]CHGSPD19.FIN!$I$11:$I$25</definedName>
    <definedName name="__123Graph_BEFF" localSheetId="5" hidden="1">'[3]T3 Page 1'!#REF!</definedName>
    <definedName name="__123Graph_BEFF" localSheetId="2" hidden="1">'[3]T3 Page 1'!#REF!</definedName>
    <definedName name="__123Graph_BEFF" localSheetId="3" hidden="1">'[3]T3 Page 1'!#REF!</definedName>
    <definedName name="__123Graph_BEFF" localSheetId="4" hidden="1">'[3]T3 Page 1'!#REF!</definedName>
    <definedName name="__123Graph_BEFF" hidden="1">'[3]T3 Page 1'!#REF!</definedName>
    <definedName name="__123Graph_BLBF" localSheetId="5" hidden="1">'[3]T3 Page 1'!#REF!</definedName>
    <definedName name="__123Graph_BLBF" localSheetId="2" hidden="1">'[3]T3 Page 1'!#REF!</definedName>
    <definedName name="__123Graph_BLBF" localSheetId="3" hidden="1">'[3]T3 Page 1'!#REF!</definedName>
    <definedName name="__123Graph_BLBF" localSheetId="4" hidden="1">'[3]T3 Page 1'!#REF!</definedName>
    <definedName name="__123Graph_BLBF" hidden="1">'[3]T3 Page 1'!#REF!</definedName>
    <definedName name="__123Graph_BLBFFIN" localSheetId="2" hidden="1">'[3]FC Page 1'!#REF!</definedName>
    <definedName name="__123Graph_BLBFFIN" localSheetId="3" hidden="1">'[3]FC Page 1'!#REF!</definedName>
    <definedName name="__123Graph_BLBFFIN" localSheetId="4" hidden="1">'[3]FC Page 1'!#REF!</definedName>
    <definedName name="__123Graph_BLBFFIN" hidden="1">'[3]FC Page 1'!#REF!</definedName>
    <definedName name="__123Graph_BLCB" hidden="1">'[4]HIS19FIN(A)'!$D$79:$I$79</definedName>
    <definedName name="__123Graph_BPIC" localSheetId="5" hidden="1">'[3]T3 Page 1'!#REF!</definedName>
    <definedName name="__123Graph_BPIC" localSheetId="2" hidden="1">'[3]T3 Page 1'!#REF!</definedName>
    <definedName name="__123Graph_BPIC" localSheetId="3" hidden="1">'[3]T3 Page 1'!#REF!</definedName>
    <definedName name="__123Graph_BPIC" localSheetId="4" hidden="1">'[3]T3 Page 1'!#REF!</definedName>
    <definedName name="__123Graph_BPIC" hidden="1">'[3]T3 Page 1'!#REF!</definedName>
    <definedName name="__123Graph_CACT13BUD" localSheetId="5" hidden="1">'[3]FC Page 1'!#REF!</definedName>
    <definedName name="__123Graph_CACT13BUD" localSheetId="2" hidden="1">'[3]FC Page 1'!#REF!</definedName>
    <definedName name="__123Graph_CACT13BUD" localSheetId="3" hidden="1">'[3]FC Page 1'!#REF!</definedName>
    <definedName name="__123Graph_CACT13BUD" localSheetId="4" hidden="1">'[3]FC Page 1'!#REF!</definedName>
    <definedName name="__123Graph_CACT13BUD" hidden="1">'[3]FC Page 1'!#REF!</definedName>
    <definedName name="__123Graph_CEFF" localSheetId="2" hidden="1">'[3]T3 Page 1'!#REF!</definedName>
    <definedName name="__123Graph_CEFF" localSheetId="3" hidden="1">'[3]T3 Page 1'!#REF!</definedName>
    <definedName name="__123Graph_CEFF" localSheetId="4" hidden="1">'[3]T3 Page 1'!#REF!</definedName>
    <definedName name="__123Graph_CEFF" hidden="1">'[3]T3 Page 1'!#REF!</definedName>
    <definedName name="__123Graph_CGR14PBF1" hidden="1">'[4]HIS19FIN(A)'!$AK$70:$AK$81</definedName>
    <definedName name="__123Graph_CLBF" localSheetId="5" hidden="1">'[3]T3 Page 1'!#REF!</definedName>
    <definedName name="__123Graph_CLBF" localSheetId="2" hidden="1">'[3]T3 Page 1'!#REF!</definedName>
    <definedName name="__123Graph_CLBF" localSheetId="3" hidden="1">'[3]T3 Page 1'!#REF!</definedName>
    <definedName name="__123Graph_CLBF" localSheetId="4" hidden="1">'[3]T3 Page 1'!#REF!</definedName>
    <definedName name="__123Graph_CLBF" hidden="1">'[3]T3 Page 1'!#REF!</definedName>
    <definedName name="__123Graph_CPIC" localSheetId="5" hidden="1">'[3]T3 Page 1'!#REF!</definedName>
    <definedName name="__123Graph_CPIC" localSheetId="2" hidden="1">'[3]T3 Page 1'!#REF!</definedName>
    <definedName name="__123Graph_CPIC" localSheetId="3" hidden="1">'[3]T3 Page 1'!#REF!</definedName>
    <definedName name="__123Graph_CPIC" localSheetId="4" hidden="1">'[3]T3 Page 1'!#REF!</definedName>
    <definedName name="__123Graph_CPIC" hidden="1">'[3]T3 Page 1'!#REF!</definedName>
    <definedName name="__123Graph_DACT13BUD" localSheetId="2" hidden="1">'[3]FC Page 1'!#REF!</definedName>
    <definedName name="__123Graph_DACT13BUD" localSheetId="3" hidden="1">'[3]FC Page 1'!#REF!</definedName>
    <definedName name="__123Graph_DACT13BUD" localSheetId="4" hidden="1">'[3]FC Page 1'!#REF!</definedName>
    <definedName name="__123Graph_DACT13BUD" hidden="1">'[3]FC Page 1'!#REF!</definedName>
    <definedName name="__123Graph_DEFF" localSheetId="2" hidden="1">'[3]T3 Page 1'!#REF!</definedName>
    <definedName name="__123Graph_DEFF" localSheetId="3" hidden="1">'[3]T3 Page 1'!#REF!</definedName>
    <definedName name="__123Graph_DEFF" localSheetId="4" hidden="1">'[3]T3 Page 1'!#REF!</definedName>
    <definedName name="__123Graph_DEFF" hidden="1">'[3]T3 Page 1'!#REF!</definedName>
    <definedName name="__123Graph_DGR14PBF1" hidden="1">'[4]HIS19FIN(A)'!$AH$70:$AH$81</definedName>
    <definedName name="__123Graph_DLBF" localSheetId="5" hidden="1">'[3]T3 Page 1'!#REF!</definedName>
    <definedName name="__123Graph_DLBF" localSheetId="2" hidden="1">'[3]T3 Page 1'!#REF!</definedName>
    <definedName name="__123Graph_DLBF" localSheetId="3" hidden="1">'[3]T3 Page 1'!#REF!</definedName>
    <definedName name="__123Graph_DLBF" localSheetId="4" hidden="1">'[3]T3 Page 1'!#REF!</definedName>
    <definedName name="__123Graph_DLBF" hidden="1">'[3]T3 Page 1'!#REF!</definedName>
    <definedName name="__123Graph_DPIC" localSheetId="5" hidden="1">'[3]T3 Page 1'!#REF!</definedName>
    <definedName name="__123Graph_DPIC" localSheetId="2" hidden="1">'[3]T3 Page 1'!#REF!</definedName>
    <definedName name="__123Graph_DPIC" localSheetId="3" hidden="1">'[3]T3 Page 1'!#REF!</definedName>
    <definedName name="__123Graph_DPIC" localSheetId="4" hidden="1">'[3]T3 Page 1'!#REF!</definedName>
    <definedName name="__123Graph_DPIC" hidden="1">'[3]T3 Page 1'!#REF!</definedName>
    <definedName name="__123Graph_EACT13BUD" localSheetId="2" hidden="1">'[3]FC Page 1'!#REF!</definedName>
    <definedName name="__123Graph_EACT13BUD" localSheetId="3" hidden="1">'[3]FC Page 1'!#REF!</definedName>
    <definedName name="__123Graph_EACT13BUD" localSheetId="4" hidden="1">'[3]FC Page 1'!#REF!</definedName>
    <definedName name="__123Graph_EACT13BUD" hidden="1">'[3]FC Page 1'!#REF!</definedName>
    <definedName name="__123Graph_EEFF" localSheetId="2" hidden="1">'[3]T3 Page 1'!#REF!</definedName>
    <definedName name="__123Graph_EEFF" localSheetId="3" hidden="1">'[3]T3 Page 1'!#REF!</definedName>
    <definedName name="__123Graph_EEFF" localSheetId="4" hidden="1">'[3]T3 Page 1'!#REF!</definedName>
    <definedName name="__123Graph_EEFF" hidden="1">'[3]T3 Page 1'!#REF!</definedName>
    <definedName name="__123Graph_EEFFHIC" hidden="1">'[3]FC Page 1'!#REF!</definedName>
    <definedName name="__123Graph_EGR14PBF1" hidden="1">'[4]HIS19FIN(A)'!$AG$67:$AG$67</definedName>
    <definedName name="__123Graph_ELBF" localSheetId="5" hidden="1">'[3]T3 Page 1'!#REF!</definedName>
    <definedName name="__123Graph_ELBF" localSheetId="2" hidden="1">'[3]T3 Page 1'!#REF!</definedName>
    <definedName name="__123Graph_ELBF" localSheetId="3" hidden="1">'[3]T3 Page 1'!#REF!</definedName>
    <definedName name="__123Graph_ELBF" localSheetId="4" hidden="1">'[3]T3 Page 1'!#REF!</definedName>
    <definedName name="__123Graph_ELBF" hidden="1">'[3]T3 Page 1'!#REF!</definedName>
    <definedName name="__123Graph_EPIC" localSheetId="5" hidden="1">'[3]T3 Page 1'!#REF!</definedName>
    <definedName name="__123Graph_EPIC" localSheetId="2" hidden="1">'[3]T3 Page 1'!#REF!</definedName>
    <definedName name="__123Graph_EPIC" localSheetId="3" hidden="1">'[3]T3 Page 1'!#REF!</definedName>
    <definedName name="__123Graph_EPIC" localSheetId="4" hidden="1">'[3]T3 Page 1'!#REF!</definedName>
    <definedName name="__123Graph_EPIC" hidden="1">'[3]T3 Page 1'!#REF!</definedName>
    <definedName name="__123Graph_FACT13BUD" localSheetId="2" hidden="1">'[3]FC Page 1'!#REF!</definedName>
    <definedName name="__123Graph_FACT13BUD" localSheetId="3" hidden="1">'[3]FC Page 1'!#REF!</definedName>
    <definedName name="__123Graph_FACT13BUD" localSheetId="4" hidden="1">'[3]FC Page 1'!#REF!</definedName>
    <definedName name="__123Graph_FACT13BUD" hidden="1">'[3]FC Page 1'!#REF!</definedName>
    <definedName name="__123Graph_FEFF" localSheetId="2" hidden="1">'[3]T3 Page 1'!#REF!</definedName>
    <definedName name="__123Graph_FEFF" localSheetId="3" hidden="1">'[3]T3 Page 1'!#REF!</definedName>
    <definedName name="__123Graph_FEFF" localSheetId="4" hidden="1">'[3]T3 Page 1'!#REF!</definedName>
    <definedName name="__123Graph_FEFF" hidden="1">'[3]T3 Page 1'!#REF!</definedName>
    <definedName name="__123Graph_FEFFHIC" hidden="1">'[3]FC Page 1'!#REF!</definedName>
    <definedName name="__123Graph_FGR14PBF1" hidden="1">'[4]HIS19FIN(A)'!$AH$67:$AH$67</definedName>
    <definedName name="__123Graph_FLBF" localSheetId="5" hidden="1">'[3]T3 Page 1'!#REF!</definedName>
    <definedName name="__123Graph_FLBF" localSheetId="2" hidden="1">'[3]T3 Page 1'!#REF!</definedName>
    <definedName name="__123Graph_FLBF" localSheetId="3" hidden="1">'[3]T3 Page 1'!#REF!</definedName>
    <definedName name="__123Graph_FLBF" localSheetId="4" hidden="1">'[3]T3 Page 1'!#REF!</definedName>
    <definedName name="__123Graph_FLBF" hidden="1">'[3]T3 Page 1'!#REF!</definedName>
    <definedName name="__123Graph_FPIC" localSheetId="5" hidden="1">'[3]T3 Page 1'!#REF!</definedName>
    <definedName name="__123Graph_FPIC" localSheetId="2" hidden="1">'[3]T3 Page 1'!#REF!</definedName>
    <definedName name="__123Graph_FPIC" localSheetId="3" hidden="1">'[3]T3 Page 1'!#REF!</definedName>
    <definedName name="__123Graph_FPIC" localSheetId="4" hidden="1">'[3]T3 Page 1'!#REF!</definedName>
    <definedName name="__123Graph_FPIC" hidden="1">'[3]T3 Page 1'!#REF!</definedName>
    <definedName name="__123Graph_LBL_ARESID" hidden="1">'[4]HIS19FIN(A)'!$R$3:$W$3</definedName>
    <definedName name="__123Graph_LBL_BRESID" hidden="1">'[4]HIS19FIN(A)'!$R$3:$W$3</definedName>
    <definedName name="__123Graph_XACTHIC" localSheetId="5" hidden="1">'[3]FC Page 1'!#REF!</definedName>
    <definedName name="__123Graph_XACTHIC" localSheetId="2" hidden="1">'[3]FC Page 1'!#REF!</definedName>
    <definedName name="__123Graph_XACTHIC" localSheetId="3" hidden="1">'[3]FC Page 1'!#REF!</definedName>
    <definedName name="__123Graph_XACTHIC" localSheetId="4" hidden="1">'[3]FC Page 1'!#REF!</definedName>
    <definedName name="__123Graph_XACTHIC" hidden="1">'[3]FC Page 1'!#REF!</definedName>
    <definedName name="__123Graph_XCHGSPD1" hidden="1">[2]CHGSPD19.FIN!$A$10:$A$25</definedName>
    <definedName name="__123Graph_XCHGSPD2" hidden="1">[2]CHGSPD19.FIN!$A$11:$A$25</definedName>
    <definedName name="__123Graph_XEFF" localSheetId="5" hidden="1">'[3]T3 Page 1'!#REF!</definedName>
    <definedName name="__123Graph_XEFF" localSheetId="2" hidden="1">'[3]T3 Page 1'!#REF!</definedName>
    <definedName name="__123Graph_XEFF" localSheetId="3" hidden="1">'[3]T3 Page 1'!#REF!</definedName>
    <definedName name="__123Graph_XEFF" localSheetId="4" hidden="1">'[3]T3 Page 1'!#REF!</definedName>
    <definedName name="__123Graph_XEFF" hidden="1">'[3]T3 Page 1'!#REF!</definedName>
    <definedName name="__123Graph_XGR14PBF1" hidden="1">'[4]HIS19FIN(A)'!$AL$70:$AL$81</definedName>
    <definedName name="__123Graph_XLBF" localSheetId="5" hidden="1">'[3]T3 Page 1'!#REF!</definedName>
    <definedName name="__123Graph_XLBF" localSheetId="2" hidden="1">'[3]T3 Page 1'!#REF!</definedName>
    <definedName name="__123Graph_XLBF" localSheetId="3" hidden="1">'[3]T3 Page 1'!#REF!</definedName>
    <definedName name="__123Graph_XLBF" localSheetId="4" hidden="1">'[3]T3 Page 1'!#REF!</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localSheetId="5" hidden="1">'[3]T3 Page 1'!#REF!</definedName>
    <definedName name="__123Graph_XPIC" localSheetId="2" hidden="1">'[3]T3 Page 1'!#REF!</definedName>
    <definedName name="__123Graph_XPIC" localSheetId="3" hidden="1">'[3]T3 Page 1'!#REF!</definedName>
    <definedName name="__123Graph_XPIC" localSheetId="4" hidden="1">'[3]T3 Page 1'!#REF!</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 localSheetId="5">#REF!</definedName>
    <definedName name="_CTR1" localSheetId="3">#REF!</definedName>
    <definedName name="_CTR1">#REF!</definedName>
    <definedName name="_xlnm._FilterDatabase" localSheetId="5" hidden="1">Data!$A$3:$R$389</definedName>
    <definedName name="_xlnm._FilterDatabase" localSheetId="2" hidden="1">'KI 2017-18'!$A$6:$O$389</definedName>
    <definedName name="_xlnm._FilterDatabase" localSheetId="3" hidden="1">'KI 2018-19'!$A$6:$O$391</definedName>
    <definedName name="_xlnm._FilterDatabase" localSheetId="4" hidden="1">'KI 2018-19 (P)'!$A$5:$N$155</definedName>
    <definedName name="_xlnm._FilterDatabase" hidden="1">#REF!</definedName>
    <definedName name="_FliterDatabase2" localSheetId="4" hidden="1">#REF!</definedName>
    <definedName name="_FliterDatabase2" hidden="1">#REF!</definedName>
    <definedName name="_Order1" hidden="1">255</definedName>
    <definedName name="_Order2" hidden="1">0</definedName>
    <definedName name="_Regression_Out" localSheetId="5" hidden="1">#REF!</definedName>
    <definedName name="_Regression_Out" localSheetId="2" hidden="1">#REF!</definedName>
    <definedName name="_Regression_Out" localSheetId="3" hidden="1">#REF!</definedName>
    <definedName name="_Regression_Out" localSheetId="4" hidden="1">#REF!</definedName>
    <definedName name="_Regression_Out" hidden="1">#REF!</definedName>
    <definedName name="_Regression_X" localSheetId="5" hidden="1">#REF!</definedName>
    <definedName name="_Regression_X" localSheetId="2" hidden="1">#REF!</definedName>
    <definedName name="_Regression_X" localSheetId="3" hidden="1">#REF!</definedName>
    <definedName name="_Regression_X" hidden="1">#REF!</definedName>
    <definedName name="_Regression_Y" localSheetId="5" hidden="1">#REF!</definedName>
    <definedName name="_Regression_Y" localSheetId="2" hidden="1">#REF!</definedName>
    <definedName name="_Regression_Y" localSheetId="3" hidden="1">#REF!</definedName>
    <definedName name="_Regression_Y" hidden="1">#REF!</definedName>
    <definedName name="a" localSheetId="5" hidden="1">{#N/A,#N/A,FALSE,"TMCOMP96";#N/A,#N/A,FALSE,"MAT96";#N/A,#N/A,FALSE,"FANDA96";#N/A,#N/A,FALSE,"INTRAN96";#N/A,#N/A,FALSE,"NAA9697";#N/A,#N/A,FALSE,"ECWEBB";#N/A,#N/A,FALSE,"MFT96";#N/A,#N/A,FALSE,"CTrecon"}</definedName>
    <definedName name="a" localSheetId="2" hidden="1">{#N/A,#N/A,FALSE,"TMCOMP96";#N/A,#N/A,FALSE,"MAT96";#N/A,#N/A,FALSE,"FANDA96";#N/A,#N/A,FALSE,"INTRAN96";#N/A,#N/A,FALSE,"NAA9697";#N/A,#N/A,FALSE,"ECWEBB";#N/A,#N/A,FALSE,"MFT96";#N/A,#N/A,FALSE,"CTrecon"}</definedName>
    <definedName name="a" localSheetId="3" hidden="1">{#N/A,#N/A,FALSE,"TMCOMP96";#N/A,#N/A,FALSE,"MAT96";#N/A,#N/A,FALSE,"FANDA96";#N/A,#N/A,FALSE,"INTRAN96";#N/A,#N/A,FALSE,"NAA9697";#N/A,#N/A,FALSE,"ECWEBB";#N/A,#N/A,FALSE,"MFT96";#N/A,#N/A,FALSE,"CTrecon"}</definedName>
    <definedName name="a" localSheetId="4"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dur" localSheetId="0">[6]DATA!#REF!</definedName>
    <definedName name="Adur" localSheetId="5">[6]DATA!#REF!</definedName>
    <definedName name="Adur" localSheetId="3">[6]DATA!#REF!</definedName>
    <definedName name="Adur">[6]DATA!#REF!</definedName>
    <definedName name="ALLCTB" localSheetId="4">[7]Data!$D$6:$JO$343</definedName>
    <definedName name="ALLCTB">[8]Data!$D$6:$JO$343</definedName>
    <definedName name="ALLCTBS" localSheetId="5">'[9]151120 ASC bill diff regional'!#REF!</definedName>
    <definedName name="ALLCTBS" localSheetId="3">'[10]151120 ASC bill diff regional'!#REF!</definedName>
    <definedName name="ALLCTBS" localSheetId="4">'[10]151120 ASC bill diff regional'!#REF!</definedName>
    <definedName name="ALLCTBS">'[10]151120 ASC bill diff regional'!#REF!</definedName>
    <definedName name="asdas" localSheetId="5"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uthorityList">'[11]LA Dropdown'!$J$4:$J$409</definedName>
    <definedName name="b" localSheetId="5" hidden="1">{#N/A,#N/A,FALSE,"TMCOMP96";#N/A,#N/A,FALSE,"MAT96";#N/A,#N/A,FALSE,"FANDA96";#N/A,#N/A,FALSE,"INTRAN96";#N/A,#N/A,FALSE,"NAA9697";#N/A,#N/A,FALSE,"ECWEBB";#N/A,#N/A,FALSE,"MFT96";#N/A,#N/A,FALSE,"CTrecon"}</definedName>
    <definedName name="b" localSheetId="2" hidden="1">{#N/A,#N/A,FALSE,"TMCOMP96";#N/A,#N/A,FALSE,"MAT96";#N/A,#N/A,FALSE,"FANDA96";#N/A,#N/A,FALSE,"INTRAN96";#N/A,#N/A,FALSE,"NAA9697";#N/A,#N/A,FALSE,"ECWEBB";#N/A,#N/A,FALSE,"MFT96";#N/A,#N/A,FALSE,"CTrecon"}</definedName>
    <definedName name="b" localSheetId="3" hidden="1">{#N/A,#N/A,FALSE,"TMCOMP96";#N/A,#N/A,FALSE,"MAT96";#N/A,#N/A,FALSE,"FANDA96";#N/A,#N/A,FALSE,"INTRAN96";#N/A,#N/A,FALSE,"NAA9697";#N/A,#N/A,FALSE,"ECWEBB";#N/A,#N/A,FALSE,"MFT96";#N/A,#N/A,FALSE,"CTrecon"}</definedName>
    <definedName name="b" localSheetId="4"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'[12]4.6 ten year bonds'!$A$4</definedName>
    <definedName name="BLPH2" hidden="1">'[12]4.6 ten year bonds'!$D$4</definedName>
    <definedName name="BLPH3" hidden="1">'[12]4.6 ten year bonds'!$G$4</definedName>
    <definedName name="BLPH4" hidden="1">'[12]4.6 ten year bonds'!$J$4</definedName>
    <definedName name="BLPH5" hidden="1">'[12]4.6 ten year bonds'!$M$4</definedName>
    <definedName name="BRprint1" localSheetId="0">#REF!</definedName>
    <definedName name="BRprint1" localSheetId="5">#REF!</definedName>
    <definedName name="BRprint1" localSheetId="3">#REF!</definedName>
    <definedName name="BRprint1" localSheetId="4">#REF!</definedName>
    <definedName name="BRprint1">#REF!</definedName>
    <definedName name="BRprint2" localSheetId="0">#REF!</definedName>
    <definedName name="BRprint2" localSheetId="5">#REF!</definedName>
    <definedName name="BRprint2" localSheetId="3">#REF!</definedName>
    <definedName name="BRprint2" localSheetId="4">#REF!</definedName>
    <definedName name="BRprint2">#REF!</definedName>
    <definedName name="cccc" localSheetId="3">'[13]BR1 Form'!#REF!</definedName>
    <definedName name="cccc" localSheetId="4">'[13]BR1 Form'!#REF!</definedName>
    <definedName name="cccc">'[13]BR1 Form'!#REF!</definedName>
    <definedName name="CERDATA" localSheetId="0">'[14]Section A'!#REF!</definedName>
    <definedName name="CERDATA" localSheetId="5">'[14]Section A'!#REF!</definedName>
    <definedName name="CERDATA" localSheetId="3">'[14]Section A'!#REF!</definedName>
    <definedName name="CERDATA" localSheetId="4">'[14]Section A'!#REF!</definedName>
    <definedName name="CERDATA">'[14]Section A'!#REF!</definedName>
    <definedName name="CONTACT" localSheetId="0">#REF!</definedName>
    <definedName name="CONTACT" localSheetId="5">#REF!</definedName>
    <definedName name="CONTACT" localSheetId="2">'[15]CTB Form'!#REF!</definedName>
    <definedName name="CONTACT" localSheetId="3">'[15]CTB Form'!#REF!</definedName>
    <definedName name="CONTACT" localSheetId="4">'[15]CTB Form'!#REF!</definedName>
    <definedName name="CONTACT">#REF!</definedName>
    <definedName name="CTB" localSheetId="2">'[15]CTB Form'!#REF!</definedName>
    <definedName name="CTB" localSheetId="3">'[15]CTB Form'!#REF!</definedName>
    <definedName name="CTB" localSheetId="4">'[15]CTB Form'!#REF!</definedName>
    <definedName name="CTB">'[15]CTB Form'!#REF!</definedName>
    <definedName name="CTB1__November_2002__Calculation_of_Council_Tax_Base_for_Revenue_Support_Grant_Purposes_for_2003_04" localSheetId="5">#REF!</definedName>
    <definedName name="CTB1__November_2002__Calculation_of_Council_Tax_Base_for_Revenue_Support_Grant_Purposes_for_2003_04" localSheetId="2">#REF!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#REF!</definedName>
    <definedName name="CTBs" localSheetId="5">'[15]CTB Form'!#REF!</definedName>
    <definedName name="CTBs" localSheetId="2">'[15]CTB Form'!#REF!</definedName>
    <definedName name="CTBs" localSheetId="3">'[15]CTB Form'!#REF!</definedName>
    <definedName name="CTBs" localSheetId="4">'[15]CTB Form'!#REF!</definedName>
    <definedName name="CTBs">'[15]CTB Form'!#REF!</definedName>
    <definedName name="CTRprint1" localSheetId="5">#REF!</definedName>
    <definedName name="CTRprint1" localSheetId="3">#REF!</definedName>
    <definedName name="CTRprint1" localSheetId="4">#REF!</definedName>
    <definedName name="CTRprint1">#REF!</definedName>
    <definedName name="CTRprint2" localSheetId="5">#REF!</definedName>
    <definedName name="CTRprint2" localSheetId="3">#REF!</definedName>
    <definedName name="CTRprint2" localSheetId="4">#REF!</definedName>
    <definedName name="CTRprint2">#REF!</definedName>
    <definedName name="CurrentSheet" localSheetId="3">14</definedName>
    <definedName name="CurrentSheet" localSheetId="4">14</definedName>
    <definedName name="CurrentSheet">13</definedName>
    <definedName name="Data" localSheetId="4">#REF!</definedName>
    <definedName name="Data">#REF!</definedName>
    <definedName name="Data_col1" localSheetId="5">#REF!</definedName>
    <definedName name="Data_col1" localSheetId="3">#REF!</definedName>
    <definedName name="Data_col1" localSheetId="4">#REF!</definedName>
    <definedName name="Data_col1">#REF!</definedName>
    <definedName name="Data_col2" localSheetId="5">#REF!</definedName>
    <definedName name="Data_col2" localSheetId="3">#REF!</definedName>
    <definedName name="Data_col2" localSheetId="4">#REF!</definedName>
    <definedName name="Data_col2">#REF!</definedName>
    <definedName name="Data_col3" localSheetId="5">#REF!</definedName>
    <definedName name="Data_col3" localSheetId="3">#REF!</definedName>
    <definedName name="Data_col3">#REF!</definedName>
    <definedName name="datar" localSheetId="0">#REF!</definedName>
    <definedName name="datar" localSheetId="5">#REF!</definedName>
    <definedName name="datar" localSheetId="2">#REF!</definedName>
    <definedName name="datar" localSheetId="3">#REF!</definedName>
    <definedName name="datar">#REF!</definedName>
    <definedName name="detruse" localSheetId="0">#REF!</definedName>
    <definedName name="detruse" localSheetId="5">#REF!</definedName>
    <definedName name="detruse" localSheetId="2">#REF!</definedName>
    <definedName name="detruse" localSheetId="3">#REF!</definedName>
    <definedName name="detruse">#REF!</definedName>
    <definedName name="dgsgf" localSheetId="5"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count">[16]Data!$C$4:$EC$338</definedName>
    <definedName name="Distribution" localSheetId="5" hidden="1">#REF!</definedName>
    <definedName name="Distribution" localSheetId="2" hidden="1">#REF!</definedName>
    <definedName name="Distribution" localSheetId="3" hidden="1">#REF!</definedName>
    <definedName name="Distribution" localSheetId="4" hidden="1">#REF!</definedName>
    <definedName name="Distribution" hidden="1">#REF!</definedName>
    <definedName name="dtlruse" localSheetId="0">#REF!</definedName>
    <definedName name="dtlruse" localSheetId="5">#REF!</definedName>
    <definedName name="dtlruse" localSheetId="3">#REF!</definedName>
    <definedName name="dtlruse" localSheetId="4">#REF!</definedName>
    <definedName name="dtlruse">#REF!</definedName>
    <definedName name="ExtraProfiles" localSheetId="5" hidden="1">#REF!</definedName>
    <definedName name="ExtraProfiles" localSheetId="2" hidden="1">#REF!</definedName>
    <definedName name="ExtraProfiles" localSheetId="3" hidden="1">#REF!</definedName>
    <definedName name="ExtraProfiles" localSheetId="4" hidden="1">#REF!</definedName>
    <definedName name="ExtraProfiles" hidden="1">#REF!</definedName>
    <definedName name="fem">#REF!</definedName>
    <definedName name="females_UK">#REF!</definedName>
    <definedName name="fg" localSheetId="5"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[17]Intro!$B$1</definedName>
    <definedName name="ghj" localSheetId="5"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Import_AuditData" localSheetId="5">#REF!</definedName>
    <definedName name="Import_AuditData" localSheetId="3">#REF!</definedName>
    <definedName name="Import_AuditData" localSheetId="4">#REF!</definedName>
    <definedName name="Import_AuditData">#REF!</definedName>
    <definedName name="Import_FormData" localSheetId="5">#REF!</definedName>
    <definedName name="Import_FormData" localSheetId="3">#REF!</definedName>
    <definedName name="Import_FormData" localSheetId="4">#REF!</definedName>
    <definedName name="Import_FormData">#REF!</definedName>
    <definedName name="Import_LA_Code" localSheetId="5">'[18]Part 1'!#REF!</definedName>
    <definedName name="Import_LA_Code" localSheetId="3">'[18]Part 1'!#REF!</definedName>
    <definedName name="Import_LA_Code" localSheetId="4">'[18]Part 1'!#REF!</definedName>
    <definedName name="Import_LA_Code">'[18]Part 1'!#REF!</definedName>
    <definedName name="Import_LA_Name" localSheetId="5">'[18]Part 1'!#REF!</definedName>
    <definedName name="Import_LA_Name" localSheetId="3">'[18]Part 1'!#REF!</definedName>
    <definedName name="Import_LA_Name" localSheetId="4">'[18]Part 1'!#REF!</definedName>
    <definedName name="Import_LA_Name">'[18]Part 1'!#REF!</definedName>
    <definedName name="Import_NotesData" localSheetId="5">#REF!</definedName>
    <definedName name="Import_NotesData" localSheetId="3">#REF!</definedName>
    <definedName name="Import_NotesData" localSheetId="4">#REF!</definedName>
    <definedName name="Import_NotesData">#REF!</definedName>
    <definedName name="Import_ValidationData" localSheetId="5">#REF!</definedName>
    <definedName name="Import_ValidationData" localSheetId="3">#REF!</definedName>
    <definedName name="Import_ValidationData" localSheetId="4">#REF!</definedName>
    <definedName name="Import_ValidationData">#REF!</definedName>
    <definedName name="jhkgh" localSheetId="5"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 localSheetId="5">#REF!</definedName>
    <definedName name="LA" localSheetId="2">[15]Sheet2!$A$1:$A$332</definedName>
    <definedName name="LA" localSheetId="3">[15]Sheet2!$A$1:$A$332</definedName>
    <definedName name="LA" localSheetId="4">[15]Sheet2!$A$1:$A$332</definedName>
    <definedName name="LA">#REF!</definedName>
    <definedName name="LA_List" localSheetId="3">'[19]LA drop-down'!$AI$113:$AI$566</definedName>
    <definedName name="LA_List" localSheetId="4">'[19]LA drop-down'!$AI$113:$AI$566</definedName>
    <definedName name="LA_List">'[20]Drop-down'!$J$4:$J$410</definedName>
    <definedName name="LAcodes" localSheetId="0">#REF!</definedName>
    <definedName name="LAcodes" localSheetId="5">#REF!</definedName>
    <definedName name="LAcodes" localSheetId="2">#REF!</definedName>
    <definedName name="LAcodes" localSheetId="3">#REF!</definedName>
    <definedName name="LAcodes" localSheetId="4">#REF!</definedName>
    <definedName name="LAcodes">#REF!</definedName>
    <definedName name="LAlist" localSheetId="0">#REF!</definedName>
    <definedName name="LAlist" localSheetId="5">#REF!</definedName>
    <definedName name="LAlist" localSheetId="2">#REF!</definedName>
    <definedName name="LAlist" localSheetId="3">#REF!</definedName>
    <definedName name="LAlist" localSheetId="4">#REF!</definedName>
    <definedName name="LAlist">#REF!</definedName>
    <definedName name="LAlist2" localSheetId="5">#REF!</definedName>
    <definedName name="LAlist2" localSheetId="3">#REF!</definedName>
    <definedName name="LAlist2" localSheetId="4">#REF!</definedName>
    <definedName name="LAlist2">#REF!</definedName>
    <definedName name="LastSheet" localSheetId="3">10</definedName>
    <definedName name="LastSheet" localSheetId="4">10</definedName>
    <definedName name="LastSheet">9</definedName>
    <definedName name="males_UK" localSheetId="4">#REF!</definedName>
    <definedName name="males_UK">#REF!</definedName>
    <definedName name="NEG_A" localSheetId="2">#REF!</definedName>
    <definedName name="NEG_A" localSheetId="3">#REF!</definedName>
    <definedName name="NEG_A" localSheetId="4">#REF!</definedName>
    <definedName name="NEG_A">[21]Parameters!$K$4</definedName>
    <definedName name="NEG_B" localSheetId="2">#REF!</definedName>
    <definedName name="NEG_B" localSheetId="3">#REF!</definedName>
    <definedName name="NEG_B" localSheetId="4">#REF!</definedName>
    <definedName name="NEG_B">[21]Parameters!$K$7</definedName>
    <definedName name="NEG_C" localSheetId="2">#REF!</definedName>
    <definedName name="NEG_C" localSheetId="3">#REF!</definedName>
    <definedName name="NEG_C" localSheetId="4">#REF!</definedName>
    <definedName name="NEG_C">[21]Parameters!$K$10</definedName>
    <definedName name="NEG_D" localSheetId="2">#REF!</definedName>
    <definedName name="NEG_D" localSheetId="3">#REF!</definedName>
    <definedName name="NEG_D" localSheetId="4">#REF!</definedName>
    <definedName name="NEG_D">[21]Parameters!$K$13</definedName>
    <definedName name="NewClass1" localSheetId="5" hidden="1">#REF!</definedName>
    <definedName name="NewClass1" localSheetId="2" hidden="1">#REF!</definedName>
    <definedName name="NewClass1" localSheetId="3" hidden="1">#REF!</definedName>
    <definedName name="NewClass1" hidden="1">#REF!</definedName>
    <definedName name="NNDR1" localSheetId="0">#REF!</definedName>
    <definedName name="NNDR1" localSheetId="5">#REF!</definedName>
    <definedName name="NNDR1" localSheetId="3">#REF!</definedName>
    <definedName name="NNDR1">#REF!</definedName>
    <definedName name="NNDR1S" localSheetId="0">#REF!</definedName>
    <definedName name="NNDR1S" localSheetId="5">#REF!</definedName>
    <definedName name="NNDR1S" localSheetId="3">#REF!</definedName>
    <definedName name="NNDR1S">#REF!</definedName>
    <definedName name="numberhered" localSheetId="0">#REF!</definedName>
    <definedName name="numberhered" localSheetId="5">#REF!</definedName>
    <definedName name="numberhered" localSheetId="3">#REF!</definedName>
    <definedName name="numberhered">#REF!</definedName>
    <definedName name="Option2" localSheetId="5"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"N7IQZZD5YBE28RGZHB5UQVKH"</definedName>
    <definedName name="Part1" localSheetId="5">#REF!</definedName>
    <definedName name="Part1" localSheetId="3">#REF!</definedName>
    <definedName name="Part1" localSheetId="4">#REF!</definedName>
    <definedName name="Part1">#REF!</definedName>
    <definedName name="Part2" localSheetId="0">#REF!</definedName>
    <definedName name="Part2" localSheetId="5">Data!$A$4:$C$329</definedName>
    <definedName name="Part2" localSheetId="3">#REF!</definedName>
    <definedName name="Part2" localSheetId="4">#REF!</definedName>
    <definedName name="Part2">#REF!</definedName>
    <definedName name="Part3" localSheetId="0">#REF!</definedName>
    <definedName name="Part3" localSheetId="5">#REF!</definedName>
    <definedName name="Part3" localSheetId="3">#REF!</definedName>
    <definedName name="Part3">#REF!</definedName>
    <definedName name="Part4" localSheetId="0">#REF!</definedName>
    <definedName name="Part4" localSheetId="5">#REF!</definedName>
    <definedName name="Part4" localSheetId="3">#REF!</definedName>
    <definedName name="Part4">#REF!</definedName>
    <definedName name="Part5" localSheetId="5">#REF!</definedName>
    <definedName name="Part5" localSheetId="3">#REF!</definedName>
    <definedName name="Part5">#REF!</definedName>
    <definedName name="persons_UK">#REF!</definedName>
    <definedName name="pools" localSheetId="0">#REF!</definedName>
    <definedName name="pools" localSheetId="5">#REF!</definedName>
    <definedName name="pools" localSheetId="3">#REF!</definedName>
    <definedName name="pools">#REF!</definedName>
    <definedName name="Pop" localSheetId="2" hidden="1">[22]Population!#REF!</definedName>
    <definedName name="Pop" localSheetId="3" hidden="1">[23]Population!#REF!</definedName>
    <definedName name="Pop" localSheetId="4" hidden="1">[23]Population!#REF!</definedName>
    <definedName name="Pop" hidden="1">[24]Population!#REF!</definedName>
    <definedName name="Population" localSheetId="5" hidden="1">#REF!</definedName>
    <definedName name="Population" localSheetId="2" hidden="1">#REF!</definedName>
    <definedName name="Population" localSheetId="3" hidden="1">#REF!</definedName>
    <definedName name="Population" localSheetId="4" hidden="1">#REF!</definedName>
    <definedName name="Population" hidden="1">#REF!</definedName>
    <definedName name="POWERS" localSheetId="5">'[9]151120 ASC bill diff regional'!#REF!</definedName>
    <definedName name="POWERS" localSheetId="3">'[10]151120 ASC bill diff regional'!#REF!</definedName>
    <definedName name="POWERS" localSheetId="4">'[10]151120 ASC bill diff regional'!#REF!</definedName>
    <definedName name="POWERS">'[10]151120 ASC bill diff regional'!#REF!</definedName>
    <definedName name="_xlnm.Print_Area" localSheetId="0">Calculator!$A$1:$F$45</definedName>
    <definedName name="_xlnm.Print_Area" localSheetId="5">'[14]Section A'!#REF!</definedName>
    <definedName name="_xlnm.Print_Area" localSheetId="3">'[14]Section A'!#REF!</definedName>
    <definedName name="_xlnm.Print_Area" localSheetId="4">'[14]Section A'!#REF!</definedName>
    <definedName name="_xlnm.Print_Area">'[14]Section A'!#REF!</definedName>
    <definedName name="_xlnm.Print_Titles">#N/A</definedName>
    <definedName name="Profiles" localSheetId="5" hidden="1">#REF!</definedName>
    <definedName name="Profiles" localSheetId="2" hidden="1">#REF!</definedName>
    <definedName name="Profiles" localSheetId="3" hidden="1">#REF!</definedName>
    <definedName name="Profiles" localSheetId="4" hidden="1">#REF!</definedName>
    <definedName name="Profiles" hidden="1">#REF!</definedName>
    <definedName name="Projections" localSheetId="5" hidden="1">#REF!</definedName>
    <definedName name="Projections" localSheetId="2" hidden="1">#REF!</definedName>
    <definedName name="Projections" localSheetId="3" hidden="1">#REF!</definedName>
    <definedName name="Projections" localSheetId="4" hidden="1">#REF!</definedName>
    <definedName name="Projections" hidden="1">#REF!</definedName>
    <definedName name="QRC4R1" localSheetId="3">'[13]BR1 Form'!#REF!</definedName>
    <definedName name="QRC4R1" localSheetId="4">'[13]BR1 Form'!#REF!</definedName>
    <definedName name="QRC4R1">'[13]BR1 Form'!#REF!</definedName>
    <definedName name="QRC4R10" localSheetId="3">'[13]BR1 Form'!#REF!</definedName>
    <definedName name="QRC4R10" localSheetId="4">'[13]BR1 Form'!#REF!</definedName>
    <definedName name="QRC4R10">'[13]BR1 Form'!#REF!</definedName>
    <definedName name="QRC4R12" localSheetId="3">'[13]BR1 Form'!#REF!</definedName>
    <definedName name="QRC4R12" localSheetId="4">'[13]BR1 Form'!#REF!</definedName>
    <definedName name="QRC4R12">'[13]BR1 Form'!#REF!</definedName>
    <definedName name="QRC4R13" localSheetId="3">'[13]BR1 Form'!#REF!</definedName>
    <definedName name="QRC4R13" localSheetId="4">'[13]BR1 Form'!#REF!</definedName>
    <definedName name="QRC4R13">'[13]BR1 Form'!#REF!</definedName>
    <definedName name="QRC4R14" localSheetId="3">'[13]BR1 Form'!#REF!</definedName>
    <definedName name="QRC4R14" localSheetId="4">'[13]BR1 Form'!#REF!</definedName>
    <definedName name="QRC4R14">'[13]BR1 Form'!#REF!</definedName>
    <definedName name="QRC4R15" localSheetId="3">'[13]BR1 Form'!#REF!</definedName>
    <definedName name="QRC4R15" localSheetId="4">'[13]BR1 Form'!#REF!</definedName>
    <definedName name="QRC4R15">'[13]BR1 Form'!#REF!</definedName>
    <definedName name="QRC4R17" localSheetId="3">'[13]BR1 Form'!#REF!</definedName>
    <definedName name="QRC4R17" localSheetId="4">'[13]BR1 Form'!#REF!</definedName>
    <definedName name="QRC4R17">'[13]BR1 Form'!#REF!</definedName>
    <definedName name="QRC4R18" localSheetId="3">'[13]BR1 Form'!#REF!</definedName>
    <definedName name="QRC4R18" localSheetId="4">'[13]BR1 Form'!#REF!</definedName>
    <definedName name="QRC4R18">'[13]BR1 Form'!#REF!</definedName>
    <definedName name="QRC4R19" localSheetId="3">'[13]BR1 Form'!#REF!</definedName>
    <definedName name="QRC4R19" localSheetId="4">'[13]BR1 Form'!#REF!</definedName>
    <definedName name="QRC4R19">'[13]BR1 Form'!#REF!</definedName>
    <definedName name="QRC4R20" localSheetId="3">'[13]BR1 Form'!#REF!</definedName>
    <definedName name="QRC4R20" localSheetId="4">'[13]BR1 Form'!#REF!</definedName>
    <definedName name="QRC4R20">'[13]BR1 Form'!#REF!</definedName>
    <definedName name="QRC4R21" localSheetId="3">'[13]BR1 Form'!#REF!</definedName>
    <definedName name="QRC4R21" localSheetId="4">'[13]BR1 Form'!#REF!</definedName>
    <definedName name="QRC4R21">'[13]BR1 Form'!#REF!</definedName>
    <definedName name="QRC4R22" localSheetId="3">'[13]BR1 Form'!#REF!</definedName>
    <definedName name="QRC4R22" localSheetId="4">'[13]BR1 Form'!#REF!</definedName>
    <definedName name="QRC4R22">'[13]BR1 Form'!#REF!</definedName>
    <definedName name="QRC4R23" localSheetId="3">'[13]BR1 Form'!#REF!</definedName>
    <definedName name="QRC4R23" localSheetId="4">'[13]BR1 Form'!#REF!</definedName>
    <definedName name="QRC4R23">'[13]BR1 Form'!#REF!</definedName>
    <definedName name="QRC4R24" localSheetId="3">'[13]BR1 Form'!#REF!</definedName>
    <definedName name="QRC4R24" localSheetId="4">'[13]BR1 Form'!#REF!</definedName>
    <definedName name="QRC4R24">'[13]BR1 Form'!#REF!</definedName>
    <definedName name="QRC4R3" localSheetId="3">'[13]BR1 Form'!#REF!</definedName>
    <definedName name="QRC4R3" localSheetId="4">'[13]BR1 Form'!#REF!</definedName>
    <definedName name="QRC4R3">'[13]BR1 Form'!#REF!</definedName>
    <definedName name="QRC4R5" localSheetId="3">'[13]BR1 Form'!#REF!</definedName>
    <definedName name="QRC4R5" localSheetId="4">'[13]BR1 Form'!#REF!</definedName>
    <definedName name="QRC4R5">'[13]BR1 Form'!#REF!</definedName>
    <definedName name="QRC4R8" localSheetId="3">'[13]BR1 Form'!#REF!</definedName>
    <definedName name="QRC4R8" localSheetId="4">'[13]BR1 Form'!#REF!</definedName>
    <definedName name="QRC4R8">'[13]BR1 Form'!#REF!</definedName>
    <definedName name="QRC4R9" localSheetId="3">'[13]BR1 Form'!#REF!</definedName>
    <definedName name="QRC4R9" localSheetId="4">'[13]BR1 Form'!#REF!</definedName>
    <definedName name="QRC4R9">'[13]BR1 Form'!#REF!</definedName>
    <definedName name="Results" hidden="1">[25]UK99!$A$1:$A$1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'[13]BR1 Form'!#REF!</definedName>
    <definedName name="sdf" localSheetId="5"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'[26]Summary LA - 15-16'!$B$12:$BO$394</definedName>
    <definedName name="SpendingPowerIncGLA">'[26]Summary LA - 15-16'!$B$12:$BO$394,'[26]Summary LA - 15-16'!$B$10,'[26]Summary LA - 15-16'!$C$10,'[26]Summary LA - 15-16'!$B$10,'[26]Summary LA - 15-16'!$B$10,'[26]Summary LA - 15-16'!$C$10,'[26]Summary LA - 15-16'!$B$10:$BO$10</definedName>
    <definedName name="T5_1_notes" localSheetId="3">'[27]Table5.1 LRL North East'!#REF!</definedName>
    <definedName name="T5_1_notes" localSheetId="4">'[27]Table5.1 LRL North East'!#REF!</definedName>
    <definedName name="T5_1_notes">'[27]Table5.1 LRL North East'!#REF!</definedName>
    <definedName name="Table" localSheetId="0">#REF!</definedName>
    <definedName name="Table" localSheetId="5">#REF!</definedName>
    <definedName name="Table" localSheetId="2">#REF!</definedName>
    <definedName name="Table" localSheetId="3">#REF!</definedName>
    <definedName name="Table" localSheetId="4">#REF!</definedName>
    <definedName name="Table">#REF!</definedName>
    <definedName name="table1" localSheetId="0">#REF!</definedName>
    <definedName name="table1" localSheetId="5">#REF!</definedName>
    <definedName name="table1" localSheetId="2">#REF!</definedName>
    <definedName name="table1" localSheetId="3">#REF!</definedName>
    <definedName name="table1" localSheetId="4">#REF!</definedName>
    <definedName name="table1">#REF!</definedName>
    <definedName name="Table2">[28]DATA!$A$8:$C$362</definedName>
    <definedName name="TABLE4" localSheetId="5">#REF!</definedName>
    <definedName name="TABLE4" localSheetId="3">#REF!</definedName>
    <definedName name="TABLE4" localSheetId="4">#REF!</definedName>
    <definedName name="TABLE4">#REF!</definedName>
    <definedName name="TABLES">'[29]Billing Table'!$A$10:$S$416</definedName>
    <definedName name="tiersplit" localSheetId="0">#REF!</definedName>
    <definedName name="tiersplit" localSheetId="5">#REF!</definedName>
    <definedName name="tiersplit" localSheetId="3">#REF!</definedName>
    <definedName name="tiersplit" localSheetId="4">#REF!</definedName>
    <definedName name="tiersplit">#REF!</definedName>
    <definedName name="trggh" localSheetId="5"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Validation" localSheetId="0">#REF!</definedName>
    <definedName name="Validation" localSheetId="5">#REF!</definedName>
    <definedName name="Validation" localSheetId="3">#REF!</definedName>
    <definedName name="Validation" localSheetId="4">#REF!</definedName>
    <definedName name="Validation">#REF!</definedName>
    <definedName name="Ver_1.0d" localSheetId="5">#REF!</definedName>
    <definedName name="Ver_1.0d" localSheetId="2">#REF!</definedName>
    <definedName name="Ver_1.0d" localSheetId="3">#REF!</definedName>
    <definedName name="Ver_1.0d" localSheetId="4">#REF!</definedName>
    <definedName name="Ver_1.0d">#REF!</definedName>
    <definedName name="wrn.TMCOMP." localSheetId="5"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zz" localSheetId="0">#REF!</definedName>
    <definedName name="zzz" localSheetId="5">#REF!</definedName>
    <definedName name="zzz" localSheetId="2">#REF!</definedName>
    <definedName name="zzz" localSheetId="3">#REF!</definedName>
    <definedName name="zzz" localSheetId="4">#REF!</definedName>
    <definedName name="zzz">#REF!</definedName>
  </definedNames>
  <calcPr calcId="145621"/>
</workbook>
</file>

<file path=xl/calcChain.xml><?xml version="1.0" encoding="utf-8"?>
<calcChain xmlns="http://schemas.openxmlformats.org/spreadsheetml/2006/main">
  <c r="K389" i="6" l="1"/>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A10" i="2" l="1"/>
  <c r="A21" i="1"/>
  <c r="S1" i="7" l="1"/>
  <c r="T1" i="7"/>
  <c r="S5" i="7" l="1"/>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1"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4" i="7"/>
  <c r="N1" i="7"/>
  <c r="O1" i="7"/>
  <c r="P1" i="7"/>
  <c r="Q1" i="7"/>
  <c r="R1" i="7"/>
  <c r="L1" i="7" l="1"/>
  <c r="P5" i="7" l="1"/>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4"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Q363" i="7"/>
  <c r="Q361" i="7"/>
  <c r="Q359" i="7"/>
  <c r="Q358" i="7"/>
  <c r="Q357" i="7"/>
  <c r="Q356" i="7"/>
  <c r="Q355" i="7"/>
  <c r="Q354" i="7"/>
  <c r="Q353" i="7"/>
  <c r="Q352" i="7"/>
  <c r="Q351" i="7"/>
  <c r="Q350" i="7"/>
  <c r="Q349" i="7"/>
  <c r="Q348" i="7"/>
  <c r="Q347" i="7"/>
  <c r="Q346" i="7"/>
  <c r="Q345" i="7"/>
  <c r="Q344" i="7"/>
  <c r="Q343" i="7"/>
  <c r="Q342" i="7"/>
  <c r="Q341" i="7"/>
  <c r="Q340" i="7"/>
  <c r="Q339" i="7"/>
  <c r="Q338" i="7"/>
  <c r="Q337" i="7"/>
  <c r="Q336" i="7"/>
  <c r="Q335" i="7"/>
  <c r="Q334" i="7"/>
  <c r="Q333" i="7"/>
  <c r="Q332" i="7"/>
  <c r="Q331"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304" i="7"/>
  <c r="Q303" i="7"/>
  <c r="Q302" i="7"/>
  <c r="Q301" i="7"/>
  <c r="Q300" i="7"/>
  <c r="Q299" i="7"/>
  <c r="Q298" i="7"/>
  <c r="Q297" i="7"/>
  <c r="Q296" i="7"/>
  <c r="Q295" i="7"/>
  <c r="Q294" i="7"/>
  <c r="Q293" i="7"/>
  <c r="Q292" i="7"/>
  <c r="Q291" i="7"/>
  <c r="Q290" i="7"/>
  <c r="Q289" i="7"/>
  <c r="Q288" i="7"/>
  <c r="Q287" i="7"/>
  <c r="Q286" i="7"/>
  <c r="Q285" i="7"/>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6" i="7"/>
  <c r="Q5" i="7"/>
  <c r="Q4"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5" i="7"/>
  <c r="N6" i="7"/>
  <c r="N7" i="7"/>
  <c r="N8" i="7"/>
  <c r="N9" i="7"/>
  <c r="N10" i="7"/>
  <c r="N11" i="7"/>
  <c r="N12" i="7"/>
  <c r="N13" i="7"/>
  <c r="N14" i="7"/>
  <c r="N15" i="7"/>
  <c r="N16" i="7"/>
  <c r="N4" i="7"/>
  <c r="A44" i="1" l="1"/>
  <c r="A43" i="1"/>
  <c r="A33" i="1"/>
  <c r="A34" i="1"/>
  <c r="A35" i="1"/>
  <c r="A36" i="1"/>
  <c r="A37" i="1"/>
  <c r="A38" i="1"/>
  <c r="A13" i="1"/>
  <c r="M1" i="7"/>
  <c r="K1" i="7" l="1"/>
  <c r="J1" i="7"/>
  <c r="I1" i="7"/>
  <c r="H1" i="7"/>
  <c r="G1" i="7"/>
  <c r="F1" i="7"/>
  <c r="E1" i="7"/>
  <c r="D1" i="7"/>
  <c r="C1" i="7"/>
  <c r="B1" i="7"/>
  <c r="A1" i="7"/>
  <c r="D5" i="1" l="1"/>
  <c r="D13" i="1" s="1"/>
  <c r="O387" i="8"/>
  <c r="O383" i="8"/>
  <c r="O379" i="8"/>
  <c r="O375" i="8"/>
  <c r="O371" i="8"/>
  <c r="O367" i="8"/>
  <c r="O363" i="8"/>
  <c r="O359" i="8"/>
  <c r="O355" i="8"/>
  <c r="O351" i="8"/>
  <c r="O347" i="8"/>
  <c r="O343" i="8"/>
  <c r="O339" i="8"/>
  <c r="O335" i="8"/>
  <c r="O331" i="8"/>
  <c r="O327" i="8"/>
  <c r="O323" i="8"/>
  <c r="O319" i="8"/>
  <c r="O315" i="8"/>
  <c r="O311" i="8"/>
  <c r="O307" i="8"/>
  <c r="O303" i="8"/>
  <c r="O299" i="8"/>
  <c r="O295" i="8"/>
  <c r="O291" i="8"/>
  <c r="O287" i="8"/>
  <c r="O283" i="8"/>
  <c r="O279" i="8"/>
  <c r="O275" i="8"/>
  <c r="O271" i="8"/>
  <c r="O267" i="8"/>
  <c r="O263" i="8"/>
  <c r="O259" i="8"/>
  <c r="O255" i="8"/>
  <c r="O251" i="8"/>
  <c r="O247" i="8"/>
  <c r="O243" i="8"/>
  <c r="O239" i="8"/>
  <c r="O235" i="8"/>
  <c r="O231" i="8"/>
  <c r="O227" i="8"/>
  <c r="O223" i="8"/>
  <c r="O219" i="8"/>
  <c r="O215" i="8"/>
  <c r="O211" i="8"/>
  <c r="O207" i="8"/>
  <c r="O203" i="8"/>
  <c r="O199" i="8"/>
  <c r="O195" i="8"/>
  <c r="O191" i="8"/>
  <c r="O187" i="8"/>
  <c r="O183" i="8"/>
  <c r="O179" i="8"/>
  <c r="O175" i="8"/>
  <c r="O171" i="8"/>
  <c r="O167" i="8"/>
  <c r="O163" i="8"/>
  <c r="O159" i="8"/>
  <c r="O155" i="8"/>
  <c r="O151" i="8"/>
  <c r="O147" i="8"/>
  <c r="O143" i="8"/>
  <c r="O139" i="8"/>
  <c r="O135" i="8"/>
  <c r="O131" i="8"/>
  <c r="O127" i="8"/>
  <c r="O123" i="8"/>
  <c r="O119" i="8"/>
  <c r="O115" i="8"/>
  <c r="O111" i="8"/>
  <c r="O107" i="8"/>
  <c r="O103" i="8"/>
  <c r="O99" i="8"/>
  <c r="O95" i="8"/>
  <c r="O91" i="8"/>
  <c r="O87" i="8"/>
  <c r="O83" i="8"/>
  <c r="O79" i="8"/>
  <c r="O75" i="8"/>
  <c r="O71" i="8"/>
  <c r="O67" i="8"/>
  <c r="O63" i="8"/>
  <c r="O59" i="8"/>
  <c r="O55" i="8"/>
  <c r="O386" i="8"/>
  <c r="O382" i="8"/>
  <c r="O378" i="8"/>
  <c r="O374" i="8"/>
  <c r="O370" i="8"/>
  <c r="O366" i="8"/>
  <c r="O362" i="8"/>
  <c r="O358" i="8"/>
  <c r="O354" i="8"/>
  <c r="O350" i="8"/>
  <c r="O346" i="8"/>
  <c r="O342" i="8"/>
  <c r="O338" i="8"/>
  <c r="O334" i="8"/>
  <c r="O330" i="8"/>
  <c r="O326" i="8"/>
  <c r="O322" i="8"/>
  <c r="O318" i="8"/>
  <c r="O314" i="8"/>
  <c r="O310" i="8"/>
  <c r="O306" i="8"/>
  <c r="O302" i="8"/>
  <c r="O298" i="8"/>
  <c r="O294" i="8"/>
  <c r="O290" i="8"/>
  <c r="O286" i="8"/>
  <c r="O282" i="8"/>
  <c r="O278" i="8"/>
  <c r="O274" i="8"/>
  <c r="O270" i="8"/>
  <c r="O266" i="8"/>
  <c r="O262" i="8"/>
  <c r="O258" i="8"/>
  <c r="O254" i="8"/>
  <c r="O250" i="8"/>
  <c r="O246" i="8"/>
  <c r="O242" i="8"/>
  <c r="O238" i="8"/>
  <c r="O234" i="8"/>
  <c r="O230" i="8"/>
  <c r="O226" i="8"/>
  <c r="O222" i="8"/>
  <c r="O218" i="8"/>
  <c r="O214" i="8"/>
  <c r="O210" i="8"/>
  <c r="O206" i="8"/>
  <c r="O202" i="8"/>
  <c r="O198" i="8"/>
  <c r="O194" i="8"/>
  <c r="O190" i="8"/>
  <c r="O186" i="8"/>
  <c r="O182" i="8"/>
  <c r="O178" i="8"/>
  <c r="O174" i="8"/>
  <c r="O170" i="8"/>
  <c r="O166" i="8"/>
  <c r="O162" i="8"/>
  <c r="O158" i="8"/>
  <c r="O154" i="8"/>
  <c r="O150" i="8"/>
  <c r="O146" i="8"/>
  <c r="O142" i="8"/>
  <c r="O138" i="8"/>
  <c r="O134" i="8"/>
  <c r="O130" i="8"/>
  <c r="O126" i="8"/>
  <c r="O122" i="8"/>
  <c r="O118" i="8"/>
  <c r="O114" i="8"/>
  <c r="O110" i="8"/>
  <c r="O106" i="8"/>
  <c r="O102" i="8"/>
  <c r="O98" i="8"/>
  <c r="O94" i="8"/>
  <c r="O90" i="8"/>
  <c r="O86" i="8"/>
  <c r="O82" i="8"/>
  <c r="O78" i="8"/>
  <c r="O74" i="8"/>
  <c r="O70" i="8"/>
  <c r="O66" i="8"/>
  <c r="O62" i="8"/>
  <c r="O58" i="8"/>
  <c r="O54" i="8"/>
  <c r="O389" i="8"/>
  <c r="O385" i="8"/>
  <c r="O381" i="8"/>
  <c r="O377" i="8"/>
  <c r="O373" i="8"/>
  <c r="O369" i="8"/>
  <c r="O365" i="8"/>
  <c r="O361" i="8"/>
  <c r="O357" i="8"/>
  <c r="O353" i="8"/>
  <c r="O349" i="8"/>
  <c r="O345" i="8"/>
  <c r="O341" i="8"/>
  <c r="O337" i="8"/>
  <c r="O333" i="8"/>
  <c r="O329" i="8"/>
  <c r="O325" i="8"/>
  <c r="O321" i="8"/>
  <c r="O317" i="8"/>
  <c r="O313" i="8"/>
  <c r="O309" i="8"/>
  <c r="O305" i="8"/>
  <c r="O301" i="8"/>
  <c r="O297" i="8"/>
  <c r="O293" i="8"/>
  <c r="O289" i="8"/>
  <c r="O285" i="8"/>
  <c r="O281" i="8"/>
  <c r="O277" i="8"/>
  <c r="O273" i="8"/>
  <c r="O269" i="8"/>
  <c r="O265" i="8"/>
  <c r="O261" i="8"/>
  <c r="O257" i="8"/>
  <c r="O253" i="8"/>
  <c r="O249" i="8"/>
  <c r="O245" i="8"/>
  <c r="O241" i="8"/>
  <c r="O237" i="8"/>
  <c r="O233" i="8"/>
  <c r="O229" i="8"/>
  <c r="O225" i="8"/>
  <c r="O221" i="8"/>
  <c r="O217" i="8"/>
  <c r="O213" i="8"/>
  <c r="O209" i="8"/>
  <c r="O205" i="8"/>
  <c r="O201" i="8"/>
  <c r="O197" i="8"/>
  <c r="O193" i="8"/>
  <c r="O189" i="8"/>
  <c r="O185" i="8"/>
  <c r="O181" i="8"/>
  <c r="O177" i="8"/>
  <c r="O173" i="8"/>
  <c r="O169" i="8"/>
  <c r="O165" i="8"/>
  <c r="O161" i="8"/>
  <c r="O157" i="8"/>
  <c r="O153" i="8"/>
  <c r="O149" i="8"/>
  <c r="O145" i="8"/>
  <c r="O141" i="8"/>
  <c r="O137" i="8"/>
  <c r="O133" i="8"/>
  <c r="O129" i="8"/>
  <c r="O125" i="8"/>
  <c r="O121" i="8"/>
  <c r="O117" i="8"/>
  <c r="O113" i="8"/>
  <c r="O109" i="8"/>
  <c r="O105" i="8"/>
  <c r="O101" i="8"/>
  <c r="O97" i="8"/>
  <c r="O93" i="8"/>
  <c r="O89" i="8"/>
  <c r="O85" i="8"/>
  <c r="O81" i="8"/>
  <c r="O77" i="8"/>
  <c r="O73" i="8"/>
  <c r="O69" i="8"/>
  <c r="O65" i="8"/>
  <c r="O61" i="8"/>
  <c r="O57" i="8"/>
  <c r="O53" i="8"/>
  <c r="O388" i="8"/>
  <c r="O372" i="8"/>
  <c r="O356" i="8"/>
  <c r="O340" i="8"/>
  <c r="O324" i="8"/>
  <c r="O308" i="8"/>
  <c r="O292" i="8"/>
  <c r="O276" i="8"/>
  <c r="O260" i="8"/>
  <c r="O244" i="8"/>
  <c r="O228" i="8"/>
  <c r="O212" i="8"/>
  <c r="O196" i="8"/>
  <c r="O180" i="8"/>
  <c r="O164" i="8"/>
  <c r="O148" i="8"/>
  <c r="O132" i="8"/>
  <c r="O116" i="8"/>
  <c r="O100" i="8"/>
  <c r="O84" i="8"/>
  <c r="O68" i="8"/>
  <c r="O52" i="8"/>
  <c r="O48" i="8"/>
  <c r="O44" i="8"/>
  <c r="O40" i="8"/>
  <c r="O36" i="8"/>
  <c r="O32" i="8"/>
  <c r="O28" i="8"/>
  <c r="O24" i="8"/>
  <c r="O20" i="8"/>
  <c r="O16" i="8"/>
  <c r="O12" i="8"/>
  <c r="O8" i="8"/>
  <c r="O11" i="8"/>
  <c r="O384" i="8"/>
  <c r="O368" i="8"/>
  <c r="O352" i="8"/>
  <c r="O336" i="8"/>
  <c r="O320" i="8"/>
  <c r="O304" i="8"/>
  <c r="O288" i="8"/>
  <c r="O272" i="8"/>
  <c r="O256" i="8"/>
  <c r="O240" i="8"/>
  <c r="O224" i="8"/>
  <c r="O208" i="8"/>
  <c r="O192" i="8"/>
  <c r="O176" i="8"/>
  <c r="O160" i="8"/>
  <c r="O144" i="8"/>
  <c r="O128" i="8"/>
  <c r="O112" i="8"/>
  <c r="O96" i="8"/>
  <c r="O80" i="8"/>
  <c r="O64" i="8"/>
  <c r="O51" i="8"/>
  <c r="O47" i="8"/>
  <c r="O43" i="8"/>
  <c r="O39" i="8"/>
  <c r="O35" i="8"/>
  <c r="O31" i="8"/>
  <c r="O27" i="8"/>
  <c r="O23" i="8"/>
  <c r="O19" i="8"/>
  <c r="O15" i="8"/>
  <c r="O7" i="8"/>
  <c r="O380" i="8"/>
  <c r="O364" i="8"/>
  <c r="O348" i="8"/>
  <c r="O332" i="8"/>
  <c r="O316" i="8"/>
  <c r="O300" i="8"/>
  <c r="O284" i="8"/>
  <c r="O268" i="8"/>
  <c r="O252" i="8"/>
  <c r="O236" i="8"/>
  <c r="O220" i="8"/>
  <c r="O204" i="8"/>
  <c r="O188" i="8"/>
  <c r="O172" i="8"/>
  <c r="O156" i="8"/>
  <c r="O140" i="8"/>
  <c r="O124" i="8"/>
  <c r="O108" i="8"/>
  <c r="O92" i="8"/>
  <c r="O76" i="8"/>
  <c r="O60" i="8"/>
  <c r="O50" i="8"/>
  <c r="O46" i="8"/>
  <c r="O42" i="8"/>
  <c r="O38" i="8"/>
  <c r="O34" i="8"/>
  <c r="O30" i="8"/>
  <c r="O26" i="8"/>
  <c r="O22" i="8"/>
  <c r="O18" i="8"/>
  <c r="O14" i="8"/>
  <c r="O10" i="8"/>
  <c r="O9" i="8"/>
  <c r="O376" i="8"/>
  <c r="O360" i="8"/>
  <c r="O344" i="8"/>
  <c r="O328" i="8"/>
  <c r="O312" i="8"/>
  <c r="O296" i="8"/>
  <c r="O280" i="8"/>
  <c r="O264" i="8"/>
  <c r="O248" i="8"/>
  <c r="O232" i="8"/>
  <c r="O216" i="8"/>
  <c r="O200" i="8"/>
  <c r="O184" i="8"/>
  <c r="O168" i="8"/>
  <c r="O152" i="8"/>
  <c r="O136" i="8"/>
  <c r="O120" i="8"/>
  <c r="O104" i="8"/>
  <c r="O88" i="8"/>
  <c r="O72" i="8"/>
  <c r="O56" i="8"/>
  <c r="O49" i="8"/>
  <c r="O45" i="8"/>
  <c r="O41" i="8"/>
  <c r="O37" i="8"/>
  <c r="O33" i="8"/>
  <c r="O29" i="8"/>
  <c r="O25" i="8"/>
  <c r="O21" i="8"/>
  <c r="O17" i="8"/>
  <c r="O13" i="8"/>
  <c r="J8" i="6"/>
  <c r="J24" i="6"/>
  <c r="J40" i="6"/>
  <c r="J13" i="6"/>
  <c r="J29" i="6"/>
  <c r="J45" i="6"/>
  <c r="J18" i="6"/>
  <c r="J34" i="6"/>
  <c r="J7" i="6"/>
  <c r="J23" i="6"/>
  <c r="J39" i="6"/>
  <c r="J52" i="6"/>
  <c r="J68" i="6"/>
  <c r="J84" i="6"/>
  <c r="J100" i="6"/>
  <c r="J116" i="6"/>
  <c r="J132" i="6"/>
  <c r="J148" i="6"/>
  <c r="J164" i="6"/>
  <c r="J180" i="6"/>
  <c r="J196" i="6"/>
  <c r="J212" i="6"/>
  <c r="J228" i="6"/>
  <c r="J244" i="6"/>
  <c r="J260" i="6"/>
  <c r="J276" i="6"/>
  <c r="J292" i="6"/>
  <c r="J308" i="6"/>
  <c r="J324" i="6"/>
  <c r="J340" i="6"/>
  <c r="J356" i="6"/>
  <c r="J372" i="6"/>
  <c r="J388" i="6"/>
  <c r="J65" i="6"/>
  <c r="J81" i="6"/>
  <c r="J97" i="6"/>
  <c r="J113" i="6"/>
  <c r="J129" i="6"/>
  <c r="J145" i="6"/>
  <c r="J161" i="6"/>
  <c r="J177" i="6"/>
  <c r="J193" i="6"/>
  <c r="J209" i="6"/>
  <c r="J225" i="6"/>
  <c r="J241" i="6"/>
  <c r="J257" i="6"/>
  <c r="J273" i="6"/>
  <c r="J289" i="6"/>
  <c r="J305" i="6"/>
  <c r="J321" i="6"/>
  <c r="J337" i="6"/>
  <c r="J353" i="6"/>
  <c r="J369" i="6"/>
  <c r="J385" i="6"/>
  <c r="J58" i="6"/>
  <c r="J74" i="6"/>
  <c r="J90" i="6"/>
  <c r="J106" i="6"/>
  <c r="J122" i="6"/>
  <c r="J138" i="6"/>
  <c r="J154" i="6"/>
  <c r="J170" i="6"/>
  <c r="J186" i="6"/>
  <c r="J202" i="6"/>
  <c r="J218" i="6"/>
  <c r="J234" i="6"/>
  <c r="J250" i="6"/>
  <c r="J266" i="6"/>
  <c r="J282" i="6"/>
  <c r="J298" i="6"/>
  <c r="J314" i="6"/>
  <c r="J330" i="6"/>
  <c r="J346" i="6"/>
  <c r="J362" i="6"/>
  <c r="J378" i="6"/>
  <c r="J59" i="6"/>
  <c r="J75" i="6"/>
  <c r="J91" i="6"/>
  <c r="J107" i="6"/>
  <c r="J123" i="6"/>
  <c r="J139" i="6"/>
  <c r="J155" i="6"/>
  <c r="J171" i="6"/>
  <c r="J187" i="6"/>
  <c r="J203" i="6"/>
  <c r="J219" i="6"/>
  <c r="J12" i="6"/>
  <c r="J28" i="6"/>
  <c r="J44" i="6"/>
  <c r="J17" i="6"/>
  <c r="J33" i="6"/>
  <c r="J49" i="6"/>
  <c r="J22" i="6"/>
  <c r="J38" i="6"/>
  <c r="J11" i="6"/>
  <c r="J27" i="6"/>
  <c r="J43" i="6"/>
  <c r="J56" i="6"/>
  <c r="J72" i="6"/>
  <c r="J88" i="6"/>
  <c r="J104" i="6"/>
  <c r="J120" i="6"/>
  <c r="J136" i="6"/>
  <c r="J152" i="6"/>
  <c r="J168" i="6"/>
  <c r="J184" i="6"/>
  <c r="J200" i="6"/>
  <c r="J216" i="6"/>
  <c r="J232" i="6"/>
  <c r="J248" i="6"/>
  <c r="J264" i="6"/>
  <c r="J280" i="6"/>
  <c r="J296" i="6"/>
  <c r="J312" i="6"/>
  <c r="J328" i="6"/>
  <c r="J344" i="6"/>
  <c r="J360" i="6"/>
  <c r="J376" i="6"/>
  <c r="J53" i="6"/>
  <c r="J69" i="6"/>
  <c r="J85" i="6"/>
  <c r="J101" i="6"/>
  <c r="J117" i="6"/>
  <c r="J133" i="6"/>
  <c r="J149" i="6"/>
  <c r="J165" i="6"/>
  <c r="J181" i="6"/>
  <c r="J197" i="6"/>
  <c r="J213" i="6"/>
  <c r="J229" i="6"/>
  <c r="J245" i="6"/>
  <c r="J261" i="6"/>
  <c r="J277" i="6"/>
  <c r="J293" i="6"/>
  <c r="J309" i="6"/>
  <c r="J325" i="6"/>
  <c r="J341" i="6"/>
  <c r="J357" i="6"/>
  <c r="J373" i="6"/>
  <c r="J389" i="6"/>
  <c r="J62" i="6"/>
  <c r="J78" i="6"/>
  <c r="J94" i="6"/>
  <c r="J110" i="6"/>
  <c r="J126" i="6"/>
  <c r="J142" i="6"/>
  <c r="J158" i="6"/>
  <c r="J174" i="6"/>
  <c r="J190" i="6"/>
  <c r="J206" i="6"/>
  <c r="J222" i="6"/>
  <c r="J238" i="6"/>
  <c r="J254" i="6"/>
  <c r="J270" i="6"/>
  <c r="J286" i="6"/>
  <c r="J302" i="6"/>
  <c r="J318" i="6"/>
  <c r="J334" i="6"/>
  <c r="J350" i="6"/>
  <c r="J366" i="6"/>
  <c r="J382" i="6"/>
  <c r="J63" i="6"/>
  <c r="J79" i="6"/>
  <c r="J95" i="6"/>
  <c r="J111" i="6"/>
  <c r="J127" i="6"/>
  <c r="J143" i="6"/>
  <c r="J159" i="6"/>
  <c r="J175" i="6"/>
  <c r="J191" i="6"/>
  <c r="J16" i="6"/>
  <c r="J32" i="6"/>
  <c r="J48" i="6"/>
  <c r="J21" i="6"/>
  <c r="J37" i="6"/>
  <c r="J10" i="6"/>
  <c r="J26" i="6"/>
  <c r="J42" i="6"/>
  <c r="J15" i="6"/>
  <c r="J31" i="6"/>
  <c r="J47" i="6"/>
  <c r="J60" i="6"/>
  <c r="J76" i="6"/>
  <c r="J92" i="6"/>
  <c r="J108" i="6"/>
  <c r="J124" i="6"/>
  <c r="J140" i="6"/>
  <c r="J156" i="6"/>
  <c r="J172" i="6"/>
  <c r="J188" i="6"/>
  <c r="J204" i="6"/>
  <c r="J220" i="6"/>
  <c r="J236" i="6"/>
  <c r="J252" i="6"/>
  <c r="J268" i="6"/>
  <c r="J284" i="6"/>
  <c r="J300" i="6"/>
  <c r="J316" i="6"/>
  <c r="J332" i="6"/>
  <c r="J348" i="6"/>
  <c r="J364" i="6"/>
  <c r="J380" i="6"/>
  <c r="J57" i="6"/>
  <c r="J73" i="6"/>
  <c r="J89" i="6"/>
  <c r="J105" i="6"/>
  <c r="J121" i="6"/>
  <c r="J137" i="6"/>
  <c r="J153" i="6"/>
  <c r="J169" i="6"/>
  <c r="J185" i="6"/>
  <c r="J201" i="6"/>
  <c r="J217" i="6"/>
  <c r="J233" i="6"/>
  <c r="J249" i="6"/>
  <c r="J265" i="6"/>
  <c r="J281" i="6"/>
  <c r="J297" i="6"/>
  <c r="J313" i="6"/>
  <c r="J329" i="6"/>
  <c r="J345" i="6"/>
  <c r="J361" i="6"/>
  <c r="J377" i="6"/>
  <c r="J50" i="6"/>
  <c r="J66" i="6"/>
  <c r="J82" i="6"/>
  <c r="J98" i="6"/>
  <c r="J114" i="6"/>
  <c r="J130" i="6"/>
  <c r="J146" i="6"/>
  <c r="J162" i="6"/>
  <c r="J178" i="6"/>
  <c r="J194" i="6"/>
  <c r="J210" i="6"/>
  <c r="J226" i="6"/>
  <c r="J242" i="6"/>
  <c r="J258" i="6"/>
  <c r="J274" i="6"/>
  <c r="J290" i="6"/>
  <c r="J306" i="6"/>
  <c r="J322" i="6"/>
  <c r="J338" i="6"/>
  <c r="J354" i="6"/>
  <c r="J370" i="6"/>
  <c r="J386" i="6"/>
  <c r="J67" i="6"/>
  <c r="J83" i="6"/>
  <c r="J99" i="6"/>
  <c r="J115" i="6"/>
  <c r="J131" i="6"/>
  <c r="J147" i="6"/>
  <c r="J163" i="6"/>
  <c r="J179" i="6"/>
  <c r="J195" i="6"/>
  <c r="J211" i="6"/>
  <c r="J20" i="6"/>
  <c r="J36" i="6"/>
  <c r="J9" i="6"/>
  <c r="J25" i="6"/>
  <c r="J41" i="6"/>
  <c r="J14" i="6"/>
  <c r="J30" i="6"/>
  <c r="J46" i="6"/>
  <c r="J19" i="6"/>
  <c r="J35" i="6"/>
  <c r="J51" i="6"/>
  <c r="J64" i="6"/>
  <c r="J80" i="6"/>
  <c r="J96" i="6"/>
  <c r="J112" i="6"/>
  <c r="J128" i="6"/>
  <c r="J144" i="6"/>
  <c r="J160" i="6"/>
  <c r="J176" i="6"/>
  <c r="J192" i="6"/>
  <c r="J208" i="6"/>
  <c r="J224" i="6"/>
  <c r="J240" i="6"/>
  <c r="J256" i="6"/>
  <c r="J272" i="6"/>
  <c r="J288" i="6"/>
  <c r="J304" i="6"/>
  <c r="J320" i="6"/>
  <c r="J336" i="6"/>
  <c r="J352" i="6"/>
  <c r="J368" i="6"/>
  <c r="J384" i="6"/>
  <c r="J61" i="6"/>
  <c r="J77" i="6"/>
  <c r="J93" i="6"/>
  <c r="J109" i="6"/>
  <c r="J125" i="6"/>
  <c r="J141" i="6"/>
  <c r="J157" i="6"/>
  <c r="J173" i="6"/>
  <c r="J189" i="6"/>
  <c r="J205" i="6"/>
  <c r="J221" i="6"/>
  <c r="J237" i="6"/>
  <c r="J253" i="6"/>
  <c r="J269" i="6"/>
  <c r="J285" i="6"/>
  <c r="J301" i="6"/>
  <c r="J317" i="6"/>
  <c r="J333" i="6"/>
  <c r="J349" i="6"/>
  <c r="J365" i="6"/>
  <c r="J381" i="6"/>
  <c r="J54" i="6"/>
  <c r="J70" i="6"/>
  <c r="J86" i="6"/>
  <c r="J102" i="6"/>
  <c r="J118" i="6"/>
  <c r="J134" i="6"/>
  <c r="J150" i="6"/>
  <c r="J166" i="6"/>
  <c r="J182" i="6"/>
  <c r="J198" i="6"/>
  <c r="J214" i="6"/>
  <c r="J230" i="6"/>
  <c r="J246" i="6"/>
  <c r="J262" i="6"/>
  <c r="J278" i="6"/>
  <c r="J294" i="6"/>
  <c r="J310" i="6"/>
  <c r="J326" i="6"/>
  <c r="J342" i="6"/>
  <c r="J358" i="6"/>
  <c r="J374" i="6"/>
  <c r="J55" i="6"/>
  <c r="J71" i="6"/>
  <c r="J87" i="6"/>
  <c r="J103" i="6"/>
  <c r="J119" i="6"/>
  <c r="J135" i="6"/>
  <c r="J151" i="6"/>
  <c r="J167" i="6"/>
  <c r="J183" i="6"/>
  <c r="J199" i="6"/>
  <c r="J215" i="6"/>
  <c r="J207" i="6"/>
  <c r="J235" i="6"/>
  <c r="J251" i="6"/>
  <c r="J267" i="6"/>
  <c r="J283" i="6"/>
  <c r="J299" i="6"/>
  <c r="J315" i="6"/>
  <c r="J331" i="6"/>
  <c r="J347" i="6"/>
  <c r="J363" i="6"/>
  <c r="J379" i="6"/>
  <c r="J223" i="6"/>
  <c r="J239" i="6"/>
  <c r="J255" i="6"/>
  <c r="J271" i="6"/>
  <c r="J287" i="6"/>
  <c r="J303" i="6"/>
  <c r="J319" i="6"/>
  <c r="J335" i="6"/>
  <c r="J351" i="6"/>
  <c r="J367" i="6"/>
  <c r="J383" i="6"/>
  <c r="J227" i="6"/>
  <c r="J243" i="6"/>
  <c r="J259" i="6"/>
  <c r="J275" i="6"/>
  <c r="J291" i="6"/>
  <c r="J307" i="6"/>
  <c r="J323" i="6"/>
  <c r="J339" i="6"/>
  <c r="J355" i="6"/>
  <c r="J371" i="6"/>
  <c r="J387" i="6"/>
  <c r="J231" i="6"/>
  <c r="J247" i="6"/>
  <c r="J263" i="6"/>
  <c r="J279" i="6"/>
  <c r="J295" i="6"/>
  <c r="J311" i="6"/>
  <c r="J327" i="6"/>
  <c r="J343" i="6"/>
  <c r="J359" i="6"/>
  <c r="J375" i="6"/>
  <c r="D8" i="1" l="1"/>
  <c r="H19" i="1" s="1"/>
  <c r="D15" i="1"/>
  <c r="D16" i="1"/>
  <c r="D14" i="1"/>
  <c r="D11" i="1"/>
  <c r="E5" i="1"/>
  <c r="F19" i="1" s="1"/>
  <c r="F5" i="1"/>
  <c r="D8" i="2"/>
  <c r="D11" i="2"/>
  <c r="H20" i="1" l="1"/>
  <c r="H21" i="1"/>
  <c r="F8" i="1"/>
  <c r="H35" i="1"/>
  <c r="H36" i="1"/>
  <c r="H37" i="1"/>
  <c r="H38" i="1"/>
  <c r="J37" i="1"/>
  <c r="J33" i="1"/>
  <c r="J29" i="1"/>
  <c r="J25" i="1"/>
  <c r="F38" i="1"/>
  <c r="F34" i="1"/>
  <c r="F30" i="1"/>
  <c r="F26" i="1"/>
  <c r="J38" i="1"/>
  <c r="J26" i="1"/>
  <c r="F35" i="1"/>
  <c r="F27" i="1"/>
  <c r="J36" i="1"/>
  <c r="J32" i="1"/>
  <c r="J28" i="1"/>
  <c r="J24" i="1"/>
  <c r="F37" i="1"/>
  <c r="F33" i="1"/>
  <c r="F29" i="1"/>
  <c r="F25" i="1"/>
  <c r="J35" i="1"/>
  <c r="J31" i="1"/>
  <c r="J27" i="1"/>
  <c r="J23" i="1"/>
  <c r="F36" i="1"/>
  <c r="F32" i="1"/>
  <c r="F28" i="1"/>
  <c r="F24" i="1"/>
  <c r="J34" i="1"/>
  <c r="J30" i="1"/>
  <c r="F31" i="1"/>
  <c r="F23" i="1"/>
  <c r="H34" i="1"/>
  <c r="H33" i="1"/>
  <c r="J19" i="1"/>
  <c r="B20" i="1"/>
  <c r="F21" i="1"/>
  <c r="J21" i="1"/>
  <c r="F20" i="1"/>
  <c r="B21" i="1"/>
  <c r="J20" i="1"/>
  <c r="J40" i="1"/>
  <c r="J22" i="1"/>
  <c r="F22" i="1"/>
  <c r="D9" i="1"/>
  <c r="D10" i="1" s="1"/>
  <c r="D12" i="1"/>
  <c r="B12" i="1" s="1"/>
  <c r="B5" i="2"/>
  <c r="D5" i="2" s="1"/>
  <c r="A11" i="2"/>
  <c r="A9" i="2"/>
  <c r="A8" i="2"/>
  <c r="A41" i="1"/>
  <c r="J44" i="1" s="1"/>
  <c r="A40" i="1"/>
  <c r="A9" i="1"/>
  <c r="A11" i="1"/>
  <c r="A45" i="1"/>
  <c r="A42" i="1"/>
  <c r="A10" i="1"/>
  <c r="A19" i="1"/>
  <c r="A20" i="1"/>
  <c r="A22" i="1"/>
  <c r="A23" i="1"/>
  <c r="A24" i="1"/>
  <c r="A25" i="1"/>
  <c r="A26" i="1"/>
  <c r="A27" i="1"/>
  <c r="A28" i="1"/>
  <c r="A29" i="1"/>
  <c r="A30" i="1"/>
  <c r="A31" i="1"/>
  <c r="A32" i="1"/>
  <c r="A14" i="1"/>
  <c r="A8" i="1"/>
  <c r="A12" i="1"/>
  <c r="A16" i="1"/>
  <c r="A15" i="1"/>
  <c r="J42" i="1" l="1"/>
  <c r="B13" i="1"/>
  <c r="F5" i="2"/>
  <c r="E5" i="2"/>
  <c r="F10" i="2" s="1"/>
  <c r="J41" i="1"/>
  <c r="F14" i="1"/>
  <c r="F8" i="2" l="1"/>
  <c r="F9" i="2"/>
  <c r="F11" i="2"/>
  <c r="L6" i="2"/>
  <c r="P6" i="2"/>
  <c r="T6" i="2"/>
  <c r="X6" i="2"/>
  <c r="AB6" i="2"/>
  <c r="AF6" i="2"/>
  <c r="AJ6" i="2"/>
  <c r="I6" i="2"/>
  <c r="M6" i="2"/>
  <c r="Q6" i="2"/>
  <c r="U6" i="2"/>
  <c r="Y6" i="2"/>
  <c r="AC6" i="2"/>
  <c r="AG6" i="2"/>
  <c r="AK6" i="2"/>
  <c r="J6" i="2"/>
  <c r="R6" i="2"/>
  <c r="Z6" i="2"/>
  <c r="AH6" i="2"/>
  <c r="H6" i="2"/>
  <c r="K6" i="2"/>
  <c r="O6" i="2"/>
  <c r="S6" i="2"/>
  <c r="W6" i="2"/>
  <c r="AA6" i="2"/>
  <c r="AE6" i="2"/>
  <c r="AI6" i="2"/>
  <c r="AM6" i="2"/>
  <c r="G6" i="2"/>
  <c r="N6" i="2"/>
  <c r="V6" i="2"/>
  <c r="AD6" i="2"/>
  <c r="AL6" i="2"/>
  <c r="H32" i="1"/>
  <c r="H31" i="1"/>
  <c r="H30" i="1"/>
  <c r="H27" i="1"/>
  <c r="H23" i="1"/>
  <c r="H26" i="1"/>
  <c r="H22" i="1"/>
  <c r="H29" i="1"/>
  <c r="H25" i="1"/>
  <c r="H28" i="1"/>
  <c r="H24" i="1"/>
  <c r="H40" i="1" l="1"/>
  <c r="H42" i="1" s="1"/>
  <c r="H43" i="1" s="1"/>
  <c r="AD7" i="2"/>
  <c r="AD10" i="2"/>
  <c r="W7" i="2"/>
  <c r="W10" i="2"/>
  <c r="J7" i="2"/>
  <c r="J10" i="2"/>
  <c r="I7" i="2"/>
  <c r="I10" i="2"/>
  <c r="V7" i="2"/>
  <c r="V10" i="2"/>
  <c r="S7" i="2"/>
  <c r="S10" i="2"/>
  <c r="AK7" i="2"/>
  <c r="AK10" i="2"/>
  <c r="U7" i="2"/>
  <c r="U10" i="2"/>
  <c r="AJ7" i="2"/>
  <c r="AJ10" i="2"/>
  <c r="T7" i="2"/>
  <c r="T10" i="2"/>
  <c r="N7" i="2"/>
  <c r="N10" i="2"/>
  <c r="AE7" i="2"/>
  <c r="AE10" i="2"/>
  <c r="O7" i="2"/>
  <c r="O10" i="2"/>
  <c r="Z7" i="2"/>
  <c r="Z10" i="2"/>
  <c r="AG7" i="2"/>
  <c r="AG10" i="2"/>
  <c r="Q7" i="2"/>
  <c r="Q10" i="2"/>
  <c r="AF7" i="2"/>
  <c r="AF10" i="2"/>
  <c r="P7" i="2"/>
  <c r="P10" i="2"/>
  <c r="AM7" i="2"/>
  <c r="AM10" i="2"/>
  <c r="H7" i="2"/>
  <c r="H10" i="2"/>
  <c r="Y7" i="2"/>
  <c r="Y10" i="2"/>
  <c r="X7" i="2"/>
  <c r="X10" i="2"/>
  <c r="AI7" i="2"/>
  <c r="AI10" i="2"/>
  <c r="AH7" i="2"/>
  <c r="AH10" i="2"/>
  <c r="AL7" i="2"/>
  <c r="AL10" i="2"/>
  <c r="G7" i="2"/>
  <c r="G10" i="2"/>
  <c r="AA7" i="2"/>
  <c r="AA10" i="2"/>
  <c r="K7" i="2"/>
  <c r="K10" i="2"/>
  <c r="R7" i="2"/>
  <c r="R10" i="2"/>
  <c r="AC7" i="2"/>
  <c r="AC10" i="2"/>
  <c r="M7" i="2"/>
  <c r="M10" i="2"/>
  <c r="AB7" i="2"/>
  <c r="AB10" i="2"/>
  <c r="L7" i="2"/>
  <c r="L10" i="2"/>
  <c r="D10" i="2" l="1"/>
  <c r="H41" i="1"/>
  <c r="H44" i="1" s="1"/>
  <c r="H45" i="1" s="1"/>
</calcChain>
</file>

<file path=xl/comments1.xml><?xml version="1.0" encoding="utf-8"?>
<comments xmlns="http://schemas.openxmlformats.org/spreadsheetml/2006/main">
  <authors>
    <author>Indre Planciunaite</author>
  </authors>
  <commentList>
    <comment ref="I4" authorId="0">
      <text>
        <r>
          <rPr>
            <sz val="9"/>
            <color indexed="81"/>
            <rFont val="Tahoma"/>
            <family val="2"/>
          </rPr>
          <t xml:space="preserve">As per 2018/19 settlement key information table, tab 19/20, pilots set to 0, except GLA
</t>
        </r>
      </text>
    </comment>
  </commentList>
</comments>
</file>

<file path=xl/comments2.xml><?xml version="1.0" encoding="utf-8"?>
<comments xmlns="http://schemas.openxmlformats.org/spreadsheetml/2006/main">
  <authors>
    <author>Indre Planciunaite</author>
  </authors>
  <commentList>
    <comment ref="E2" authorId="0">
      <text>
        <r>
          <rPr>
            <b/>
            <sz val="9"/>
            <color indexed="81"/>
            <rFont val="Tahoma"/>
            <family val="2"/>
          </rPr>
          <t>Indre Planciunaite:</t>
        </r>
        <r>
          <rPr>
            <sz val="9"/>
            <color indexed="81"/>
            <rFont val="Tahoma"/>
            <family val="2"/>
          </rPr>
          <t xml:space="preserve">
Dorset and Wiltshire updated  E6162 = E6161 + E6139</t>
        </r>
      </text>
    </comment>
  </commentList>
</comments>
</file>

<file path=xl/sharedStrings.xml><?xml version="1.0" encoding="utf-8"?>
<sst xmlns="http://schemas.openxmlformats.org/spreadsheetml/2006/main" count="6971" uniqueCount="1350">
  <si>
    <t>Please select a local authority from the green drop-down menu</t>
  </si>
  <si>
    <t>Derbyshire Business Rates Pool</t>
  </si>
  <si>
    <t>£ where applicable</t>
  </si>
  <si>
    <t>Local authority tier split</t>
  </si>
  <si>
    <t>Safety Net Threshold</t>
  </si>
  <si>
    <t>Levy rate</t>
  </si>
  <si>
    <t xml:space="preserve">Total provision for backdated losses on appeal </t>
  </si>
  <si>
    <t>Chosen to spread the cost of provision for backdated appeals via adjustment to Surplus/Deficit?</t>
  </si>
  <si>
    <t>Chosen to spread the cost of provision for backdated appeals via capital financing regs</t>
  </si>
  <si>
    <t>£</t>
  </si>
  <si>
    <t>Calculations</t>
  </si>
  <si>
    <t>Local authority share of total non-domestic rating income</t>
  </si>
  <si>
    <r>
      <t xml:space="preserve">Local authority share of </t>
    </r>
    <r>
      <rPr>
        <b/>
        <sz val="10"/>
        <rFont val="Arial"/>
        <family val="2"/>
      </rPr>
      <t>Small Business Rate Relief</t>
    </r>
    <r>
      <rPr>
        <sz val="10"/>
        <rFont val="Arial"/>
        <family val="2"/>
      </rPr>
      <t xml:space="preserve"> to be compensated by S31 grant</t>
    </r>
  </si>
  <si>
    <r>
      <t xml:space="preserve">Local authority share of </t>
    </r>
    <r>
      <rPr>
        <b/>
        <sz val="10"/>
        <rFont val="Arial"/>
        <family val="2"/>
      </rPr>
      <t>relief to other ratepayers</t>
    </r>
  </si>
  <si>
    <r>
      <t xml:space="preserve">Local authority share of relief to </t>
    </r>
    <r>
      <rPr>
        <b/>
        <sz val="10"/>
        <rFont val="Arial"/>
        <family val="2"/>
      </rPr>
      <t>Case B hereditaments</t>
    </r>
  </si>
  <si>
    <r>
      <t>Local authority share of</t>
    </r>
    <r>
      <rPr>
        <b/>
        <sz val="10"/>
        <rFont val="Arial"/>
        <family val="2"/>
      </rPr>
      <t xml:space="preserve"> relief to new empty properties</t>
    </r>
  </si>
  <si>
    <r>
      <t xml:space="preserve">Local authority share of </t>
    </r>
    <r>
      <rPr>
        <b/>
        <sz val="10"/>
        <rFont val="Arial"/>
        <family val="2"/>
      </rPr>
      <t>adjustments to relief to new empty properties</t>
    </r>
    <r>
      <rPr>
        <b/>
        <vertAlign val="superscript"/>
        <sz val="10"/>
        <rFont val="Arial"/>
        <family val="2"/>
      </rPr>
      <t>1</t>
    </r>
  </si>
  <si>
    <r>
      <t>Local authority share of</t>
    </r>
    <r>
      <rPr>
        <b/>
        <sz val="10"/>
        <rFont val="Arial"/>
        <family val="2"/>
      </rPr>
      <t xml:space="preserve"> relief to long term empty properties</t>
    </r>
  </si>
  <si>
    <r>
      <t xml:space="preserve">Local authority share of </t>
    </r>
    <r>
      <rPr>
        <b/>
        <sz val="10"/>
        <rFont val="Arial"/>
        <family val="2"/>
      </rPr>
      <t>flooding relief</t>
    </r>
  </si>
  <si>
    <r>
      <t xml:space="preserve">Local authority share of </t>
    </r>
    <r>
      <rPr>
        <b/>
        <sz val="10"/>
        <rFont val="Arial"/>
        <family val="2"/>
      </rPr>
      <t>adjustments to</t>
    </r>
    <r>
      <rPr>
        <sz val="10"/>
        <rFont val="Arial"/>
        <family val="2"/>
      </rPr>
      <t xml:space="preserve"> </t>
    </r>
    <r>
      <rPr>
        <b/>
        <sz val="10"/>
        <rFont val="Arial"/>
        <family val="2"/>
      </rPr>
      <t>flooding relief</t>
    </r>
    <r>
      <rPr>
        <b/>
        <vertAlign val="superscript"/>
        <sz val="10"/>
        <rFont val="Arial"/>
        <family val="2"/>
      </rPr>
      <t>1</t>
    </r>
  </si>
  <si>
    <t>Retained income as a proportion of baseline funding level</t>
  </si>
  <si>
    <r>
      <t>Total safety net due to the authority</t>
    </r>
    <r>
      <rPr>
        <b/>
        <vertAlign val="superscript"/>
        <sz val="10"/>
        <rFont val="Arial"/>
        <family val="2"/>
      </rPr>
      <t>2</t>
    </r>
  </si>
  <si>
    <r>
      <t>Total levy due from the authority</t>
    </r>
    <r>
      <rPr>
        <b/>
        <vertAlign val="superscript"/>
        <sz val="10"/>
        <rFont val="Arial"/>
        <family val="2"/>
      </rPr>
      <t>2</t>
    </r>
  </si>
  <si>
    <r>
      <rPr>
        <vertAlign val="superscript"/>
        <sz val="10"/>
        <rFont val="Arial"/>
        <family val="2"/>
      </rPr>
      <t>2</t>
    </r>
    <r>
      <rPr>
        <sz val="10"/>
        <rFont val="Arial"/>
        <family val="2"/>
      </rPr>
      <t xml:space="preserve">Local authorities in pools will not be required to make or receive the levy and safety net payments as stated above. This is because the lead pool authority will make or receive all levy and safety net payments on behalf of its pool members. This will be calculated based on the aggregate pool position. </t>
    </r>
  </si>
  <si>
    <t>No.</t>
  </si>
  <si>
    <t>Local Authority</t>
  </si>
  <si>
    <t>Ecodes</t>
  </si>
  <si>
    <t>Upper tier ecode</t>
  </si>
  <si>
    <t>Fire authority ecode</t>
  </si>
  <si>
    <t>Billing authority or preceptor</t>
  </si>
  <si>
    <t>Chosen to spread via adjustment to S/D?</t>
  </si>
  <si>
    <t>Chosen to spread via capital financing regs</t>
  </si>
  <si>
    <t>Provision for backdated losses on appeal, total</t>
  </si>
  <si>
    <t>Adur</t>
  </si>
  <si>
    <t>E3831</t>
  </si>
  <si>
    <t>E3820</t>
  </si>
  <si>
    <t>NA</t>
  </si>
  <si>
    <t>West Sussex Business Rates Pool</t>
  </si>
  <si>
    <t>Allerdale</t>
  </si>
  <si>
    <t>E0931</t>
  </si>
  <si>
    <t>E0920</t>
  </si>
  <si>
    <t>Cumbria Business Rates Pool</t>
  </si>
  <si>
    <t>Amber Valley</t>
  </si>
  <si>
    <t>E1031</t>
  </si>
  <si>
    <t>E1021</t>
  </si>
  <si>
    <t>E6110</t>
  </si>
  <si>
    <t>Arun</t>
  </si>
  <si>
    <t>E3832</t>
  </si>
  <si>
    <t>Ashfield</t>
  </si>
  <si>
    <t>E3031</t>
  </si>
  <si>
    <t>E3021</t>
  </si>
  <si>
    <t>E6130</t>
  </si>
  <si>
    <t>Ashford</t>
  </si>
  <si>
    <t>E2231</t>
  </si>
  <si>
    <t>E2221</t>
  </si>
  <si>
    <t>E6122</t>
  </si>
  <si>
    <t>Kent Business Rates Pool</t>
  </si>
  <si>
    <t>Aylesbury Vale</t>
  </si>
  <si>
    <t>E0431</t>
  </si>
  <si>
    <t>E0421</t>
  </si>
  <si>
    <t>E6104</t>
  </si>
  <si>
    <t/>
  </si>
  <si>
    <t>Babergh</t>
  </si>
  <si>
    <t>E3531</t>
  </si>
  <si>
    <t>E3520</t>
  </si>
  <si>
    <t>Suffolk Business Rates Pool</t>
  </si>
  <si>
    <t>Barking and Dagenham</t>
  </si>
  <si>
    <t>E5030</t>
  </si>
  <si>
    <t>E5100</t>
  </si>
  <si>
    <t>East London / South Essex Business Rates Pool</t>
  </si>
  <si>
    <t>Barnet</t>
  </si>
  <si>
    <t>E5031</t>
  </si>
  <si>
    <t>Barnsley</t>
  </si>
  <si>
    <t>E4401</t>
  </si>
  <si>
    <t>E6144</t>
  </si>
  <si>
    <t>Barrow-in-Furness</t>
  </si>
  <si>
    <t>E0932</t>
  </si>
  <si>
    <t>Basildon</t>
  </si>
  <si>
    <t>E1531</t>
  </si>
  <si>
    <t>E1521</t>
  </si>
  <si>
    <t>E6115</t>
  </si>
  <si>
    <t>Basingstoke &amp; Deane</t>
  </si>
  <si>
    <t>E1731</t>
  </si>
  <si>
    <t>E1721</t>
  </si>
  <si>
    <t>E6117</t>
  </si>
  <si>
    <t>Bassetlaw</t>
  </si>
  <si>
    <t>E3032</t>
  </si>
  <si>
    <t>Bath &amp; North East Somerset</t>
  </si>
  <si>
    <t>E0101</t>
  </si>
  <si>
    <t>E6101</t>
  </si>
  <si>
    <t>Somerset Business Rates Pool</t>
  </si>
  <si>
    <t>Bedford UA</t>
  </si>
  <si>
    <t>E0202</t>
  </si>
  <si>
    <t>E6102</t>
  </si>
  <si>
    <t>Bexley</t>
  </si>
  <si>
    <t>E5032</t>
  </si>
  <si>
    <t>Birmingham</t>
  </si>
  <si>
    <t>E4601</t>
  </si>
  <si>
    <t>E6146</t>
  </si>
  <si>
    <t>Blaby</t>
  </si>
  <si>
    <t>E2431</t>
  </si>
  <si>
    <t>E2421</t>
  </si>
  <si>
    <t>E6124</t>
  </si>
  <si>
    <t>Leicestershire Business Rates Pool</t>
  </si>
  <si>
    <t>Blackburn with Darwen</t>
  </si>
  <si>
    <t>E2301</t>
  </si>
  <si>
    <t>E6123</t>
  </si>
  <si>
    <t>Blackpool</t>
  </si>
  <si>
    <t>E2302</t>
  </si>
  <si>
    <t>Bolsover</t>
  </si>
  <si>
    <t>E1032</t>
  </si>
  <si>
    <t>Bolton</t>
  </si>
  <si>
    <t>E4201</t>
  </si>
  <si>
    <t>E6142</t>
  </si>
  <si>
    <t>Boston</t>
  </si>
  <si>
    <t>E2531</t>
  </si>
  <si>
    <t>E2520</t>
  </si>
  <si>
    <t>Lincolnshire Business Rates Pool</t>
  </si>
  <si>
    <t>Bournemouth</t>
  </si>
  <si>
    <t>E1202</t>
  </si>
  <si>
    <t>Bracknell Forest</t>
  </si>
  <si>
    <t>E0301</t>
  </si>
  <si>
    <t>E6103</t>
  </si>
  <si>
    <t>Bradford</t>
  </si>
  <si>
    <t>E4701</t>
  </si>
  <si>
    <t>E6147</t>
  </si>
  <si>
    <t>Leeds City Region Business Rates Pool</t>
  </si>
  <si>
    <t>Braintree</t>
  </si>
  <si>
    <t>E1532</t>
  </si>
  <si>
    <t>Essex Business Rates Pool</t>
  </si>
  <si>
    <t>Breckland</t>
  </si>
  <si>
    <t>E2631</t>
  </si>
  <si>
    <t>E2620</t>
  </si>
  <si>
    <t>Norfolk Business Rates Pool</t>
  </si>
  <si>
    <t>Brent</t>
  </si>
  <si>
    <t>E5033</t>
  </si>
  <si>
    <t>Brentwood</t>
  </si>
  <si>
    <t>E1533</t>
  </si>
  <si>
    <t>Brighton &amp; Hove</t>
  </si>
  <si>
    <t>E1401</t>
  </si>
  <si>
    <t>E6114</t>
  </si>
  <si>
    <t>Bristol</t>
  </si>
  <si>
    <t>E0102</t>
  </si>
  <si>
    <t>Broadland</t>
  </si>
  <si>
    <t>E2632</t>
  </si>
  <si>
    <t>Bromley</t>
  </si>
  <si>
    <t>E5034</t>
  </si>
  <si>
    <t>Bromsgrove</t>
  </si>
  <si>
    <t>E1831</t>
  </si>
  <si>
    <t>E1821</t>
  </si>
  <si>
    <t>E6118</t>
  </si>
  <si>
    <t>Broxbourne</t>
  </si>
  <si>
    <t>E1931</t>
  </si>
  <si>
    <t>E1920</t>
  </si>
  <si>
    <t>Broxtowe</t>
  </si>
  <si>
    <t>E3033</t>
  </si>
  <si>
    <t>Burnley</t>
  </si>
  <si>
    <t>E2333</t>
  </si>
  <si>
    <t>E2321</t>
  </si>
  <si>
    <t>Bury</t>
  </si>
  <si>
    <t>E4202</t>
  </si>
  <si>
    <t>Calderdale</t>
  </si>
  <si>
    <t>E4702</t>
  </si>
  <si>
    <t>Cambridge</t>
  </si>
  <si>
    <t>E0531</t>
  </si>
  <si>
    <t>E0521</t>
  </si>
  <si>
    <t>E6105</t>
  </si>
  <si>
    <t>Camden</t>
  </si>
  <si>
    <t>E5011</t>
  </si>
  <si>
    <t>Cannock Chase</t>
  </si>
  <si>
    <t>E3431</t>
  </si>
  <si>
    <t>E3421</t>
  </si>
  <si>
    <t>E6134</t>
  </si>
  <si>
    <t>Canterbury</t>
  </si>
  <si>
    <t>E2232</t>
  </si>
  <si>
    <t>Carlisle</t>
  </si>
  <si>
    <t>E0933</t>
  </si>
  <si>
    <t>Castle Point</t>
  </si>
  <si>
    <t>E1534</t>
  </si>
  <si>
    <t>Central Bedfordshire UA</t>
  </si>
  <si>
    <t>E0203</t>
  </si>
  <si>
    <t>Charnwood</t>
  </si>
  <si>
    <t>E2432</t>
  </si>
  <si>
    <t>Chelmsford</t>
  </si>
  <si>
    <t>E1535</t>
  </si>
  <si>
    <t>Cheltenham</t>
  </si>
  <si>
    <t>E1631</t>
  </si>
  <si>
    <t>E1620</t>
  </si>
  <si>
    <t>Gloucestershire Business Rates Pool</t>
  </si>
  <si>
    <t>Cherwell</t>
  </si>
  <si>
    <t>E3131</t>
  </si>
  <si>
    <t>E3120</t>
  </si>
  <si>
    <t>Cheshire East UA</t>
  </si>
  <si>
    <t>E0603</t>
  </si>
  <si>
    <t>E6106</t>
  </si>
  <si>
    <t>E0604</t>
  </si>
  <si>
    <t>Chesterfield</t>
  </si>
  <si>
    <t>E1033</t>
  </si>
  <si>
    <t>Chichester</t>
  </si>
  <si>
    <t>E3833</t>
  </si>
  <si>
    <t>Chiltern</t>
  </si>
  <si>
    <t>E0432</t>
  </si>
  <si>
    <t>Chorley</t>
  </si>
  <si>
    <t>E2334</t>
  </si>
  <si>
    <t>Christchurch</t>
  </si>
  <si>
    <t>E1232</t>
  </si>
  <si>
    <t>E1221</t>
  </si>
  <si>
    <t>City of London</t>
  </si>
  <si>
    <t>E5010</t>
  </si>
  <si>
    <t>Colchester</t>
  </si>
  <si>
    <t>E1536</t>
  </si>
  <si>
    <t>Copeland</t>
  </si>
  <si>
    <t>E0934</t>
  </si>
  <si>
    <t>Corby</t>
  </si>
  <si>
    <t>E2831</t>
  </si>
  <si>
    <t>E2820</t>
  </si>
  <si>
    <t>Northamptonshire Business Rates Pool</t>
  </si>
  <si>
    <t>Cornwall UA</t>
  </si>
  <si>
    <t>E0801</t>
  </si>
  <si>
    <t>Cotswold</t>
  </si>
  <si>
    <t>E1632</t>
  </si>
  <si>
    <t>Coventry</t>
  </si>
  <si>
    <t>E4602</t>
  </si>
  <si>
    <t>Coventry &amp; Warwickshire Business Rates Pool</t>
  </si>
  <si>
    <t>Craven</t>
  </si>
  <si>
    <t>E2731</t>
  </si>
  <si>
    <t>E2721</t>
  </si>
  <si>
    <t>E6127</t>
  </si>
  <si>
    <t>North Yorkshire</t>
  </si>
  <si>
    <t>Crawley</t>
  </si>
  <si>
    <t>E3834</t>
  </si>
  <si>
    <t>Croydon</t>
  </si>
  <si>
    <t>E5035</t>
  </si>
  <si>
    <t>Dacorum</t>
  </si>
  <si>
    <t>E1932</t>
  </si>
  <si>
    <t>Darlington</t>
  </si>
  <si>
    <t>E1301</t>
  </si>
  <si>
    <t>E6113</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</si>
  <si>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</si>
  <si>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</si>
  <si>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</si>
  <si>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</si>
  <si>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</si>
  <si>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</si>
  <si>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</si>
  <si>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</si>
  <si>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</si>
  <si>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</si>
  <si>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</si>
  <si>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</si>
  <si>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</si>
  <si>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</si>
  <si>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</si>
  <si>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</si>
  <si>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</si>
  <si>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</si>
  <si>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</si>
  <si>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</si>
  <si>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</si>
  <si>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</si>
  <si>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E1121</t>
  </si>
  <si>
    <t>E6161</t>
  </si>
  <si>
    <t>Devon Business Rates Pool</t>
  </si>
  <si>
    <t>East Dorset</t>
  </si>
  <si>
    <t>E1233</t>
  </si>
  <si>
    <t>East Hampshire</t>
  </si>
  <si>
    <t>E1732</t>
  </si>
  <si>
    <t>East Hertfordshire</t>
  </si>
  <si>
    <t>E1933</t>
  </si>
  <si>
    <t>East Lindsey</t>
  </si>
  <si>
    <t>E2532</t>
  </si>
  <si>
    <t>East Northamptonshire</t>
  </si>
  <si>
    <t>E2833</t>
  </si>
  <si>
    <t>East Riding of Yorkshire</t>
  </si>
  <si>
    <t>E2001</t>
  </si>
  <si>
    <t>E6120</t>
  </si>
  <si>
    <t>East Staffordshire</t>
  </si>
  <si>
    <t>E3432</t>
  </si>
  <si>
    <t>Eastbourne</t>
  </si>
  <si>
    <t>E1432</t>
  </si>
  <si>
    <t>E1421</t>
  </si>
  <si>
    <t>Eastleigh</t>
  </si>
  <si>
    <t>E1733</t>
  </si>
  <si>
    <t>Eden</t>
  </si>
  <si>
    <t>E0935</t>
  </si>
  <si>
    <t>Elmbridge</t>
  </si>
  <si>
    <t>E3631</t>
  </si>
  <si>
    <t>E3620</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</si>
  <si>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</si>
  <si>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</si>
  <si>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</si>
  <si>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</si>
  <si>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</si>
  <si>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</si>
  <si>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</si>
  <si>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</si>
  <si>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</si>
  <si>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</si>
  <si>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</si>
  <si>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</si>
  <si>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</si>
  <si>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</si>
  <si>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</si>
  <si>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</si>
  <si>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</si>
  <si>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</si>
  <si>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</si>
  <si>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</si>
  <si>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</si>
  <si>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</si>
  <si>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E6145</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</si>
  <si>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</si>
  <si>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</si>
  <si>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</si>
  <si>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</si>
  <si>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</si>
  <si>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</si>
  <si>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</si>
  <si>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</si>
  <si>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</si>
  <si>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</si>
  <si>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</si>
  <si>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</si>
  <si>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</si>
  <si>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</si>
  <si>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</si>
  <si>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</si>
  <si>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</si>
  <si>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</si>
  <si>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</si>
  <si>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</si>
  <si>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</si>
  <si>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</si>
  <si>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</si>
  <si>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</si>
  <si>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</si>
  <si>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</si>
  <si>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</si>
  <si>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</si>
  <si>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</si>
  <si>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</si>
  <si>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</si>
  <si>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</si>
  <si>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</si>
  <si>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</si>
  <si>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</si>
  <si>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</si>
  <si>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E6107</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</si>
  <si>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</si>
  <si>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</si>
  <si>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</si>
  <si>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</si>
  <si>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</si>
  <si>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</si>
  <si>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</si>
  <si>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</si>
  <si>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</si>
  <si>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</si>
  <si>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</si>
  <si>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</si>
  <si>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</si>
  <si>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</si>
  <si>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</si>
  <si>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</si>
  <si>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</si>
  <si>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</si>
  <si>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</si>
  <si>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</si>
  <si>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</si>
  <si>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</si>
  <si>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</si>
  <si>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</si>
  <si>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</si>
  <si>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</si>
  <si>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</si>
  <si>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</si>
  <si>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</si>
  <si>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</si>
  <si>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</si>
  <si>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</si>
  <si>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</si>
  <si>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</si>
  <si>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</si>
  <si>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</si>
  <si>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</si>
  <si>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</si>
  <si>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</si>
  <si>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</si>
  <si>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</si>
  <si>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</si>
  <si>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</si>
  <si>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</si>
  <si>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</si>
  <si>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</si>
  <si>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E6143</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</si>
  <si>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</si>
  <si>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</si>
  <si>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</si>
  <si>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</si>
  <si>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</si>
  <si>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</si>
  <si>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</si>
  <si>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</si>
  <si>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</si>
  <si>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</si>
  <si>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</si>
  <si>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</si>
  <si>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</si>
  <si>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</si>
  <si>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</si>
  <si>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</si>
  <si>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</si>
  <si>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</si>
  <si>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</si>
  <si>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</si>
  <si>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</si>
  <si>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</si>
  <si>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</si>
  <si>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</si>
  <si>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</si>
  <si>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</si>
  <si>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Worcestershire Business Rates Pool</t>
  </si>
  <si>
    <t>Manchester</t>
  </si>
  <si>
    <t>E4203</t>
  </si>
  <si>
    <t>Mansfield</t>
  </si>
  <si>
    <t>E3035</t>
  </si>
  <si>
    <t>Medway</t>
  </si>
  <si>
    <t>E2201</t>
  </si>
  <si>
    <t>Melton</t>
  </si>
  <si>
    <t>E2436</t>
  </si>
  <si>
    <t>Mendip</t>
  </si>
  <si>
    <t>E3331</t>
  </si>
  <si>
    <t>E3320</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</si>
  <si>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</si>
  <si>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</si>
  <si>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</si>
  <si>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</si>
  <si>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</si>
  <si>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</si>
  <si>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</si>
  <si>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</si>
  <si>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</si>
  <si>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</si>
  <si>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</si>
  <si>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</si>
  <si>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</si>
  <si>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</si>
  <si>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</si>
  <si>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</si>
  <si>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</si>
  <si>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</si>
  <si>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</si>
  <si>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</si>
  <si>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</si>
  <si>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Staffordshire &amp; Stoke on Trent Business Rates Pool</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</si>
  <si>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</si>
  <si>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</si>
  <si>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</si>
  <si>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</si>
  <si>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</si>
  <si>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</si>
  <si>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</si>
  <si>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</si>
  <si>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</si>
  <si>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</si>
  <si>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</si>
  <si>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</si>
  <si>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</si>
  <si>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</si>
  <si>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</si>
  <si>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</si>
  <si>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</si>
  <si>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</si>
  <si>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</si>
  <si>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</si>
  <si>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</si>
  <si>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</si>
  <si>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</si>
  <si>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</si>
  <si>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E3720</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</si>
  <si>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</si>
  <si>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</si>
  <si>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</si>
  <si>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</si>
  <si>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</si>
  <si>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</si>
  <si>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</si>
  <si>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</si>
  <si>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</si>
  <si>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</si>
  <si>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</si>
  <si>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</si>
  <si>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</si>
  <si>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</si>
  <si>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</si>
  <si>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</si>
  <si>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</si>
  <si>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</si>
  <si>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</si>
  <si>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</si>
  <si>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</si>
  <si>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</si>
  <si>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</si>
  <si>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</si>
  <si>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</si>
  <si>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</si>
  <si>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</si>
  <si>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</si>
  <si>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</si>
  <si>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</si>
  <si>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</si>
  <si>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</si>
  <si>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</si>
  <si>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</si>
  <si>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</si>
  <si>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</si>
  <si>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</si>
  <si>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</si>
  <si>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</si>
  <si>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</si>
  <si>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</si>
  <si>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</si>
  <si>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</si>
  <si>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</si>
  <si>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</si>
  <si>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</si>
  <si>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</si>
  <si>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</si>
  <si>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</si>
  <si>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</si>
  <si>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</si>
  <si>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</si>
  <si>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</si>
  <si>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</si>
  <si>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</si>
  <si>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</si>
  <si>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</si>
  <si>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</si>
  <si>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</si>
  <si>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</si>
  <si>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</si>
  <si>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</si>
  <si>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</si>
  <si>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</si>
  <si>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</si>
  <si>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</si>
  <si>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</si>
  <si>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</si>
  <si>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</si>
  <si>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</si>
  <si>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</si>
  <si>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</si>
  <si>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</si>
  <si>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</si>
  <si>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</si>
  <si>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</si>
  <si>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</si>
  <si>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</si>
  <si>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</si>
  <si>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</si>
  <si>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</si>
  <si>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</si>
  <si>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</si>
  <si>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</si>
  <si>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</si>
  <si>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</si>
  <si>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</si>
  <si>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</si>
  <si>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</si>
  <si>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</si>
  <si>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E6132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</si>
  <si>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</si>
  <si>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</si>
  <si>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</si>
  <si>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</si>
  <si>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</si>
  <si>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</si>
  <si>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</si>
  <si>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</si>
  <si>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</si>
  <si>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</si>
  <si>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</si>
  <si>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</si>
  <si>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</si>
  <si>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</si>
  <si>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</si>
  <si>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</si>
  <si>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</si>
  <si>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</si>
  <si>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</si>
  <si>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</si>
  <si>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</si>
  <si>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</si>
  <si>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</si>
  <si>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</si>
  <si>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</si>
  <si>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</si>
  <si>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</si>
  <si>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</si>
  <si>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</si>
  <si>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</si>
  <si>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</si>
  <si>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</si>
  <si>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</si>
  <si>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</si>
  <si>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</si>
  <si>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</si>
  <si>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</si>
  <si>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</si>
  <si>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</si>
  <si>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</si>
  <si>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</si>
  <si>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</si>
  <si>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</si>
  <si>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</si>
  <si>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</si>
  <si>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</si>
  <si>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</si>
  <si>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</si>
  <si>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</si>
  <si>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</si>
  <si>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</si>
  <si>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</si>
  <si>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</si>
  <si>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</si>
  <si>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</si>
  <si>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</si>
  <si>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</si>
  <si>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</si>
  <si>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</si>
  <si>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</si>
  <si>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</si>
  <si>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</si>
  <si>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</si>
  <si>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</si>
  <si>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</si>
  <si>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</si>
  <si>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</si>
  <si>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</si>
  <si>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</si>
  <si>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</si>
  <si>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</si>
  <si>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</si>
  <si>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</si>
  <si>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</si>
  <si>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</si>
  <si>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</si>
  <si>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</si>
  <si>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</si>
  <si>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</si>
  <si>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</si>
  <si>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</si>
  <si>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</si>
  <si>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</si>
  <si>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</si>
  <si>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</si>
  <si>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</si>
  <si>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</si>
  <si>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</si>
  <si>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</si>
  <si>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</si>
  <si>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</si>
  <si>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</si>
  <si>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</si>
  <si>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</si>
  <si>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</si>
  <si>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</si>
  <si>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</si>
  <si>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</si>
  <si>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</si>
  <si>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</si>
  <si>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</si>
  <si>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</si>
  <si>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</si>
  <si>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</si>
  <si>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</si>
  <si>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</si>
  <si>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</si>
  <si>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</si>
  <si>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</si>
  <si>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</si>
  <si>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</si>
  <si>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</si>
  <si>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</si>
  <si>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</si>
  <si>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</si>
  <si>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</si>
  <si>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</si>
  <si>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</si>
  <si>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</si>
  <si>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</si>
  <si>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</si>
  <si>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</si>
  <si>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</si>
  <si>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</si>
  <si>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</si>
  <si>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</si>
  <si>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</si>
  <si>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</si>
  <si>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</si>
  <si>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</si>
  <si>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</si>
  <si>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</si>
  <si>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</si>
  <si>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</si>
  <si>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</si>
  <si>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</si>
  <si>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</si>
  <si>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</si>
  <si>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</si>
  <si>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</si>
  <si>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</si>
  <si>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</si>
  <si>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</si>
  <si>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</si>
  <si>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</si>
  <si>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</si>
  <si>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</si>
  <si>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</si>
  <si>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</si>
  <si>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</si>
  <si>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</si>
  <si>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</si>
  <si>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</si>
  <si>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</si>
  <si>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</si>
  <si>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</si>
  <si>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</si>
  <si>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</si>
  <si>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</si>
  <si>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</si>
  <si>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</si>
  <si>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</si>
  <si>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</si>
  <si>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</si>
  <si>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</si>
  <si>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</si>
  <si>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</si>
  <si>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</si>
  <si>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</si>
  <si>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</si>
  <si>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</si>
  <si>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</si>
  <si>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</si>
  <si>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</si>
  <si>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</si>
  <si>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</si>
  <si>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</si>
  <si>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</si>
  <si>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</si>
  <si>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</si>
  <si>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</si>
  <si>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</si>
  <si>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</si>
  <si>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</si>
  <si>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</si>
  <si>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</si>
  <si>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</si>
  <si>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</si>
  <si>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Avon Fire</t>
  </si>
  <si>
    <t>F</t>
  </si>
  <si>
    <t>Bedfordshire Fire</t>
  </si>
  <si>
    <t>Berkshire Fire Authority</t>
  </si>
  <si>
    <t>Buckinghamshire Fire</t>
  </si>
  <si>
    <t>Cambridgeshire Fire</t>
  </si>
  <si>
    <t>Cheshire Fire</t>
  </si>
  <si>
    <t>Cleveland Fire</t>
  </si>
  <si>
    <t>Derbyshire Fire</t>
  </si>
  <si>
    <t>Devon and Somerset Fire</t>
  </si>
  <si>
    <t>Durham Fire</t>
  </si>
  <si>
    <t>East Sussex Fire</t>
  </si>
  <si>
    <t>Essex Fire Authority</t>
  </si>
  <si>
    <t>Hampshire Fire</t>
  </si>
  <si>
    <t>Hereford &amp; Worcester Fire</t>
  </si>
  <si>
    <t>Humberside Fire</t>
  </si>
  <si>
    <t>Kent Fire</t>
  </si>
  <si>
    <t>Lancashire Fire</t>
  </si>
  <si>
    <t>Leicestershire Fire</t>
  </si>
  <si>
    <t>North Yorkshire Fire</t>
  </si>
  <si>
    <t>Nottinghamshire Fire</t>
  </si>
  <si>
    <t>Shropshire Fire</t>
  </si>
  <si>
    <t>Staffordshire Fire</t>
  </si>
  <si>
    <t>Greater Manchester Fire</t>
  </si>
  <si>
    <t>Merseyside Fire</t>
  </si>
  <si>
    <t>South Yorkshire Fire</t>
  </si>
  <si>
    <t>Tyne and Wear Fire</t>
  </si>
  <si>
    <t>West Midlands Fire</t>
  </si>
  <si>
    <t>West Yorkshire Fire</t>
  </si>
  <si>
    <t>GLA - all functions</t>
  </si>
  <si>
    <t>P</t>
  </si>
  <si>
    <t>GLA</t>
  </si>
  <si>
    <t>Buckinghamshire</t>
  </si>
  <si>
    <t>Cambridgeshire</t>
  </si>
  <si>
    <t>Cumbria</t>
  </si>
  <si>
    <t>Derbyshire</t>
  </si>
  <si>
    <t>Devon</t>
  </si>
  <si>
    <t>Dorset</t>
  </si>
  <si>
    <t>East Sussex</t>
  </si>
  <si>
    <t>Essex</t>
  </si>
  <si>
    <t>Gloucestershire</t>
  </si>
  <si>
    <t>Hampshire</t>
  </si>
  <si>
    <t>Hertfordshire</t>
  </si>
  <si>
    <t>Kent</t>
  </si>
  <si>
    <t>Lancashire</t>
  </si>
  <si>
    <t>Leicestershire</t>
  </si>
  <si>
    <t>Lincolnshire</t>
  </si>
  <si>
    <t>Norfolk</t>
  </si>
  <si>
    <t>Northamptonshire</t>
  </si>
  <si>
    <t>Nottinghamshire</t>
  </si>
  <si>
    <t>Oxfordshire</t>
  </si>
  <si>
    <t>Somerset</t>
  </si>
  <si>
    <t>Staffordshire</t>
  </si>
  <si>
    <t>Suffolk</t>
  </si>
  <si>
    <t>Surrey</t>
  </si>
  <si>
    <t>Warwickshire</t>
  </si>
  <si>
    <t>West Sussex</t>
  </si>
  <si>
    <t>Worcestershire</t>
  </si>
  <si>
    <t>North Yorkshire Business Rates Pool</t>
  </si>
  <si>
    <t>When all the grey boxes are populated, please copy the green boxes into column D of the Calculator Sheet</t>
  </si>
  <si>
    <t xml:space="preserve">2017-18 safety net and levy calculator </t>
  </si>
  <si>
    <t>UNLOCK</t>
  </si>
  <si>
    <t>Key Information for Local Authorities in 2017-18</t>
  </si>
  <si>
    <t>ACCT</t>
  </si>
  <si>
    <t>Settlement Funding Assessment</t>
  </si>
  <si>
    <t>Revenue Support Grant</t>
  </si>
  <si>
    <t>Baseline Funding Level</t>
  </si>
  <si>
    <t>Tariff/Top-up</t>
  </si>
  <si>
    <t>TE</t>
  </si>
  <si>
    <t>TOTAL England</t>
  </si>
  <si>
    <t>R285</t>
  </si>
  <si>
    <t>No</t>
  </si>
  <si>
    <t>R46</t>
  </si>
  <si>
    <t>R52</t>
  </si>
  <si>
    <t>R286</t>
  </si>
  <si>
    <t>R229</t>
  </si>
  <si>
    <t>Nottingham Business Rates Pool</t>
  </si>
  <si>
    <t>R157</t>
  </si>
  <si>
    <t>Yes</t>
  </si>
  <si>
    <t>R950</t>
  </si>
  <si>
    <t>Avon Fire Authority</t>
  </si>
  <si>
    <t>R17</t>
  </si>
  <si>
    <t>Buckinghamshire Business Rates Pool</t>
  </si>
  <si>
    <t>R262</t>
  </si>
  <si>
    <t>R383</t>
  </si>
  <si>
    <t>R384</t>
  </si>
  <si>
    <t>R349</t>
  </si>
  <si>
    <t>R47</t>
  </si>
  <si>
    <t>R94</t>
  </si>
  <si>
    <t>R114</t>
  </si>
  <si>
    <t>Basingstoke and Deane</t>
  </si>
  <si>
    <t>R230</t>
  </si>
  <si>
    <t>R602</t>
  </si>
  <si>
    <t>R679</t>
  </si>
  <si>
    <t>Bedford</t>
  </si>
  <si>
    <t>R954</t>
  </si>
  <si>
    <t>Bedfordshire Fire Authority</t>
  </si>
  <si>
    <t>R964</t>
  </si>
  <si>
    <t>R385</t>
  </si>
  <si>
    <t>R358</t>
  </si>
  <si>
    <t>Greater Birmingham &amp; Solihull Business Rates Pool</t>
  </si>
  <si>
    <t>R185</t>
  </si>
  <si>
    <t>R659</t>
  </si>
  <si>
    <t>R660</t>
  </si>
  <si>
    <t>R53</t>
  </si>
  <si>
    <t>R334</t>
  </si>
  <si>
    <t>Greater Manchester &amp; Cheshire Business Rates Pool</t>
  </si>
  <si>
    <t>R194</t>
  </si>
  <si>
    <t>R622</t>
  </si>
  <si>
    <t>E6162</t>
  </si>
  <si>
    <t>R642</t>
  </si>
  <si>
    <t>R365</t>
  </si>
  <si>
    <t>R95</t>
  </si>
  <si>
    <t>R201</t>
  </si>
  <si>
    <t>R386</t>
  </si>
  <si>
    <t>R96</t>
  </si>
  <si>
    <t>R625</t>
  </si>
  <si>
    <t>R603</t>
  </si>
  <si>
    <t>R202</t>
  </si>
  <si>
    <t>R387</t>
  </si>
  <si>
    <t>R127</t>
  </si>
  <si>
    <t>R136</t>
  </si>
  <si>
    <t>R231</t>
  </si>
  <si>
    <t>R633</t>
  </si>
  <si>
    <t>R955</t>
  </si>
  <si>
    <t>Buckinghamshire Fire Authority</t>
  </si>
  <si>
    <t>R173</t>
  </si>
  <si>
    <t>R335</t>
  </si>
  <si>
    <t>R366</t>
  </si>
  <si>
    <t>R22</t>
  </si>
  <si>
    <t>R663</t>
  </si>
  <si>
    <t>R965</t>
  </si>
  <si>
    <t>Cambridgeshire Fire Authority</t>
  </si>
  <si>
    <t>R371</t>
  </si>
  <si>
    <t>R253</t>
  </si>
  <si>
    <t>R158</t>
  </si>
  <si>
    <t>R48</t>
  </si>
  <si>
    <t>R97</t>
  </si>
  <si>
    <t>R680</t>
  </si>
  <si>
    <t>Central Bedfordshire</t>
  </si>
  <si>
    <t>R186</t>
  </si>
  <si>
    <t>R98</t>
  </si>
  <si>
    <t>R108</t>
  </si>
  <si>
    <t>R237</t>
  </si>
  <si>
    <t>North Oxfordshire Business Rates Pool</t>
  </si>
  <si>
    <t>R677</t>
  </si>
  <si>
    <t>Cheshire East</t>
  </si>
  <si>
    <t>R966</t>
  </si>
  <si>
    <t>Cheshire Fire Authority</t>
  </si>
  <si>
    <t>R678</t>
  </si>
  <si>
    <t>Cheshire West and Chester</t>
  </si>
  <si>
    <t>R54</t>
  </si>
  <si>
    <t>R287</t>
  </si>
  <si>
    <t>R19</t>
  </si>
  <si>
    <t>R174</t>
  </si>
  <si>
    <t>Lancashire Business Rates Pool</t>
  </si>
  <si>
    <t>R72</t>
  </si>
  <si>
    <t>R370</t>
  </si>
  <si>
    <t>R951</t>
  </si>
  <si>
    <t>Cleveland Fire Authority</t>
  </si>
  <si>
    <t>R99</t>
  </si>
  <si>
    <t>R49</t>
  </si>
  <si>
    <t>R208</t>
  </si>
  <si>
    <t>R672</t>
  </si>
  <si>
    <t>Cornwall</t>
  </si>
  <si>
    <t>R109</t>
  </si>
  <si>
    <t>R359</t>
  </si>
  <si>
    <t>R221</t>
  </si>
  <si>
    <t>R288</t>
  </si>
  <si>
    <t>R388</t>
  </si>
  <si>
    <t>Surrey-Croydon Business Rates Pool</t>
  </si>
  <si>
    <t>R412</t>
  </si>
  <si>
    <t>R137</t>
  </si>
  <si>
    <t>R624</t>
  </si>
  <si>
    <t>R159</t>
  </si>
  <si>
    <t>R209</t>
  </si>
  <si>
    <t>R621</t>
  </si>
  <si>
    <t>R634</t>
  </si>
  <si>
    <t>R60</t>
  </si>
  <si>
    <t>R956</t>
  </si>
  <si>
    <t>Derbyshire Fire Authority</t>
  </si>
  <si>
    <t>R665</t>
  </si>
  <si>
    <t>R350</t>
  </si>
  <si>
    <t>R635</t>
  </si>
  <si>
    <t>R160</t>
  </si>
  <si>
    <t>R360</t>
  </si>
  <si>
    <t>R673</t>
  </si>
  <si>
    <t>Durham</t>
  </si>
  <si>
    <t>R958</t>
  </si>
  <si>
    <t>Durham Fire Authority</t>
  </si>
  <si>
    <t>R389</t>
  </si>
  <si>
    <t>R23</t>
  </si>
  <si>
    <t>R61</t>
  </si>
  <si>
    <t>R78</t>
  </si>
  <si>
    <t>R115</t>
  </si>
  <si>
    <t>R138</t>
  </si>
  <si>
    <t>R195</t>
  </si>
  <si>
    <t>R210</t>
  </si>
  <si>
    <t>R610</t>
  </si>
  <si>
    <t>R254</t>
  </si>
  <si>
    <t>R637</t>
  </si>
  <si>
    <t>R959</t>
  </si>
  <si>
    <t>East Sussex Fire Authority</t>
  </si>
  <si>
    <t>R88</t>
  </si>
  <si>
    <t>R116</t>
  </si>
  <si>
    <t>R50</t>
  </si>
  <si>
    <t>R269</t>
  </si>
  <si>
    <t>R390</t>
  </si>
  <si>
    <t>R100</t>
  </si>
  <si>
    <t>R270</t>
  </si>
  <si>
    <t>Epsom and Ewell</t>
  </si>
  <si>
    <t>R56</t>
  </si>
  <si>
    <t>R666</t>
  </si>
  <si>
    <t>R968</t>
  </si>
  <si>
    <t>R62</t>
  </si>
  <si>
    <t>R117</t>
  </si>
  <si>
    <t>R24</t>
  </si>
  <si>
    <t>R263</t>
  </si>
  <si>
    <t>R110</t>
  </si>
  <si>
    <t>R175</t>
  </si>
  <si>
    <t>R353</t>
  </si>
  <si>
    <t>R232</t>
  </si>
  <si>
    <t>R570</t>
  </si>
  <si>
    <t>Greater London Authority</t>
  </si>
  <si>
    <t>R111</t>
  </si>
  <si>
    <t>R419</t>
  </si>
  <si>
    <t>R118</t>
  </si>
  <si>
    <t>R162</t>
  </si>
  <si>
    <t>R203</t>
  </si>
  <si>
    <t>R301</t>
  </si>
  <si>
    <t>R372</t>
  </si>
  <si>
    <t>R271</t>
  </si>
  <si>
    <t>R373</t>
  </si>
  <si>
    <t>R650</t>
  </si>
  <si>
    <t>Mid Merseyside Business Rates Pool</t>
  </si>
  <si>
    <t>R222</t>
  </si>
  <si>
    <t>R374</t>
  </si>
  <si>
    <t>R638</t>
  </si>
  <si>
    <t>R960</t>
  </si>
  <si>
    <t>Hampshire Fire Authority</t>
  </si>
  <si>
    <t>R187</t>
  </si>
  <si>
    <t>R391</t>
  </si>
  <si>
    <t>R101</t>
  </si>
  <si>
    <t>R614</t>
  </si>
  <si>
    <t>R392</t>
  </si>
  <si>
    <t>R119</t>
  </si>
  <si>
    <t>R606</t>
  </si>
  <si>
    <t>R89</t>
  </si>
  <si>
    <t>R120</t>
  </si>
  <si>
    <t>R393</t>
  </si>
  <si>
    <t>R969</t>
  </si>
  <si>
    <t>Hereford and Worcester Fire Authority</t>
  </si>
  <si>
    <t>R656</t>
  </si>
  <si>
    <t>R422</t>
  </si>
  <si>
    <t>R139</t>
  </si>
  <si>
    <t>R57</t>
  </si>
  <si>
    <t>R394</t>
  </si>
  <si>
    <t>R188</t>
  </si>
  <si>
    <t>R289</t>
  </si>
  <si>
    <t>R395</t>
  </si>
  <si>
    <t>R952</t>
  </si>
  <si>
    <t>Humberside Fire Authority</t>
  </si>
  <si>
    <t>R648</t>
  </si>
  <si>
    <t>R176</t>
  </si>
  <si>
    <t>R264</t>
  </si>
  <si>
    <t>R601</t>
  </si>
  <si>
    <t>R403</t>
  </si>
  <si>
    <t>R375</t>
  </si>
  <si>
    <t>R376</t>
  </si>
  <si>
    <t>R667</t>
  </si>
  <si>
    <t>R970</t>
  </si>
  <si>
    <t>Kent Fire Authority</t>
  </si>
  <si>
    <t>R211</t>
  </si>
  <si>
    <t>R207</t>
  </si>
  <si>
    <t>R611</t>
  </si>
  <si>
    <t>R396</t>
  </si>
  <si>
    <t>R367</t>
  </si>
  <si>
    <t>R344</t>
  </si>
  <si>
    <t>R377</t>
  </si>
  <si>
    <t>R668</t>
  </si>
  <si>
    <t>R971</t>
  </si>
  <si>
    <t>Lancashire Fire Authority</t>
  </si>
  <si>
    <t>R177</t>
  </si>
  <si>
    <t>R368</t>
  </si>
  <si>
    <t>R628</t>
  </si>
  <si>
    <t>R639</t>
  </si>
  <si>
    <t>R961</t>
  </si>
  <si>
    <t>Leicestershire Fire Authority</t>
  </si>
  <si>
    <t>R91</t>
  </si>
  <si>
    <t>R378</t>
  </si>
  <si>
    <t>R255</t>
  </si>
  <si>
    <t>R196</t>
  </si>
  <si>
    <t>R428</t>
  </si>
  <si>
    <t>R345</t>
  </si>
  <si>
    <t>R619</t>
  </si>
  <si>
    <t>R163</t>
  </si>
  <si>
    <t>R102</t>
  </si>
  <si>
    <t>R657</t>
  </si>
  <si>
    <t>R336</t>
  </si>
  <si>
    <t>R233</t>
  </si>
  <si>
    <t>R658</t>
  </si>
  <si>
    <t>R190</t>
  </si>
  <si>
    <t>R248</t>
  </si>
  <si>
    <t>R302</t>
  </si>
  <si>
    <t>R397</t>
  </si>
  <si>
    <t>R67</t>
  </si>
  <si>
    <t>R265</t>
  </si>
  <si>
    <t>R290</t>
  </si>
  <si>
    <t>R607</t>
  </si>
  <si>
    <t>R620</t>
  </si>
  <si>
    <t>R272</t>
  </si>
  <si>
    <t>R121</t>
  </si>
  <si>
    <t>R234</t>
  </si>
  <si>
    <t>R354</t>
  </si>
  <si>
    <t>Newcastle upon Tyne</t>
  </si>
  <si>
    <t>R256</t>
  </si>
  <si>
    <t>R398</t>
  </si>
  <si>
    <t>R429</t>
  </si>
  <si>
    <t>R63</t>
  </si>
  <si>
    <t>R73</t>
  </si>
  <si>
    <t>R58</t>
  </si>
  <si>
    <t>R612</t>
  </si>
  <si>
    <t>R140</t>
  </si>
  <si>
    <t>R197</t>
  </si>
  <si>
    <t>R613</t>
  </si>
  <si>
    <t>R204</t>
  </si>
  <si>
    <t>R605</t>
  </si>
  <si>
    <t>R355</t>
  </si>
  <si>
    <t>R280</t>
  </si>
  <si>
    <t>R191</t>
  </si>
  <si>
    <t>R618</t>
  </si>
  <si>
    <t>R953</t>
  </si>
  <si>
    <t>North Yorkshire Fire Authority</t>
  </si>
  <si>
    <t>R212</t>
  </si>
  <si>
    <t>R430</t>
  </si>
  <si>
    <t>R674</t>
  </si>
  <si>
    <t>Northumberland</t>
  </si>
  <si>
    <t>R205</t>
  </si>
  <si>
    <t>R661</t>
  </si>
  <si>
    <t>R669</t>
  </si>
  <si>
    <t>R972</t>
  </si>
  <si>
    <t>Nottinghamshire Fire Authority</t>
  </si>
  <si>
    <t>R281</t>
  </si>
  <si>
    <t>R192</t>
  </si>
  <si>
    <t>R337</t>
  </si>
  <si>
    <t>R238</t>
  </si>
  <si>
    <t>R434</t>
  </si>
  <si>
    <t>R178</t>
  </si>
  <si>
    <t>R649</t>
  </si>
  <si>
    <t>R652</t>
  </si>
  <si>
    <t>R623</t>
  </si>
  <si>
    <t>R626</t>
  </si>
  <si>
    <t>R179</t>
  </si>
  <si>
    <t>R75</t>
  </si>
  <si>
    <t>R751</t>
  </si>
  <si>
    <t>R751 - Devon &amp; Somerset Fire</t>
  </si>
  <si>
    <t>R753</t>
  </si>
  <si>
    <t>R753 - Dorset &amp; Wiltshire Fire</t>
  </si>
  <si>
    <t>R644</t>
  </si>
  <si>
    <t>R399</t>
  </si>
  <si>
    <t>R608</t>
  </si>
  <si>
    <t>R131</t>
  </si>
  <si>
    <t>R273</t>
  </si>
  <si>
    <t>R180</t>
  </si>
  <si>
    <t>R400</t>
  </si>
  <si>
    <t>R224</t>
  </si>
  <si>
    <t>R338</t>
  </si>
  <si>
    <t>R103</t>
  </si>
  <si>
    <t>R181</t>
  </si>
  <si>
    <t>R92</t>
  </si>
  <si>
    <t>R351</t>
  </si>
  <si>
    <t>R282</t>
  </si>
  <si>
    <t>R274</t>
  </si>
  <si>
    <t>R236</t>
  </si>
  <si>
    <t>R123</t>
  </si>
  <si>
    <t>R629</t>
  </si>
  <si>
    <t>R615</t>
  </si>
  <si>
    <t>R339</t>
  </si>
  <si>
    <t>R361</t>
  </si>
  <si>
    <t>R226</t>
  </si>
  <si>
    <t>R249</t>
  </si>
  <si>
    <t>R347</t>
  </si>
  <si>
    <t>R616</t>
  </si>
  <si>
    <t>R165</t>
  </si>
  <si>
    <t>R352</t>
  </si>
  <si>
    <t>R166</t>
  </si>
  <si>
    <t>R675</t>
  </si>
  <si>
    <t>Shropshire</t>
  </si>
  <si>
    <t>R973</t>
  </si>
  <si>
    <t>Shropshire Fire Authority</t>
  </si>
  <si>
    <t>R645</t>
  </si>
  <si>
    <t>R362</t>
  </si>
  <si>
    <t>R436</t>
  </si>
  <si>
    <t>R18</t>
  </si>
  <si>
    <t>R27</t>
  </si>
  <si>
    <t>R59</t>
  </si>
  <si>
    <t>R604</t>
  </si>
  <si>
    <t>R65</t>
  </si>
  <si>
    <t>R198</t>
  </si>
  <si>
    <t>R199</t>
  </si>
  <si>
    <t>R51</t>
  </si>
  <si>
    <t>R206</t>
  </si>
  <si>
    <t>R213</t>
  </si>
  <si>
    <t>R239</t>
  </si>
  <si>
    <t>R182</t>
  </si>
  <si>
    <t>R252</t>
  </si>
  <si>
    <t>R257</t>
  </si>
  <si>
    <t>R356</t>
  </si>
  <si>
    <t>R303</t>
  </si>
  <si>
    <t>R627</t>
  </si>
  <si>
    <t>R654</t>
  </si>
  <si>
    <t>R379</t>
  </si>
  <si>
    <t>R275</t>
  </si>
  <si>
    <t>R141</t>
  </si>
  <si>
    <t>R266</t>
  </si>
  <si>
    <t>R346</t>
  </si>
  <si>
    <t>R258</t>
  </si>
  <si>
    <t>R640</t>
  </si>
  <si>
    <t>R962</t>
  </si>
  <si>
    <t>Staffordshire Fire Authority</t>
  </si>
  <si>
    <t>R259</t>
  </si>
  <si>
    <t>R142</t>
  </si>
  <si>
    <t>R340</t>
  </si>
  <si>
    <t>R609</t>
  </si>
  <si>
    <t>R630</t>
  </si>
  <si>
    <t>R283</t>
  </si>
  <si>
    <t>R112</t>
  </si>
  <si>
    <t>R438</t>
  </si>
  <si>
    <t>R267</t>
  </si>
  <si>
    <t>R357</t>
  </si>
  <si>
    <t>R439</t>
  </si>
  <si>
    <t>R276</t>
  </si>
  <si>
    <t>R401</t>
  </si>
  <si>
    <t>R167</t>
  </si>
  <si>
    <t>R631</t>
  </si>
  <si>
    <t>R341</t>
  </si>
  <si>
    <t>R261</t>
  </si>
  <si>
    <t>R277</t>
  </si>
  <si>
    <t>R250</t>
  </si>
  <si>
    <t>R66</t>
  </si>
  <si>
    <t>R662</t>
  </si>
  <si>
    <t>R105</t>
  </si>
  <si>
    <t>R125</t>
  </si>
  <si>
    <t>R113</t>
  </si>
  <si>
    <t>R168</t>
  </si>
  <si>
    <t>R143</t>
  </si>
  <si>
    <t>R655</t>
  </si>
  <si>
    <t>R169</t>
  </si>
  <si>
    <t>R653</t>
  </si>
  <si>
    <t>R69</t>
  </si>
  <si>
    <t>R380</t>
  </si>
  <si>
    <t>R342</t>
  </si>
  <si>
    <t>R170</t>
  </si>
  <si>
    <t>R304</t>
  </si>
  <si>
    <t>R107</t>
  </si>
  <si>
    <t>R240</t>
  </si>
  <si>
    <t>R369</t>
  </si>
  <si>
    <t>R363</t>
  </si>
  <si>
    <t>R402</t>
  </si>
  <si>
    <t>R381</t>
  </si>
  <si>
    <t>R651</t>
  </si>
  <si>
    <t>R284</t>
  </si>
  <si>
    <t>R440</t>
  </si>
  <si>
    <t>R144</t>
  </si>
  <si>
    <t>R268</t>
  </si>
  <si>
    <t>R278</t>
  </si>
  <si>
    <t>R93</t>
  </si>
  <si>
    <t>R214</t>
  </si>
  <si>
    <t>R145</t>
  </si>
  <si>
    <t>R643</t>
  </si>
  <si>
    <t>R70</t>
  </si>
  <si>
    <t>R76</t>
  </si>
  <si>
    <t>R183</t>
  </si>
  <si>
    <t>R200</t>
  </si>
  <si>
    <t>R305</t>
  </si>
  <si>
    <t>R241</t>
  </si>
  <si>
    <t>R251</t>
  </si>
  <si>
    <t>R441</t>
  </si>
  <si>
    <t>R306</t>
  </si>
  <si>
    <t>R382</t>
  </si>
  <si>
    <t>R77</t>
  </si>
  <si>
    <t>R343</t>
  </si>
  <si>
    <t>R676</t>
  </si>
  <si>
    <t>Wiltshire</t>
  </si>
  <si>
    <t>R126</t>
  </si>
  <si>
    <t>R646</t>
  </si>
  <si>
    <t>R348</t>
  </si>
  <si>
    <t>R279</t>
  </si>
  <si>
    <t>R647</t>
  </si>
  <si>
    <t>R364</t>
  </si>
  <si>
    <t>R133</t>
  </si>
  <si>
    <t>R671</t>
  </si>
  <si>
    <t>R291</t>
  </si>
  <si>
    <t>R134</t>
  </si>
  <si>
    <t>R21</t>
  </si>
  <si>
    <t>R184</t>
  </si>
  <si>
    <t>R135</t>
  </si>
  <si>
    <t>R617</t>
  </si>
  <si>
    <t>E-code</t>
  </si>
  <si>
    <t>Baseline funding level 2017-18</t>
  </si>
  <si>
    <t>As set out in the 2017-18 Local Government Finance Report</t>
  </si>
  <si>
    <t>Sourced:</t>
  </si>
  <si>
    <t>KI 2016-17</t>
  </si>
  <si>
    <t>1516 published calculator</t>
  </si>
  <si>
    <t>Tier split</t>
  </si>
  <si>
    <t>Cheshire West and Chester UA</t>
  </si>
  <si>
    <t>Pool 1718</t>
  </si>
  <si>
    <t>https://www.gov.uk/government/publications/key-information-for-pools-final-local-government-finance-settlement-2017-to-2018</t>
  </si>
  <si>
    <t>Key Information for Local Authorities in 2018-19</t>
  </si>
  <si>
    <t xml:space="preserve">In 2018-19, figures have been adjusted to reflect the 100% Business Rates Retention pilots. Please refer to the Settlement Calculation Model for pilots and the Pilots Explanatory Note. The details for pilot authorities in future years will be confirmed at a later date. </t>
  </si>
  <si>
    <t>£m</t>
  </si>
  <si>
    <t>ecode</t>
  </si>
  <si>
    <t>Class</t>
  </si>
  <si>
    <t>Pilot</t>
  </si>
  <si>
    <t>2018-19 Tariff/Top-up</t>
  </si>
  <si>
    <t>2017-18 Tariff and Top-up reconciliation</t>
  </si>
  <si>
    <t>2018-19 Tariff/Top-up including reconciliation</t>
  </si>
  <si>
    <r>
      <t>Safety Net Threshold</t>
    </r>
    <r>
      <rPr>
        <vertAlign val="superscript"/>
        <sz val="11"/>
        <color theme="1"/>
        <rFont val="Calibri"/>
        <family val="2"/>
      </rPr>
      <t>1</t>
    </r>
  </si>
  <si>
    <r>
      <t>Levy rate</t>
    </r>
    <r>
      <rPr>
        <vertAlign val="superscript"/>
        <sz val="11"/>
        <color theme="1"/>
        <rFont val="Calibri"/>
        <family val="2"/>
      </rPr>
      <t>2</t>
    </r>
  </si>
  <si>
    <t>SD</t>
  </si>
  <si>
    <t>P1810</t>
  </si>
  <si>
    <t>P1804</t>
  </si>
  <si>
    <t>SFIR</t>
  </si>
  <si>
    <t>P1808</t>
  </si>
  <si>
    <t>OLB</t>
  </si>
  <si>
    <t>P1801</t>
  </si>
  <si>
    <t>MD</t>
  </si>
  <si>
    <t>UNINFIR</t>
  </si>
  <si>
    <t>P1704</t>
  </si>
  <si>
    <t>P1703</t>
  </si>
  <si>
    <t>P1701</t>
  </si>
  <si>
    <t>P1806</t>
  </si>
  <si>
    <t>P1811</t>
  </si>
  <si>
    <t>P1805</t>
  </si>
  <si>
    <t>SCNFIR</t>
  </si>
  <si>
    <t>ILB</t>
  </si>
  <si>
    <t>P1803</t>
  </si>
  <si>
    <t>UNIFIR</t>
  </si>
  <si>
    <t>P1705</t>
  </si>
  <si>
    <t>SCFIR</t>
  </si>
  <si>
    <t>P1802</t>
  </si>
  <si>
    <t>P1809</t>
  </si>
  <si>
    <t>FIR</t>
  </si>
  <si>
    <t>P1702</t>
  </si>
  <si>
    <t>P1807</t>
  </si>
  <si>
    <t>Devon &amp; Somerset Fire</t>
  </si>
  <si>
    <t>Dorset &amp; Wiltshire Fire</t>
  </si>
  <si>
    <t>R594</t>
  </si>
  <si>
    <t>E6354</t>
  </si>
  <si>
    <t>CA</t>
  </si>
  <si>
    <t>p</t>
  </si>
  <si>
    <t>West of England - combined authority</t>
  </si>
  <si>
    <t>R590</t>
  </si>
  <si>
    <t>E6348</t>
  </si>
  <si>
    <t>Greater Manchester - combined authority</t>
  </si>
  <si>
    <r>
      <t xml:space="preserve">Local authority share of </t>
    </r>
    <r>
      <rPr>
        <b/>
        <sz val="10"/>
        <rFont val="Arial"/>
        <family val="2"/>
      </rPr>
      <t>adjustments to Small Business Rate Relief</t>
    </r>
    <r>
      <rPr>
        <b/>
        <vertAlign val="superscript"/>
        <sz val="10"/>
        <rFont val="Arial"/>
        <family val="2"/>
      </rPr>
      <t>1</t>
    </r>
    <r>
      <rPr>
        <b/>
        <sz val="10"/>
        <rFont val="Arial"/>
        <family val="2"/>
      </rPr>
      <t xml:space="preserve"> in</t>
    </r>
    <r>
      <rPr>
        <sz val="10"/>
        <rFont val="Arial"/>
        <family val="2"/>
      </rPr>
      <t xml:space="preserve"> respect to 2013-14 to 2015-16</t>
    </r>
  </si>
  <si>
    <r>
      <t xml:space="preserve">Local authority share of </t>
    </r>
    <r>
      <rPr>
        <b/>
        <sz val="10"/>
        <rFont val="Arial"/>
        <family val="2"/>
      </rPr>
      <t>adjustments to relief to other ratepayers</t>
    </r>
    <r>
      <rPr>
        <b/>
        <vertAlign val="superscript"/>
        <sz val="10"/>
        <rFont val="Arial"/>
        <family val="2"/>
      </rPr>
      <t xml:space="preserve">1 </t>
    </r>
    <r>
      <rPr>
        <sz val="10"/>
        <rFont val="Arial"/>
        <family val="2"/>
      </rPr>
      <t>in respect to previous years</t>
    </r>
  </si>
  <si>
    <r>
      <t xml:space="preserve">Local authority share of </t>
    </r>
    <r>
      <rPr>
        <b/>
        <sz val="10"/>
        <rFont val="Arial"/>
        <family val="2"/>
      </rPr>
      <t>adjustments to in lieu of transitional relief</t>
    </r>
    <r>
      <rPr>
        <b/>
        <vertAlign val="superscript"/>
        <sz val="10"/>
        <rFont val="Arial"/>
        <family val="2"/>
      </rPr>
      <t>1</t>
    </r>
  </si>
  <si>
    <r>
      <t xml:space="preserve">Local authority share of </t>
    </r>
    <r>
      <rPr>
        <b/>
        <sz val="10"/>
        <rFont val="Arial"/>
        <family val="2"/>
      </rPr>
      <t>rural rate relief</t>
    </r>
  </si>
  <si>
    <r>
      <t xml:space="preserve">Local authority share of </t>
    </r>
    <r>
      <rPr>
        <b/>
        <sz val="10"/>
        <rFont val="Arial"/>
        <family val="2"/>
      </rPr>
      <t>local newspaper temporary relief</t>
    </r>
  </si>
  <si>
    <r>
      <t xml:space="preserve">Local authority share of </t>
    </r>
    <r>
      <rPr>
        <b/>
        <sz val="10"/>
        <rFont val="Arial"/>
        <family val="2"/>
      </rPr>
      <t>supporting small business relief</t>
    </r>
  </si>
  <si>
    <r>
      <t xml:space="preserve">Local authority share of </t>
    </r>
    <r>
      <rPr>
        <b/>
        <sz val="10"/>
        <rFont val="Arial"/>
        <family val="2"/>
      </rPr>
      <t>discretionary scheme relief</t>
    </r>
  </si>
  <si>
    <r>
      <t xml:space="preserve">Local authority share of </t>
    </r>
    <r>
      <rPr>
        <b/>
        <sz val="10"/>
        <rFont val="Arial"/>
        <family val="2"/>
      </rPr>
      <t>pub relief</t>
    </r>
  </si>
  <si>
    <r>
      <t xml:space="preserve">Local authority share of </t>
    </r>
    <r>
      <rPr>
        <b/>
        <sz val="10"/>
        <rFont val="Arial"/>
        <family val="2"/>
      </rPr>
      <t>adjustments to relief to long term empty properties</t>
    </r>
    <r>
      <rPr>
        <b/>
        <vertAlign val="superscript"/>
        <sz val="10"/>
        <rFont val="Arial"/>
        <family val="2"/>
      </rPr>
      <t>1</t>
    </r>
  </si>
  <si>
    <r>
      <t xml:space="preserve">Local authority share of </t>
    </r>
    <r>
      <rPr>
        <b/>
        <sz val="10"/>
        <rFont val="Arial"/>
        <family val="2"/>
      </rPr>
      <t>adjustments to retail relief</t>
    </r>
    <r>
      <rPr>
        <b/>
        <vertAlign val="superscript"/>
        <sz val="10"/>
        <rFont val="Arial"/>
        <family val="2"/>
      </rPr>
      <t>1</t>
    </r>
  </si>
  <si>
    <t>Potential safety net due to the authority</t>
  </si>
  <si>
    <t>Retained rates income for safety net and levy calculation</t>
  </si>
  <si>
    <t>Potential levy due from the authority</t>
  </si>
  <si>
    <t>As set out in the 2018-19 Local Government Finance Report</t>
  </si>
  <si>
    <t>Pool</t>
  </si>
  <si>
    <t>2017-18 safety net and levy calculator - Working Sheet</t>
  </si>
  <si>
    <t>LA</t>
  </si>
  <si>
    <t>Pool Member Number</t>
  </si>
  <si>
    <t>County LA Numer</t>
  </si>
  <si>
    <t>Fire LA Number</t>
  </si>
  <si>
    <t>Type</t>
  </si>
  <si>
    <t>Billing Authority</t>
  </si>
  <si>
    <t>Fire Authority</t>
  </si>
  <si>
    <t>County</t>
  </si>
  <si>
    <t>Safety net threshold is 92.5% of baseline funding level</t>
  </si>
  <si>
    <t>Appeals Share</t>
  </si>
  <si>
    <r>
      <t xml:space="preserve">Local authority share of </t>
    </r>
    <r>
      <rPr>
        <b/>
        <sz val="10"/>
        <rFont val="Arial"/>
        <family val="2"/>
      </rPr>
      <t>adjustments to Small Business Rate Relief</t>
    </r>
    <r>
      <rPr>
        <b/>
        <vertAlign val="superscript"/>
        <sz val="10"/>
        <rFont val="Arial"/>
        <family val="2"/>
      </rPr>
      <t>1</t>
    </r>
    <r>
      <rPr>
        <b/>
        <sz val="10"/>
        <rFont val="Arial"/>
        <family val="2"/>
      </rPr>
      <t xml:space="preserve"> in</t>
    </r>
    <r>
      <rPr>
        <sz val="10"/>
        <rFont val="Arial"/>
        <family val="2"/>
      </rPr>
      <t xml:space="preserve"> respect to 2013-14 to 2016-17</t>
    </r>
  </si>
  <si>
    <t>SBRR Factor</t>
  </si>
  <si>
    <t>Calculated as per regulations</t>
  </si>
  <si>
    <t>Please enter the values from the NNDR3 2017-18 in the green boxes (use the working sheet for fire authorities, counties and GLA)</t>
  </si>
  <si>
    <t>For fire authorities, counties and GLA please enter the relevant authority's values from the NNDR3 2017-18 in the grey boxes (in £) as they appear on the NNDR3.</t>
  </si>
  <si>
    <t>Supplementary Information for Local Authorities in 2018-19</t>
  </si>
  <si>
    <t>(key figures as under 50% business rates retention)</t>
  </si>
  <si>
    <r>
      <t>2017-18 Tariff and Top-up reconciliation</t>
    </r>
    <r>
      <rPr>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</si>
  <si>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This is the difference between the tariff or top-up that would have been applied in 2017-18 under 50% business rates retention scheme based on original revaluation data and the tariff or top-up for 2017-18 under 50% business rates retention scheme based on the updated revaluation data.</t>
    </r>
  </si>
  <si>
    <r>
      <rPr>
        <vertAlign val="superscript"/>
        <sz val="10"/>
        <rFont val="Arial"/>
        <family val="2"/>
      </rPr>
      <t>1</t>
    </r>
    <r>
      <rPr>
        <sz val="10"/>
        <rFont val="Arial"/>
        <family val="2"/>
      </rPr>
      <t>As per the Non-Domestic Rating (Levy and Safety Net) Regulations 2013 (SI 2013/737) (as amended)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</si>
</sst>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
    <numFmt numFmtId="165" formatCode="_(* #,##0.00_);_(* \(#,##0.00\);_(* &quot;-&quot;??_);_(@_)"/>
    <numFmt numFmtId="166" formatCode="#,##0.0"/>
    <numFmt numFmtId="167" formatCode="dd/mm/yy;@"/>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quot;£&quot;* #,##0.00_);_(&quot;£&quot;* \(#,##0.00\);_(&quot;£&quot;* &quot;-&quot;??_);_(@_)"/>
    <numFmt numFmtId="176" formatCode="_-[$€-2]* #,##0.00_-;\-[$€-2]* #,##0.00_-;_-[$€-2]* &quot;-&quot;??_-"/>
    <numFmt numFmtId="177" formatCode="#,##0;\-#,##0;\-"/>
    <numFmt numFmtId="178" formatCode="#\ ##0"/>
    <numFmt numFmtId="179" formatCode="[&lt;0.0001]&quot;&lt;0.0001&quot;;0.0000"/>
    <numFmt numFmtId="180" formatCode="#,##0.0,,;\-#,##0.0,,;\-"/>
    <numFmt numFmtId="181" formatCode="#,##0,;\-#,##0,;\-"/>
    <numFmt numFmtId="182" formatCode="0.0%;\-0.0%;\-"/>
    <numFmt numFmtId="183" formatCode="#,##0.0,,;\-#,##0.0,,"/>
    <numFmt numFmtId="184" formatCode="#,##0,;\-#,##0,"/>
    <numFmt numFmtId="185" formatCode="0.0%;\-0.0%"/>
    <numFmt numFmtId="186" formatCode="mmmm\ d\,\ yyyy"/>
    <numFmt numFmtId="187" formatCode="#,##0_);;&quot;- &quot;_);@_)\ "/>
    <numFmt numFmtId="188" formatCode="_(General"/>
    <numFmt numFmtId="189" formatCode="0.0%"/>
    <numFmt numFmtId="190" formatCode="#,##0.00000"/>
  </numFmts>
  <fonts count="98" x14ac:knownFonts="1">
    <font>
      <sz val="10"/>
      <name val="Arial"/>
      <family val="2"/>
    </font>
    <font>
      <sz val="12"/>
      <color theme="1"/>
      <name val="Arial"/>
      <family val="2"/>
    </font>
    <font>
      <sz val="12"/>
      <color theme="1"/>
      <name val="Arial"/>
      <family val="2"/>
    </font>
    <font>
      <sz val="12"/>
      <color theme="1"/>
      <name val="Arial"/>
      <family val="2"/>
    </font>
    <font>
      <sz val="10"/>
      <name val="Arial"/>
      <family val="2"/>
    </font>
    <font>
      <b/>
      <sz val="14"/>
      <name val="Calibri"/>
      <family val="2"/>
      <scheme val="minor"/>
    </font>
    <font>
      <sz val="10"/>
      <name val="Calibri"/>
      <family val="2"/>
      <scheme val="minor"/>
    </font>
    <font>
      <sz val="16"/>
      <name val="Calibri"/>
      <family val="2"/>
      <scheme val="minor"/>
    </font>
    <font>
      <sz val="12"/>
      <name val="Calibri"/>
      <family val="2"/>
      <scheme val="minor"/>
    </font>
    <font>
      <sz val="12"/>
      <color theme="0"/>
      <name val="Calibri"/>
      <family val="2"/>
      <scheme val="minor"/>
    </font>
    <font>
      <b/>
      <sz val="10"/>
      <name val="Arial"/>
      <family val="2"/>
    </font>
    <font>
      <sz val="8"/>
      <color theme="0"/>
      <name val="Arial"/>
      <family val="2"/>
    </font>
    <font>
      <i/>
      <sz val="10"/>
      <name val="Arial"/>
      <family val="2"/>
    </font>
    <font>
      <b/>
      <vertAlign val="superscript"/>
      <sz val="10"/>
      <name val="Arial"/>
      <family val="2"/>
    </font>
    <font>
      <vertAlign val="superscript"/>
      <sz val="10"/>
      <name val="Arial"/>
      <family val="2"/>
    </font>
    <font>
      <sz val="11"/>
      <name val="Calibri"/>
      <family val="2"/>
      <scheme val="minor"/>
    </font>
    <font>
      <sz val="11"/>
      <color theme="1"/>
      <name val="Calibri"/>
      <family val="2"/>
      <scheme val="minor"/>
    </font>
    <font>
      <u/>
      <sz val="10"/>
      <color theme="10"/>
      <name val="Arial"/>
      <family val="2"/>
    </font>
    <font>
      <b/>
      <sz val="10"/>
      <color theme="1"/>
      <name val="Arial"/>
      <family val="2"/>
    </font>
    <font>
      <b/>
      <sz val="10"/>
      <color rgb="FFFF0000"/>
      <name val="Arial"/>
      <family val="2"/>
    </font>
    <font>
      <sz val="10"/>
      <color theme="1"/>
      <name val="Arial"/>
      <family val="2"/>
    </font>
    <font>
      <b/>
      <sz val="9"/>
      <color indexed="81"/>
      <name val="Tahoma"/>
      <family val="2"/>
    </font>
    <font>
      <sz val="9"/>
      <color indexed="81"/>
      <name val="Tahoma"/>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indexed="12"/>
      <name val="Arial"/>
      <family val="2"/>
    </font>
    <font>
      <u/>
      <sz val="11"/>
      <color theme="10"/>
      <name val="Calibri"/>
      <family val="2"/>
    </font>
    <font>
      <u/>
      <sz val="10"/>
      <color indexed="12"/>
      <name val="System"/>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8"/>
      <name val="Calibri"/>
      <family val="2"/>
      <scheme val="minor"/>
    </font>
    <font>
      <b/>
      <u/>
      <sz val="10"/>
      <name val="Arial"/>
      <family val="2"/>
    </font>
    <font>
      <b/>
      <sz val="11"/>
      <color theme="1"/>
      <name val="Calibri"/>
      <family val="2"/>
      <scheme val="minor"/>
    </font>
    <font>
      <b/>
      <sz val="11"/>
      <color rgb="FFFF0000"/>
      <name val="Calibri"/>
      <family val="2"/>
      <scheme val="minor"/>
    </font>
    <font>
      <vertAlign val="superscript"/>
      <sz val="11"/>
      <color theme="1"/>
      <name val="Calibri"/>
      <family val="2"/>
    </font>
    <font>
      <sz val="10"/>
      <color indexed="8"/>
      <name val="MS Sans Serif"/>
      <family val="2"/>
    </font>
    <font>
      <u/>
      <sz val="11"/>
      <color theme="10"/>
      <name val="Calibri"/>
      <family val="2"/>
      <scheme val="minor"/>
    </font>
    <font>
      <sz val="11"/>
      <color indexed="8"/>
      <name val="Calibri"/>
      <family val="2"/>
      <scheme val="minor"/>
    </font>
    <font>
      <sz val="11"/>
      <name val="Times New Roman"/>
      <family val="1"/>
    </font>
    <font>
      <b/>
      <sz val="12"/>
      <name val="Times New Roman"/>
      <family val="1"/>
    </font>
    <font>
      <sz val="14"/>
      <name val="Calibri"/>
      <family val="2"/>
      <scheme val="minor"/>
    </font>
    <font>
      <i/>
      <sz val="11"/>
      <color theme="1"/>
      <name val="Calibri"/>
      <family val="2"/>
      <scheme val="minor"/>
    </font>
    <font>
      <vertAlign val="superscript"/>
      <sz val="11"/>
      <color theme="1"/>
      <name val="Calibri"/>
      <family val="2"/>
      <scheme val="minor"/>
    </font>
  </fonts>
  <fills count="57">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indexed="9"/>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CC"/>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7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theme="0" tint="-0.14999847407452621"/>
      </left>
      <right style="thin">
        <color theme="0" tint="-0.14999847407452621"/>
      </right>
      <top/>
      <bottom style="thin">
        <color theme="0" tint="-0.14999847407452621"/>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style="medium">
        <color indexed="64"/>
      </left>
      <right style="medium">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top/>
      <bottom style="medium">
        <color auto="1"/>
      </bottom>
      <diagonal/>
    </border>
    <border>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auto="1"/>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right style="thin">
        <color auto="1"/>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564">
    <xf numFmtId="0" fontId="0" fillId="0" borderId="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6" fillId="0" borderId="0"/>
    <xf numFmtId="0" fontId="4" fillId="0" borderId="0"/>
    <xf numFmtId="0" fontId="4" fillId="0" borderId="0"/>
    <xf numFmtId="0" fontId="4" fillId="0" borderId="0"/>
    <xf numFmtId="3" fontId="4" fillId="5" borderId="33">
      <alignment horizontal="right"/>
    </xf>
    <xf numFmtId="3" fontId="4" fillId="5" borderId="33">
      <alignment horizontal="right"/>
    </xf>
    <xf numFmtId="3" fontId="10" fillId="5" borderId="9">
      <alignment horizontal="right"/>
    </xf>
    <xf numFmtId="3" fontId="4" fillId="5" borderId="9">
      <alignment horizontal="right"/>
    </xf>
    <xf numFmtId="3" fontId="4" fillId="5" borderId="9">
      <alignment horizontal="right"/>
    </xf>
    <xf numFmtId="165" fontId="4" fillId="0" borderId="0" applyFont="0" applyFill="0" applyBorder="0" applyAlignment="0" applyProtection="0"/>
    <xf numFmtId="165" fontId="4" fillId="0" borderId="0" applyFont="0" applyFill="0" applyBorder="0" applyAlignment="0" applyProtection="0"/>
    <xf numFmtId="0" fontId="17" fillId="0" borderId="0" applyNumberFormat="0" applyFill="0" applyBorder="0" applyAlignment="0" applyProtection="0"/>
    <xf numFmtId="0" fontId="3" fillId="0" borderId="0"/>
    <xf numFmtId="0" fontId="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39" applyNumberFormat="0" applyFill="0" applyProtection="0">
      <alignment horizontal="center"/>
    </xf>
    <xf numFmtId="164" fontId="4" fillId="0" borderId="0" applyFont="0" applyFill="0" applyBorder="0" applyProtection="0">
      <alignment horizontal="right"/>
    </xf>
    <xf numFmtId="164" fontId="4" fillId="0" borderId="0" applyFont="0" applyFill="0" applyBorder="0" applyProtection="0">
      <alignment horizontal="right"/>
    </xf>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168" fontId="4" fillId="0" borderId="0" applyFont="0" applyFill="0" applyBorder="0" applyProtection="0">
      <alignment horizontal="right"/>
    </xf>
    <xf numFmtId="168" fontId="4" fillId="0" borderId="0" applyFont="0" applyFill="0" applyBorder="0" applyProtection="0">
      <alignment horizontal="right"/>
    </xf>
    <xf numFmtId="0" fontId="24" fillId="11"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4" fillId="12" borderId="0" applyNumberFormat="0" applyBorder="0" applyAlignment="0" applyProtection="0"/>
    <xf numFmtId="0" fontId="24" fillId="11" borderId="0" applyNumberFormat="0" applyBorder="0" applyAlignment="0" applyProtection="0"/>
    <xf numFmtId="0" fontId="24" fillId="18" borderId="0" applyNumberFormat="0" applyBorder="0" applyAlignment="0" applyProtection="0"/>
    <xf numFmtId="0" fontId="24" fillId="21" borderId="0" applyNumberFormat="0" applyBorder="0" applyAlignment="0" applyProtection="0"/>
    <xf numFmtId="0" fontId="24" fillId="15" borderId="0" applyNumberFormat="0" applyBorder="0" applyAlignment="0" applyProtection="0"/>
    <xf numFmtId="169" fontId="4" fillId="0" borderId="0" applyFont="0" applyFill="0" applyBorder="0" applyProtection="0">
      <alignment horizontal="right"/>
    </xf>
    <xf numFmtId="169" fontId="4" fillId="0" borderId="0" applyFont="0" applyFill="0" applyBorder="0" applyProtection="0">
      <alignment horizontal="right"/>
    </xf>
    <xf numFmtId="0" fontId="25" fillId="22"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23"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12" borderId="0" applyNumberFormat="0" applyBorder="0" applyAlignment="0" applyProtection="0"/>
    <xf numFmtId="0" fontId="25" fillId="25" borderId="0" applyNumberFormat="0" applyBorder="0" applyAlignment="0" applyProtection="0"/>
    <xf numFmtId="0" fontId="25" fillId="18" borderId="0" applyNumberFormat="0" applyBorder="0" applyAlignment="0" applyProtection="0"/>
    <xf numFmtId="0" fontId="25" fillId="26" borderId="0" applyNumberFormat="0" applyBorder="0" applyAlignment="0" applyProtection="0"/>
    <xf numFmtId="0" fontId="25" fillId="13"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3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3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3" borderId="0" applyNumberFormat="0" applyBorder="0" applyAlignment="0" applyProtection="0"/>
    <xf numFmtId="0" fontId="25" fillId="29"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170" fontId="4" fillId="0" borderId="0" applyBorder="0"/>
    <xf numFmtId="0" fontId="27" fillId="32" borderId="40" applyNumberFormat="0" applyAlignment="0" applyProtection="0"/>
    <xf numFmtId="0" fontId="28" fillId="33" borderId="40" applyNumberFormat="0" applyAlignment="0" applyProtection="0"/>
    <xf numFmtId="171" fontId="4" fillId="5" borderId="33">
      <alignment horizontal="right" vertical="top"/>
    </xf>
    <xf numFmtId="0" fontId="4" fillId="5" borderId="33">
      <alignment horizontal="left" indent="5"/>
    </xf>
    <xf numFmtId="171" fontId="4" fillId="5" borderId="9" applyNumberFormat="0">
      <alignment horizontal="right" vertical="top"/>
    </xf>
    <xf numFmtId="0" fontId="4" fillId="5" borderId="9">
      <alignment horizontal="left" indent="3"/>
    </xf>
    <xf numFmtId="3" fontId="4" fillId="5" borderId="9">
      <alignment horizontal="right"/>
    </xf>
    <xf numFmtId="171" fontId="10" fillId="5" borderId="9" applyNumberFormat="0">
      <alignment horizontal="right" vertical="top"/>
    </xf>
    <xf numFmtId="0" fontId="10" fillId="5" borderId="9">
      <alignment horizontal="left" indent="1"/>
    </xf>
    <xf numFmtId="0" fontId="10" fillId="5" borderId="9">
      <alignment horizontal="right" vertical="top"/>
    </xf>
    <xf numFmtId="0" fontId="10" fillId="5" borderId="9"/>
    <xf numFmtId="172" fontId="10" fillId="5" borderId="9">
      <alignment horizontal="right"/>
    </xf>
    <xf numFmtId="0" fontId="4" fillId="5" borderId="41" applyFont="0" applyFill="0" applyAlignment="0"/>
    <xf numFmtId="0" fontId="10" fillId="5" borderId="9">
      <alignment horizontal="right" vertical="top"/>
    </xf>
    <xf numFmtId="0" fontId="10" fillId="5" borderId="9">
      <alignment horizontal="left" indent="2"/>
    </xf>
    <xf numFmtId="3" fontId="10" fillId="5" borderId="9">
      <alignment horizontal="right"/>
    </xf>
    <xf numFmtId="171" fontId="4" fillId="5" borderId="9" applyNumberFormat="0">
      <alignment horizontal="right" vertical="top"/>
    </xf>
    <xf numFmtId="0" fontId="4" fillId="5" borderId="9">
      <alignment horizontal="left" indent="3"/>
    </xf>
    <xf numFmtId="0" fontId="29" fillId="34" borderId="42" applyNumberFormat="0" applyAlignment="0" applyProtection="0"/>
    <xf numFmtId="0" fontId="29" fillId="34" borderId="42" applyNumberFormat="0" applyAlignment="0" applyProtection="0"/>
    <xf numFmtId="169" fontId="30" fillId="0" borderId="0" applyFont="0" applyFill="0" applyBorder="0" applyProtection="0">
      <alignment horizontal="right"/>
    </xf>
    <xf numFmtId="173" fontId="30" fillId="0" borderId="0" applyFont="0" applyFill="0" applyBorder="0" applyProtection="0">
      <alignment horizontal="left"/>
    </xf>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32" fillId="0" borderId="43" applyNumberFormat="0" applyBorder="0" applyAlignment="0" applyProtection="0">
      <alignment horizontal="right" vertical="center"/>
    </xf>
    <xf numFmtId="0" fontId="32" fillId="0" borderId="43" applyNumberFormat="0" applyBorder="0" applyAlignment="0" applyProtection="0">
      <alignment horizontal="right" vertical="center"/>
    </xf>
    <xf numFmtId="176" fontId="4"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lignment horizontal="right"/>
      <protection locked="0"/>
    </xf>
    <xf numFmtId="0" fontId="35" fillId="0" borderId="0">
      <alignment horizontal="left"/>
    </xf>
    <xf numFmtId="0" fontId="36" fillId="0" borderId="0">
      <alignment horizontal="left"/>
    </xf>
    <xf numFmtId="0" fontId="4" fillId="0" borderId="0" applyFont="0" applyFill="0" applyBorder="0" applyProtection="0">
      <alignment horizontal="right"/>
    </xf>
    <xf numFmtId="0" fontId="4" fillId="0" borderId="0" applyFont="0" applyFill="0" applyBorder="0" applyProtection="0">
      <alignment horizontal="right"/>
    </xf>
    <xf numFmtId="0" fontId="37" fillId="14" borderId="0" applyNumberFormat="0" applyBorder="0" applyAlignment="0" applyProtection="0"/>
    <xf numFmtId="0" fontId="37" fillId="18" borderId="0" applyNumberFormat="0" applyBorder="0" applyAlignment="0" applyProtection="0"/>
    <xf numFmtId="38" fontId="38" fillId="35" borderId="0" applyNumberFormat="0" applyBorder="0" applyAlignment="0" applyProtection="0"/>
    <xf numFmtId="0" fontId="39" fillId="36" borderId="44" applyProtection="0">
      <alignment horizontal="right"/>
    </xf>
    <xf numFmtId="0" fontId="40" fillId="0" borderId="0">
      <alignment horizontal="left" wrapText="1"/>
    </xf>
    <xf numFmtId="0" fontId="41" fillId="36" borderId="0" applyProtection="0">
      <alignment horizontal="left"/>
    </xf>
    <xf numFmtId="0" fontId="42" fillId="0" borderId="45" applyNumberFormat="0" applyFill="0" applyAlignment="0" applyProtection="0"/>
    <xf numFmtId="0" fontId="43" fillId="0" borderId="0">
      <alignment vertical="top" wrapText="1"/>
    </xf>
    <xf numFmtId="0" fontId="43" fillId="0" borderId="0">
      <alignment vertical="top" wrapText="1"/>
    </xf>
    <xf numFmtId="0" fontId="43" fillId="0" borderId="0">
      <alignment vertical="top" wrapText="1"/>
    </xf>
    <xf numFmtId="0" fontId="43" fillId="0" borderId="0">
      <alignment vertical="top" wrapText="1"/>
    </xf>
    <xf numFmtId="0" fontId="44" fillId="0" borderId="46" applyNumberFormat="0" applyFill="0" applyAlignment="0" applyProtection="0"/>
    <xf numFmtId="177" fontId="45" fillId="0" borderId="0" applyNumberFormat="0" applyFill="0" applyAlignment="0" applyProtection="0"/>
    <xf numFmtId="0" fontId="46" fillId="0" borderId="47" applyNumberFormat="0" applyFill="0" applyAlignment="0" applyProtection="0"/>
    <xf numFmtId="177" fontId="47" fillId="0" borderId="0" applyNumberFormat="0" applyFill="0" applyAlignment="0" applyProtection="0"/>
    <xf numFmtId="0" fontId="46" fillId="0" borderId="0" applyNumberFormat="0" applyFill="0" applyBorder="0" applyAlignment="0" applyProtection="0"/>
    <xf numFmtId="177" fontId="10" fillId="0" borderId="0" applyNumberFormat="0" applyFill="0" applyAlignment="0" applyProtection="0"/>
    <xf numFmtId="177" fontId="48" fillId="0" borderId="0" applyNumberFormat="0" applyFill="0" applyAlignment="0" applyProtection="0"/>
    <xf numFmtId="177" fontId="12" fillId="0" borderId="0" applyNumberFormat="0" applyFill="0" applyAlignment="0" applyProtection="0"/>
    <xf numFmtId="177" fontId="12" fillId="0" borderId="0" applyNumberFormat="0" applyFont="0" applyFill="0" applyBorder="0" applyAlignment="0" applyProtection="0"/>
    <xf numFmtId="177" fontId="12" fillId="0" borderId="0" applyNumberFormat="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7" fillId="0" borderId="0" applyNumberFormat="0" applyFill="0" applyBorder="0" applyAlignment="0" applyProtection="0"/>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Fill="0" applyBorder="0" applyProtection="0">
      <alignment horizontal="left"/>
    </xf>
    <xf numFmtId="10" fontId="38" fillId="37" borderId="9" applyNumberFormat="0" applyBorder="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55" fillId="17" borderId="40" applyNumberFormat="0" applyAlignment="0" applyProtection="0"/>
    <xf numFmtId="0" fontId="39" fillId="0" borderId="48" applyProtection="0">
      <alignment horizontal="right"/>
    </xf>
    <xf numFmtId="0" fontId="39" fillId="0" borderId="44" applyProtection="0">
      <alignment horizontal="right"/>
    </xf>
    <xf numFmtId="0" fontId="39" fillId="0" borderId="49" applyProtection="0">
      <alignment horizontal="center"/>
      <protection locked="0"/>
    </xf>
    <xf numFmtId="0" fontId="38" fillId="0" borderId="0">
      <alignment horizontal="left" vertical="center"/>
    </xf>
    <xf numFmtId="0" fontId="38" fillId="0" borderId="0">
      <alignment horizontal="left" vertical="center"/>
    </xf>
    <xf numFmtId="0" fontId="38" fillId="0" borderId="0">
      <alignment horizontal="center" vertical="center"/>
    </xf>
    <xf numFmtId="0" fontId="38" fillId="0" borderId="0">
      <alignment horizontal="center" vertical="center"/>
    </xf>
    <xf numFmtId="0" fontId="56" fillId="0" borderId="50" applyNumberFormat="0" applyFill="0" applyAlignment="0" applyProtection="0"/>
    <xf numFmtId="0" fontId="57" fillId="0" borderId="51" applyNumberFormat="0" applyFill="0" applyAlignment="0" applyProtection="0"/>
    <xf numFmtId="0" fontId="4" fillId="0" borderId="0"/>
    <xf numFmtId="0" fontId="4" fillId="0" borderId="0"/>
    <xf numFmtId="0" fontId="4" fillId="0" borderId="0"/>
    <xf numFmtId="1" fontId="4" fillId="0" borderId="0" applyFont="0" applyFill="0" applyBorder="0" applyProtection="0">
      <alignment horizontal="right"/>
    </xf>
    <xf numFmtId="1" fontId="4" fillId="0" borderId="0" applyFont="0" applyFill="0" applyBorder="0" applyProtection="0">
      <alignment horizontal="right"/>
    </xf>
    <xf numFmtId="0" fontId="58" fillId="20" borderId="0" applyNumberFormat="0" applyBorder="0" applyAlignment="0" applyProtection="0"/>
    <xf numFmtId="0" fontId="59" fillId="20"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178" fontId="31" fillId="0" borderId="0"/>
    <xf numFmtId="0" fontId="4" fillId="0" borderId="0">
      <alignment vertical="top"/>
    </xf>
    <xf numFmtId="0" fontId="4" fillId="0" borderId="0"/>
    <xf numFmtId="0" fontId="16" fillId="0" borderId="0"/>
    <xf numFmtId="0" fontId="16" fillId="0" borderId="0"/>
    <xf numFmtId="0" fontId="16" fillId="0" borderId="0"/>
    <xf numFmtId="0" fontId="16" fillId="0" borderId="0"/>
    <xf numFmtId="0" fontId="4"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alignment vertical="top"/>
    </xf>
    <xf numFmtId="0" fontId="16" fillId="0" borderId="0"/>
    <xf numFmtId="0" fontId="4" fillId="0" borderId="0">
      <alignment vertical="top"/>
    </xf>
    <xf numFmtId="0" fontId="16" fillId="0" borderId="0"/>
    <xf numFmtId="0" fontId="4" fillId="0" borderId="0">
      <alignment vertical="top"/>
    </xf>
    <xf numFmtId="0" fontId="16" fillId="0" borderId="0"/>
    <xf numFmtId="0" fontId="4" fillId="0" borderId="0">
      <alignment vertical="top"/>
    </xf>
    <xf numFmtId="0" fontId="16" fillId="0" borderId="0"/>
    <xf numFmtId="178" fontId="31" fillId="0" borderId="0"/>
    <xf numFmtId="0" fontId="4" fillId="0" borderId="0">
      <alignment vertical="top"/>
    </xf>
    <xf numFmtId="0" fontId="16" fillId="0" borderId="0"/>
    <xf numFmtId="0" fontId="4" fillId="0" borderId="0">
      <alignment vertical="top"/>
    </xf>
    <xf numFmtId="178" fontId="31" fillId="0" borderId="0"/>
    <xf numFmtId="0" fontId="16" fillId="0" borderId="0"/>
    <xf numFmtId="0" fontId="4" fillId="0" borderId="0">
      <alignment vertical="top"/>
    </xf>
    <xf numFmtId="0" fontId="16" fillId="0" borderId="0"/>
    <xf numFmtId="0" fontId="16" fillId="0" borderId="0"/>
    <xf numFmtId="0" fontId="4" fillId="0" borderId="0">
      <alignment vertical="top"/>
    </xf>
    <xf numFmtId="0" fontId="4" fillId="0" borderId="0"/>
    <xf numFmtId="178" fontId="31" fillId="0" borderId="0"/>
    <xf numFmtId="0" fontId="4" fillId="0" borderId="0"/>
    <xf numFmtId="0" fontId="4" fillId="0" borderId="0"/>
    <xf numFmtId="0" fontId="24" fillId="0" borderId="0"/>
    <xf numFmtId="0" fontId="4" fillId="0" borderId="0"/>
    <xf numFmtId="0" fontId="4" fillId="0" borderId="0"/>
    <xf numFmtId="0" fontId="16" fillId="0" borderId="0"/>
    <xf numFmtId="0" fontId="4" fillId="0" borderId="0"/>
    <xf numFmtId="0" fontId="16" fillId="0" borderId="0"/>
    <xf numFmtId="0" fontId="4" fillId="0" borderId="0">
      <alignment vertical="top"/>
    </xf>
    <xf numFmtId="0" fontId="16" fillId="0" borderId="0"/>
    <xf numFmtId="0" fontId="4" fillId="0" borderId="0"/>
    <xf numFmtId="0" fontId="2"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16"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31" fillId="0" borderId="0"/>
    <xf numFmtId="0" fontId="61" fillId="0" borderId="0"/>
    <xf numFmtId="0" fontId="4" fillId="0" borderId="0"/>
    <xf numFmtId="0" fontId="16"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4"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4" fillId="0" borderId="0"/>
    <xf numFmtId="0" fontId="4" fillId="0" borderId="0"/>
    <xf numFmtId="0" fontId="2" fillId="0" borderId="0"/>
    <xf numFmtId="0" fontId="16"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31" fillId="0" borderId="0"/>
    <xf numFmtId="0" fontId="4" fillId="0" borderId="0">
      <alignment vertical="top"/>
    </xf>
    <xf numFmtId="0" fontId="2" fillId="0" borderId="0"/>
    <xf numFmtId="0" fontId="2" fillId="0" borderId="0"/>
    <xf numFmtId="178" fontId="31" fillId="0" borderId="0"/>
    <xf numFmtId="0" fontId="4" fillId="0" borderId="0">
      <alignment vertical="top"/>
    </xf>
    <xf numFmtId="0" fontId="2" fillId="0" borderId="0"/>
    <xf numFmtId="178" fontId="31" fillId="0" borderId="0"/>
    <xf numFmtId="0" fontId="4" fillId="0" borderId="0">
      <alignment vertical="top"/>
    </xf>
    <xf numFmtId="0" fontId="4" fillId="15" borderId="52" applyNumberFormat="0" applyFont="0" applyAlignment="0" applyProtection="0"/>
    <xf numFmtId="0" fontId="16" fillId="9" borderId="35" applyNumberFormat="0" applyFont="0" applyAlignment="0" applyProtection="0"/>
    <xf numFmtId="0" fontId="4" fillId="15" borderId="52" applyNumberFormat="0" applyFont="0" applyAlignment="0" applyProtection="0"/>
    <xf numFmtId="0" fontId="62" fillId="32" borderId="53" applyNumberFormat="0" applyAlignment="0" applyProtection="0"/>
    <xf numFmtId="0" fontId="62" fillId="33" borderId="53" applyNumberFormat="0" applyAlignment="0" applyProtection="0"/>
    <xf numFmtId="40" fontId="63" fillId="5" borderId="0">
      <alignment horizontal="right"/>
    </xf>
    <xf numFmtId="0" fontId="64" fillId="5" borderId="0">
      <alignment horizontal="right"/>
    </xf>
    <xf numFmtId="0" fontId="65" fillId="5" borderId="38"/>
    <xf numFmtId="0" fontId="65" fillId="0" borderId="0" applyBorder="0">
      <alignment horizontal="centerContinuous"/>
    </xf>
    <xf numFmtId="0" fontId="66" fillId="0" borderId="0" applyBorder="0">
      <alignment horizontal="centerContinuous"/>
    </xf>
    <xf numFmtId="179" fontId="4" fillId="0" borderId="0" applyFont="0" applyFill="0" applyBorder="0" applyProtection="0">
      <alignment horizontal="right"/>
    </xf>
    <xf numFmtId="179" fontId="4" fillId="0" borderId="0" applyFont="0" applyFill="0" applyBorder="0" applyProtection="0">
      <alignment horizontal="right"/>
    </xf>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6" fillId="0" borderId="0" applyFont="0" applyFill="0" applyBorder="0" applyAlignment="0" applyProtection="0"/>
    <xf numFmtId="0" fontId="4" fillId="0" borderId="0"/>
    <xf numFmtId="2" fontId="67" fillId="38" borderId="32" applyAlignment="0" applyProtection="0">
      <protection locked="0"/>
    </xf>
    <xf numFmtId="0" fontId="68" fillId="37" borderId="32" applyNumberFormat="0" applyAlignment="0" applyProtection="0"/>
    <xf numFmtId="0" fontId="69" fillId="39" borderId="9" applyNumberFormat="0" applyAlignment="0" applyProtection="0">
      <alignment horizontal="center" vertical="center"/>
    </xf>
    <xf numFmtId="4" fontId="61" fillId="40" borderId="53" applyNumberFormat="0" applyProtection="0">
      <alignment vertical="center"/>
    </xf>
    <xf numFmtId="4" fontId="70" fillId="40" borderId="53" applyNumberFormat="0" applyProtection="0">
      <alignment vertical="center"/>
    </xf>
    <xf numFmtId="4" fontId="61" fillId="40" borderId="53" applyNumberFormat="0" applyProtection="0">
      <alignment horizontal="left" vertical="center" indent="1"/>
    </xf>
    <xf numFmtId="4" fontId="61" fillId="40" borderId="53" applyNumberFormat="0" applyProtection="0">
      <alignment horizontal="left" vertical="center" indent="1"/>
    </xf>
    <xf numFmtId="0" fontId="4" fillId="41" borderId="53" applyNumberFormat="0" applyProtection="0">
      <alignment horizontal="left" vertical="center" indent="1"/>
    </xf>
    <xf numFmtId="4" fontId="61" fillId="42" borderId="53" applyNumberFormat="0" applyProtection="0">
      <alignment horizontal="right" vertical="center"/>
    </xf>
    <xf numFmtId="4" fontId="61" fillId="43" borderId="53" applyNumberFormat="0" applyProtection="0">
      <alignment horizontal="right" vertical="center"/>
    </xf>
    <xf numFmtId="4" fontId="61" fillId="44" borderId="53" applyNumberFormat="0" applyProtection="0">
      <alignment horizontal="right" vertical="center"/>
    </xf>
    <xf numFmtId="4" fontId="61" fillId="45" borderId="53" applyNumberFormat="0" applyProtection="0">
      <alignment horizontal="right" vertical="center"/>
    </xf>
    <xf numFmtId="4" fontId="61" fillId="46" borderId="53" applyNumberFormat="0" applyProtection="0">
      <alignment horizontal="right" vertical="center"/>
    </xf>
    <xf numFmtId="4" fontId="61" fillId="47" borderId="53" applyNumberFormat="0" applyProtection="0">
      <alignment horizontal="right" vertical="center"/>
    </xf>
    <xf numFmtId="4" fontId="61" fillId="48" borderId="53" applyNumberFormat="0" applyProtection="0">
      <alignment horizontal="right" vertical="center"/>
    </xf>
    <xf numFmtId="4" fontId="61" fillId="49" borderId="53" applyNumberFormat="0" applyProtection="0">
      <alignment horizontal="right" vertical="center"/>
    </xf>
    <xf numFmtId="4" fontId="61" fillId="50" borderId="53" applyNumberFormat="0" applyProtection="0">
      <alignment horizontal="right" vertical="center"/>
    </xf>
    <xf numFmtId="4" fontId="71" fillId="51" borderId="53" applyNumberFormat="0" applyProtection="0">
      <alignment horizontal="left" vertical="center" indent="1"/>
    </xf>
    <xf numFmtId="4" fontId="61" fillId="52" borderId="54" applyNumberFormat="0" applyProtection="0">
      <alignment horizontal="left" vertical="center" indent="1"/>
    </xf>
    <xf numFmtId="4" fontId="72" fillId="53" borderId="0" applyNumberFormat="0" applyProtection="0">
      <alignment horizontal="left" vertical="center" indent="1"/>
    </xf>
    <xf numFmtId="0" fontId="4" fillId="41" borderId="53" applyNumberFormat="0" applyProtection="0">
      <alignment horizontal="left" vertical="center" indent="1"/>
    </xf>
    <xf numFmtId="4" fontId="61" fillId="52" borderId="53" applyNumberFormat="0" applyProtection="0">
      <alignment horizontal="left" vertical="center" indent="1"/>
    </xf>
    <xf numFmtId="4" fontId="61" fillId="54" borderId="53" applyNumberFormat="0" applyProtection="0">
      <alignment horizontal="left" vertical="center" indent="1"/>
    </xf>
    <xf numFmtId="0" fontId="4" fillId="54" borderId="53" applyNumberFormat="0" applyProtection="0">
      <alignment horizontal="left" vertical="center" indent="1"/>
    </xf>
    <xf numFmtId="0" fontId="4" fillId="54" borderId="53" applyNumberFormat="0" applyProtection="0">
      <alignment horizontal="left" vertical="center" indent="1"/>
    </xf>
    <xf numFmtId="0" fontId="4" fillId="39" borderId="53" applyNumberFormat="0" applyProtection="0">
      <alignment horizontal="left" vertical="center" indent="1"/>
    </xf>
    <xf numFmtId="0" fontId="4" fillId="39" borderId="53" applyNumberFormat="0" applyProtection="0">
      <alignment horizontal="left" vertical="center" indent="1"/>
    </xf>
    <xf numFmtId="0" fontId="4" fillId="35" borderId="53" applyNumberFormat="0" applyProtection="0">
      <alignment horizontal="left" vertical="center" indent="1"/>
    </xf>
    <xf numFmtId="0" fontId="4" fillId="35" borderId="53" applyNumberFormat="0" applyProtection="0">
      <alignment horizontal="left" vertical="center" indent="1"/>
    </xf>
    <xf numFmtId="0" fontId="4" fillId="41" borderId="53" applyNumberFormat="0" applyProtection="0">
      <alignment horizontal="left" vertical="center" indent="1"/>
    </xf>
    <xf numFmtId="0" fontId="4" fillId="41" borderId="53" applyNumberFormat="0" applyProtection="0">
      <alignment horizontal="left" vertical="center" indent="1"/>
    </xf>
    <xf numFmtId="4" fontId="61" fillId="37" borderId="53" applyNumberFormat="0" applyProtection="0">
      <alignment vertical="center"/>
    </xf>
    <xf numFmtId="4" fontId="70" fillId="37" borderId="53" applyNumberFormat="0" applyProtection="0">
      <alignment vertical="center"/>
    </xf>
    <xf numFmtId="4" fontId="61" fillId="37" borderId="53" applyNumberFormat="0" applyProtection="0">
      <alignment horizontal="left" vertical="center" indent="1"/>
    </xf>
    <xf numFmtId="4" fontId="61" fillId="37" borderId="53" applyNumberFormat="0" applyProtection="0">
      <alignment horizontal="left" vertical="center" indent="1"/>
    </xf>
    <xf numFmtId="4" fontId="61" fillId="52" borderId="53" applyNumberFormat="0" applyProtection="0">
      <alignment horizontal="right" vertical="center"/>
    </xf>
    <xf numFmtId="4" fontId="70" fillId="52" borderId="53" applyNumberFormat="0" applyProtection="0">
      <alignment horizontal="right" vertical="center"/>
    </xf>
    <xf numFmtId="0" fontId="4" fillId="41" borderId="53" applyNumberFormat="0" applyProtection="0">
      <alignment horizontal="left" vertical="center" indent="1"/>
    </xf>
    <xf numFmtId="0" fontId="4" fillId="41" borderId="53" applyNumberFormat="0" applyProtection="0">
      <alignment horizontal="left" vertical="center" indent="1"/>
    </xf>
    <xf numFmtId="0" fontId="73" fillId="0" borderId="0"/>
    <xf numFmtId="4" fontId="74" fillId="52" borderId="53" applyNumberFormat="0" applyProtection="0">
      <alignment horizontal="right" vertical="center"/>
    </xf>
    <xf numFmtId="0" fontId="4" fillId="0" borderId="0"/>
    <xf numFmtId="0" fontId="4" fillId="0" borderId="0">
      <alignment horizontal="left" wrapText="1"/>
    </xf>
    <xf numFmtId="0" fontId="75" fillId="5" borderId="55">
      <alignment horizontal="center"/>
    </xf>
    <xf numFmtId="0" fontId="40" fillId="0" borderId="0">
      <alignment horizontal="left"/>
    </xf>
    <xf numFmtId="3" fontId="76" fillId="5" borderId="0"/>
    <xf numFmtId="3" fontId="75" fillId="5" borderId="0"/>
    <xf numFmtId="0" fontId="76" fillId="5" borderId="0"/>
    <xf numFmtId="0" fontId="75" fillId="5" borderId="0"/>
    <xf numFmtId="0" fontId="76" fillId="5" borderId="0">
      <alignment horizontal="center"/>
    </xf>
    <xf numFmtId="0" fontId="77" fillId="0" borderId="0">
      <alignment wrapText="1"/>
    </xf>
    <xf numFmtId="0" fontId="77" fillId="0" borderId="0">
      <alignment wrapText="1"/>
    </xf>
    <xf numFmtId="0" fontId="77" fillId="0" borderId="0">
      <alignment wrapText="1"/>
    </xf>
    <xf numFmtId="0" fontId="77" fillId="0" borderId="0">
      <alignment wrapText="1"/>
    </xf>
    <xf numFmtId="0" fontId="40" fillId="55" borderId="0">
      <alignment horizontal="right" vertical="top" wrapText="1"/>
    </xf>
    <xf numFmtId="0" fontId="40" fillId="55" borderId="0">
      <alignment horizontal="right" vertical="top" wrapText="1"/>
    </xf>
    <xf numFmtId="0" fontId="40" fillId="55" borderId="0">
      <alignment horizontal="right" vertical="top" wrapText="1"/>
    </xf>
    <xf numFmtId="0" fontId="40" fillId="55" borderId="0">
      <alignment horizontal="right" vertical="top" wrapText="1"/>
    </xf>
    <xf numFmtId="0" fontId="78" fillId="0" borderId="0"/>
    <xf numFmtId="0" fontId="78" fillId="0" borderId="0"/>
    <xf numFmtId="0" fontId="78" fillId="0" borderId="0"/>
    <xf numFmtId="0" fontId="78" fillId="0" borderId="0"/>
    <xf numFmtId="0" fontId="79" fillId="0" borderId="0"/>
    <xf numFmtId="0" fontId="79" fillId="0" borderId="0"/>
    <xf numFmtId="0" fontId="79" fillId="0" borderId="0"/>
    <xf numFmtId="0" fontId="80" fillId="0" borderId="0"/>
    <xf numFmtId="0" fontId="80" fillId="0" borderId="0"/>
    <xf numFmtId="0" fontId="80" fillId="0" borderId="0"/>
    <xf numFmtId="180" fontId="38" fillId="0" borderId="0">
      <alignment wrapText="1"/>
      <protection locked="0"/>
    </xf>
    <xf numFmtId="180" fontId="38" fillId="0" borderId="0">
      <alignment wrapText="1"/>
      <protection locked="0"/>
    </xf>
    <xf numFmtId="180" fontId="40" fillId="56" borderId="0">
      <alignment wrapText="1"/>
      <protection locked="0"/>
    </xf>
    <xf numFmtId="180" fontId="40" fillId="56" borderId="0">
      <alignment wrapText="1"/>
      <protection locked="0"/>
    </xf>
    <xf numFmtId="180" fontId="40" fillId="56" borderId="0">
      <alignment wrapText="1"/>
      <protection locked="0"/>
    </xf>
    <xf numFmtId="180" fontId="40" fillId="56" borderId="0">
      <alignment wrapText="1"/>
      <protection locked="0"/>
    </xf>
    <xf numFmtId="180" fontId="38" fillId="0" borderId="0">
      <alignment wrapText="1"/>
      <protection locked="0"/>
    </xf>
    <xf numFmtId="181" fontId="38" fillId="0" borderId="0">
      <alignment wrapText="1"/>
      <protection locked="0"/>
    </xf>
    <xf numFmtId="181" fontId="38" fillId="0" borderId="0">
      <alignment wrapText="1"/>
      <protection locked="0"/>
    </xf>
    <xf numFmtId="181" fontId="38" fillId="0" borderId="0">
      <alignment wrapText="1"/>
      <protection locked="0"/>
    </xf>
    <xf numFmtId="181" fontId="40" fillId="56" borderId="0">
      <alignment wrapText="1"/>
      <protection locked="0"/>
    </xf>
    <xf numFmtId="181" fontId="40" fillId="56" borderId="0">
      <alignment wrapText="1"/>
      <protection locked="0"/>
    </xf>
    <xf numFmtId="181" fontId="40" fillId="56" borderId="0">
      <alignment wrapText="1"/>
      <protection locked="0"/>
    </xf>
    <xf numFmtId="181" fontId="40" fillId="56" borderId="0">
      <alignment wrapText="1"/>
      <protection locked="0"/>
    </xf>
    <xf numFmtId="181" fontId="40" fillId="56" borderId="0">
      <alignment wrapText="1"/>
      <protection locked="0"/>
    </xf>
    <xf numFmtId="181" fontId="40" fillId="56" borderId="0">
      <alignment wrapText="1"/>
      <protection locked="0"/>
    </xf>
    <xf numFmtId="181" fontId="38" fillId="0" borderId="0">
      <alignment wrapText="1"/>
      <protection locked="0"/>
    </xf>
    <xf numFmtId="182" fontId="38" fillId="0" borderId="0">
      <alignment wrapText="1"/>
      <protection locked="0"/>
    </xf>
    <xf numFmtId="182" fontId="38" fillId="0" borderId="0">
      <alignment wrapText="1"/>
      <protection locked="0"/>
    </xf>
    <xf numFmtId="182" fontId="40" fillId="56" borderId="0">
      <alignment wrapText="1"/>
      <protection locked="0"/>
    </xf>
    <xf numFmtId="182" fontId="40" fillId="56" borderId="0">
      <alignment wrapText="1"/>
      <protection locked="0"/>
    </xf>
    <xf numFmtId="182" fontId="40" fillId="56" borderId="0">
      <alignment wrapText="1"/>
      <protection locked="0"/>
    </xf>
    <xf numFmtId="182" fontId="40" fillId="56" borderId="0">
      <alignment wrapText="1"/>
      <protection locked="0"/>
    </xf>
    <xf numFmtId="182" fontId="38" fillId="0" borderId="0">
      <alignment wrapText="1"/>
      <protection locked="0"/>
    </xf>
    <xf numFmtId="183" fontId="40" fillId="55" borderId="56">
      <alignment wrapText="1"/>
    </xf>
    <xf numFmtId="183" fontId="40" fillId="55" borderId="56">
      <alignment wrapText="1"/>
    </xf>
    <xf numFmtId="183" fontId="40" fillId="55" borderId="56">
      <alignment wrapText="1"/>
    </xf>
    <xf numFmtId="184" fontId="40" fillId="55" borderId="56">
      <alignment wrapText="1"/>
    </xf>
    <xf numFmtId="184" fontId="40" fillId="55" borderId="56">
      <alignment wrapText="1"/>
    </xf>
    <xf numFmtId="184" fontId="40" fillId="55" borderId="56">
      <alignment wrapText="1"/>
    </xf>
    <xf numFmtId="184" fontId="40" fillId="55" borderId="56">
      <alignment wrapText="1"/>
    </xf>
    <xf numFmtId="185" fontId="40" fillId="55" borderId="56">
      <alignment wrapText="1"/>
    </xf>
    <xf numFmtId="185" fontId="40" fillId="55" borderId="56">
      <alignment wrapText="1"/>
    </xf>
    <xf numFmtId="185" fontId="40" fillId="55" borderId="56">
      <alignment wrapText="1"/>
    </xf>
    <xf numFmtId="0" fontId="78" fillId="0" borderId="57">
      <alignment horizontal="right"/>
    </xf>
    <xf numFmtId="0" fontId="78" fillId="0" borderId="57">
      <alignment horizontal="right"/>
    </xf>
    <xf numFmtId="0" fontId="78" fillId="0" borderId="57">
      <alignment horizontal="right"/>
    </xf>
    <xf numFmtId="0" fontId="78" fillId="0" borderId="57">
      <alignment horizontal="right"/>
    </xf>
    <xf numFmtId="40" fontId="81" fillId="0" borderId="0"/>
    <xf numFmtId="0" fontId="82" fillId="0" borderId="0" applyNumberFormat="0" applyFill="0" applyBorder="0" applyAlignment="0" applyProtection="0"/>
    <xf numFmtId="0" fontId="83" fillId="0" borderId="0" applyNumberFormat="0" applyFill="0" applyBorder="0" applyProtection="0">
      <alignment horizontal="left" vertical="center" indent="10"/>
    </xf>
    <xf numFmtId="0" fontId="83" fillId="0" borderId="0" applyNumberFormat="0" applyFill="0" applyBorder="0" applyProtection="0">
      <alignment horizontal="left" vertical="center" indent="10"/>
    </xf>
    <xf numFmtId="0" fontId="84" fillId="0" borderId="58" applyNumberFormat="0" applyFill="0" applyAlignment="0" applyProtection="0"/>
    <xf numFmtId="0" fontId="84" fillId="0" borderId="59"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8" fillId="0" borderId="0"/>
    <xf numFmtId="165"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90" fillId="0" borderId="0"/>
    <xf numFmtId="0" fontId="4" fillId="0" borderId="0"/>
    <xf numFmtId="0" fontId="4" fillId="0" borderId="0"/>
    <xf numFmtId="0" fontId="90" fillId="0" borderId="0"/>
    <xf numFmtId="0" fontId="90" fillId="0" borderId="0"/>
    <xf numFmtId="0" fontId="83" fillId="0" borderId="0" applyNumberFormat="0" applyFont="0" applyBorder="0" applyAlignment="0">
      <alignment horizontal="left" vertical="center"/>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0" fillId="0" borderId="0"/>
    <xf numFmtId="0" fontId="10" fillId="0" borderId="0"/>
    <xf numFmtId="0" fontId="91" fillId="0" borderId="0" applyNumberFormat="0" applyFill="0" applyBorder="0" applyAlignment="0" applyProtection="0"/>
    <xf numFmtId="186" fontId="4" fillId="0" borderId="0"/>
    <xf numFmtId="0" fontId="2" fillId="0" borderId="0"/>
    <xf numFmtId="0" fontId="2" fillId="0" borderId="0"/>
    <xf numFmtId="0" fontId="2" fillId="0" borderId="0"/>
    <xf numFmtId="0" fontId="2" fillId="0" borderId="0"/>
    <xf numFmtId="0" fontId="92" fillId="0" borderId="0"/>
    <xf numFmtId="9" fontId="2" fillId="0" borderId="0" applyFont="0" applyFill="0" applyBorder="0" applyAlignment="0" applyProtection="0"/>
    <xf numFmtId="9" fontId="2" fillId="0" borderId="0" applyFont="0" applyFill="0" applyBorder="0" applyAlignment="0" applyProtection="0"/>
    <xf numFmtId="0" fontId="4" fillId="0" borderId="0">
      <alignment textRotation="90"/>
    </xf>
    <xf numFmtId="0" fontId="4" fillId="0" borderId="0"/>
    <xf numFmtId="0" fontId="4" fillId="0" borderId="0"/>
    <xf numFmtId="187" fontId="93" fillId="0" borderId="22" applyFill="0" applyBorder="0" applyProtection="0">
      <alignment horizontal="right"/>
    </xf>
    <xf numFmtId="0" fontId="81" fillId="0" borderId="0" applyNumberFormat="0" applyFill="0" applyBorder="0" applyProtection="0">
      <alignment horizontal="center" vertical="center" wrapText="1"/>
    </xf>
    <xf numFmtId="1" fontId="94" fillId="0" borderId="0" applyNumberFormat="0" applyFill="0" applyBorder="0" applyProtection="0">
      <alignment horizontal="right" vertical="top"/>
    </xf>
    <xf numFmtId="188" fontId="93" fillId="0" borderId="0" applyNumberFormat="0" applyFill="0" applyBorder="0" applyProtection="0">
      <alignment horizontal="left"/>
    </xf>
    <xf numFmtId="0" fontId="94" fillId="0" borderId="0" applyNumberFormat="0" applyFill="0" applyBorder="0" applyProtection="0">
      <alignment horizontal="left" vertical="top"/>
    </xf>
    <xf numFmtId="0" fontId="45" fillId="0" borderId="0"/>
    <xf numFmtId="0" fontId="10" fillId="0" borderId="0"/>
    <xf numFmtId="0" fontId="4" fillId="0" borderId="0"/>
    <xf numFmtId="0" fontId="1" fillId="0" borderId="0"/>
  </cellStyleXfs>
  <cellXfs count="238">
    <xf numFmtId="0" fontId="0" fillId="0" borderId="0" xfId="0"/>
    <xf numFmtId="0" fontId="5" fillId="0" borderId="0" xfId="0" applyFont="1"/>
    <xf numFmtId="0" fontId="6" fillId="0" borderId="0" xfId="0" applyFont="1"/>
    <xf numFmtId="0" fontId="7" fillId="0" borderId="0" xfId="0" applyFont="1"/>
    <xf numFmtId="0" fontId="8" fillId="0" borderId="0" xfId="0" applyFont="1"/>
    <xf numFmtId="0" fontId="8" fillId="2" borderId="1" xfId="0" applyFont="1" applyFill="1" applyBorder="1"/>
    <xf numFmtId="164" fontId="9" fillId="0" borderId="0" xfId="0" applyNumberFormat="1" applyFont="1"/>
    <xf numFmtId="0" fontId="4" fillId="0" borderId="0" xfId="0" applyFont="1"/>
    <xf numFmtId="0" fontId="10" fillId="0" borderId="0" xfId="0" applyFont="1" applyAlignment="1">
      <alignment horizontal="center" wrapText="1"/>
    </xf>
    <xf numFmtId="0" fontId="11" fillId="0" borderId="0" xfId="0" applyFont="1"/>
    <xf numFmtId="0" fontId="4" fillId="0" borderId="2" xfId="0" applyFont="1" applyBorder="1"/>
    <xf numFmtId="0" fontId="0" fillId="0" borderId="3" xfId="0" applyBorder="1"/>
    <xf numFmtId="0" fontId="12" fillId="0" borderId="4" xfId="0" applyFont="1" applyBorder="1" applyAlignment="1">
      <alignment horizontal="center"/>
    </xf>
    <xf numFmtId="164" fontId="0" fillId="0" borderId="5" xfId="0" applyNumberFormat="1" applyBorder="1"/>
    <xf numFmtId="0" fontId="4" fillId="0" borderId="6" xfId="0" applyFont="1" applyBorder="1"/>
    <xf numFmtId="0" fontId="0" fillId="0" borderId="0" xfId="0" applyFill="1"/>
    <xf numFmtId="0" fontId="4" fillId="0" borderId="7" xfId="0" applyFont="1" applyFill="1" applyBorder="1"/>
    <xf numFmtId="0" fontId="0" fillId="0" borderId="8" xfId="0" applyBorder="1"/>
    <xf numFmtId="3" fontId="0" fillId="0" borderId="9" xfId="0" applyNumberFormat="1" applyBorder="1" applyAlignment="1">
      <alignment horizontal="center"/>
    </xf>
    <xf numFmtId="0" fontId="0" fillId="0" borderId="10" xfId="0" applyBorder="1"/>
    <xf numFmtId="3" fontId="0" fillId="0" borderId="0" xfId="0" applyNumberFormat="1" applyFill="1"/>
    <xf numFmtId="2" fontId="12" fillId="0" borderId="9" xfId="0" applyNumberFormat="1" applyFont="1" applyBorder="1" applyAlignment="1">
      <alignment horizontal="center"/>
    </xf>
    <xf numFmtId="0" fontId="0" fillId="0" borderId="11" xfId="0" applyBorder="1"/>
    <xf numFmtId="0" fontId="0" fillId="0" borderId="7" xfId="0" applyBorder="1"/>
    <xf numFmtId="0" fontId="0" fillId="0" borderId="7" xfId="0" applyBorder="1" applyAlignment="1">
      <alignment wrapText="1"/>
    </xf>
    <xf numFmtId="0" fontId="4" fillId="0" borderId="11" xfId="0" applyFont="1" applyBorder="1" applyAlignment="1">
      <alignment wrapText="1"/>
    </xf>
    <xf numFmtId="3" fontId="0" fillId="0" borderId="0" xfId="0" applyNumberFormat="1" applyBorder="1" applyAlignment="1">
      <alignment horizontal="center"/>
    </xf>
    <xf numFmtId="0" fontId="12" fillId="0" borderId="9" xfId="0" applyFont="1" applyBorder="1" applyAlignment="1">
      <alignment horizontal="center"/>
    </xf>
    <xf numFmtId="0" fontId="0" fillId="0" borderId="12" xfId="0" applyBorder="1" applyAlignment="1">
      <alignment wrapText="1"/>
    </xf>
    <xf numFmtId="0" fontId="0" fillId="0" borderId="13" xfId="0" applyBorder="1"/>
    <xf numFmtId="0" fontId="12" fillId="0" borderId="14" xfId="0" applyFont="1" applyBorder="1" applyAlignment="1">
      <alignment horizontal="center"/>
    </xf>
    <xf numFmtId="0" fontId="0" fillId="0" borderId="15" xfId="0" applyBorder="1"/>
    <xf numFmtId="0" fontId="0" fillId="0" borderId="16" xfId="0" applyBorder="1"/>
    <xf numFmtId="0" fontId="10" fillId="0" borderId="0" xfId="0" applyFont="1" applyFill="1" applyBorder="1" applyAlignment="1">
      <alignment wrapText="1"/>
    </xf>
    <xf numFmtId="0" fontId="4" fillId="0" borderId="2" xfId="0" applyFont="1" applyBorder="1" applyAlignment="1">
      <alignment wrapText="1"/>
    </xf>
    <xf numFmtId="3" fontId="0" fillId="3" borderId="4" xfId="0" applyNumberFormat="1" applyFill="1" applyBorder="1" applyAlignment="1">
      <alignment horizontal="center"/>
    </xf>
    <xf numFmtId="0" fontId="0" fillId="0" borderId="5" xfId="0" applyBorder="1"/>
    <xf numFmtId="0" fontId="4" fillId="0" borderId="6" xfId="0" applyFont="1" applyBorder="1" applyAlignment="1">
      <alignment wrapText="1"/>
    </xf>
    <xf numFmtId="3" fontId="0" fillId="0" borderId="2" xfId="0" applyNumberFormat="1" applyFill="1" applyBorder="1"/>
    <xf numFmtId="0" fontId="0" fillId="0" borderId="17" xfId="0" applyBorder="1"/>
    <xf numFmtId="0" fontId="4" fillId="0" borderId="7" xfId="0" applyFont="1" applyBorder="1" applyAlignment="1">
      <alignment wrapText="1"/>
    </xf>
    <xf numFmtId="3" fontId="0" fillId="3" borderId="9" xfId="0" applyNumberFormat="1" applyFill="1" applyBorder="1" applyAlignment="1">
      <alignment horizontal="center"/>
    </xf>
    <xf numFmtId="3" fontId="0" fillId="0" borderId="7" xfId="0" applyNumberFormat="1" applyFill="1" applyBorder="1"/>
    <xf numFmtId="0" fontId="0" fillId="0" borderId="18" xfId="0" applyBorder="1"/>
    <xf numFmtId="3" fontId="0" fillId="3" borderId="19" xfId="0" applyNumberFormat="1" applyFill="1" applyBorder="1" applyAlignment="1">
      <alignment horizontal="center"/>
    </xf>
    <xf numFmtId="3" fontId="0" fillId="0" borderId="9" xfId="0" applyNumberFormat="1" applyFill="1" applyBorder="1" applyAlignment="1">
      <alignment horizontal="center"/>
    </xf>
    <xf numFmtId="3" fontId="0" fillId="0" borderId="14" xfId="0" applyNumberFormat="1" applyFill="1" applyBorder="1" applyAlignment="1">
      <alignment horizontal="center"/>
    </xf>
    <xf numFmtId="0" fontId="4" fillId="0" borderId="16" xfId="0" applyFont="1" applyBorder="1" applyAlignment="1">
      <alignment wrapText="1"/>
    </xf>
    <xf numFmtId="3" fontId="0" fillId="0" borderId="12" xfId="0" applyNumberFormat="1" applyFill="1" applyBorder="1"/>
    <xf numFmtId="0" fontId="0" fillId="0" borderId="20" xfId="0" applyBorder="1"/>
    <xf numFmtId="0" fontId="4" fillId="0" borderId="17" xfId="0" applyFont="1" applyBorder="1" applyAlignment="1">
      <alignment wrapText="1"/>
    </xf>
    <xf numFmtId="3" fontId="0" fillId="0" borderId="4" xfId="0" applyNumberFormat="1" applyBorder="1"/>
    <xf numFmtId="0" fontId="4" fillId="0" borderId="18" xfId="0" applyFont="1" applyBorder="1" applyAlignment="1">
      <alignment wrapText="1"/>
    </xf>
    <xf numFmtId="10" fontId="0" fillId="0" borderId="9" xfId="2" applyNumberFormat="1" applyFont="1" applyBorder="1"/>
    <xf numFmtId="0" fontId="0" fillId="0" borderId="23" xfId="0" applyBorder="1"/>
    <xf numFmtId="0" fontId="0" fillId="0" borderId="24" xfId="0" applyBorder="1"/>
    <xf numFmtId="3" fontId="10" fillId="4" borderId="4" xfId="0" applyNumberFormat="1" applyFont="1" applyFill="1" applyBorder="1"/>
    <xf numFmtId="3" fontId="10" fillId="4" borderId="14" xfId="0" applyNumberFormat="1" applyFont="1" applyFill="1" applyBorder="1"/>
    <xf numFmtId="0" fontId="8" fillId="0" borderId="1" xfId="0" applyFont="1" applyFill="1" applyBorder="1"/>
    <xf numFmtId="0" fontId="0" fillId="0" borderId="25" xfId="0" applyFill="1" applyBorder="1" applyAlignment="1">
      <alignment horizontal="right"/>
    </xf>
    <xf numFmtId="0" fontId="0" fillId="0" borderId="0" xfId="0" applyAlignment="1">
      <alignment wrapText="1"/>
    </xf>
    <xf numFmtId="0" fontId="15" fillId="0" borderId="0" xfId="0" applyFont="1"/>
    <xf numFmtId="0" fontId="15" fillId="0" borderId="0" xfId="0" applyFont="1" applyBorder="1" applyAlignment="1"/>
    <xf numFmtId="0" fontId="10" fillId="3" borderId="0" xfId="0" applyFont="1" applyFill="1" applyBorder="1" applyAlignment="1">
      <alignment wrapText="1"/>
    </xf>
    <xf numFmtId="0" fontId="15" fillId="0" borderId="0" xfId="0" applyFont="1" applyFill="1"/>
    <xf numFmtId="0" fontId="0" fillId="0" borderId="7" xfId="0" applyFont="1" applyFill="1" applyBorder="1"/>
    <xf numFmtId="0" fontId="2" fillId="0" borderId="0" xfId="352"/>
    <xf numFmtId="0" fontId="18" fillId="0" borderId="0" xfId="352" applyFont="1"/>
    <xf numFmtId="4" fontId="20" fillId="0" borderId="0" xfId="352" applyNumberFormat="1" applyFont="1"/>
    <xf numFmtId="3" fontId="20" fillId="0" borderId="0" xfId="352" applyNumberFormat="1" applyFont="1"/>
    <xf numFmtId="0" fontId="20" fillId="0" borderId="0" xfId="352" applyFont="1"/>
    <xf numFmtId="3" fontId="19" fillId="0" borderId="0" xfId="352" applyNumberFormat="1" applyFont="1"/>
    <xf numFmtId="0" fontId="2" fillId="0" borderId="36" xfId="352" applyFont="1" applyBorder="1"/>
    <xf numFmtId="0" fontId="20" fillId="0" borderId="34" xfId="352" applyFont="1" applyBorder="1"/>
    <xf numFmtId="4" fontId="20" fillId="0" borderId="36" xfId="352" applyNumberFormat="1" applyFont="1" applyBorder="1"/>
    <xf numFmtId="0" fontId="2" fillId="0" borderId="37" xfId="352" applyFont="1" applyBorder="1"/>
    <xf numFmtId="0" fontId="20" fillId="0" borderId="60" xfId="352" applyFont="1" applyBorder="1"/>
    <xf numFmtId="4" fontId="20" fillId="0" borderId="37" xfId="352" applyNumberFormat="1" applyFont="1" applyBorder="1" applyAlignment="1">
      <alignment wrapText="1"/>
    </xf>
    <xf numFmtId="0" fontId="2" fillId="0" borderId="0" xfId="352" applyBorder="1"/>
    <xf numFmtId="0" fontId="18" fillId="0" borderId="38" xfId="352" applyFont="1" applyBorder="1"/>
    <xf numFmtId="4" fontId="18" fillId="0" borderId="0" xfId="352" applyNumberFormat="1" applyFont="1"/>
    <xf numFmtId="4" fontId="20" fillId="0" borderId="38" xfId="352" applyNumberFormat="1" applyFont="1" applyBorder="1"/>
    <xf numFmtId="0" fontId="20" fillId="0" borderId="0" xfId="352" applyFont="1" applyBorder="1"/>
    <xf numFmtId="4" fontId="20" fillId="0" borderId="30" xfId="352" applyNumberFormat="1" applyFont="1" applyBorder="1"/>
    <xf numFmtId="4" fontId="20" fillId="0" borderId="0" xfId="352" applyNumberFormat="1" applyFont="1" applyBorder="1"/>
    <xf numFmtId="0" fontId="20" fillId="0" borderId="0" xfId="352" applyFont="1" applyFill="1" applyBorder="1"/>
    <xf numFmtId="4" fontId="20" fillId="0" borderId="30" xfId="352" applyNumberFormat="1" applyFont="1" applyFill="1" applyBorder="1"/>
    <xf numFmtId="4" fontId="20" fillId="0" borderId="0" xfId="352" applyNumberFormat="1" applyFont="1" applyFill="1"/>
    <xf numFmtId="0" fontId="2" fillId="0" borderId="0" xfId="352" applyFill="1"/>
    <xf numFmtId="1" fontId="85" fillId="0" borderId="27" xfId="0" applyNumberFormat="1" applyFont="1" applyFill="1" applyBorder="1"/>
    <xf numFmtId="0" fontId="85" fillId="0" borderId="27" xfId="0" applyFont="1" applyFill="1" applyBorder="1"/>
    <xf numFmtId="0" fontId="85" fillId="0" borderId="27" xfId="0" applyFont="1" applyBorder="1" applyAlignment="1">
      <alignment wrapText="1"/>
    </xf>
    <xf numFmtId="0" fontId="85" fillId="0" borderId="27" xfId="0" applyFont="1" applyBorder="1"/>
    <xf numFmtId="0" fontId="85" fillId="0" borderId="27" xfId="0" applyFont="1" applyFill="1" applyBorder="1" applyAlignment="1">
      <alignment wrapText="1"/>
    </xf>
    <xf numFmtId="1" fontId="86" fillId="0" borderId="26" xfId="0" applyNumberFormat="1" applyFont="1" applyFill="1" applyBorder="1" applyAlignment="1">
      <alignment horizontal="left" vertical="top"/>
    </xf>
    <xf numFmtId="0" fontId="86" fillId="0" borderId="27" xfId="0" applyFont="1" applyFill="1" applyBorder="1" applyAlignment="1">
      <alignment horizontal="left" vertical="top"/>
    </xf>
    <xf numFmtId="0" fontId="86" fillId="0" borderId="27" xfId="0" applyFont="1" applyFill="1" applyBorder="1" applyAlignment="1">
      <alignment horizontal="left" vertical="top" wrapText="1"/>
    </xf>
    <xf numFmtId="0" fontId="86" fillId="0" borderId="0" xfId="0" applyFont="1" applyFill="1" applyBorder="1" applyAlignment="1">
      <alignment horizontal="left" vertical="top" wrapText="1"/>
    </xf>
    <xf numFmtId="1" fontId="4" fillId="0" borderId="28" xfId="0" applyNumberFormat="1" applyFont="1" applyFill="1" applyBorder="1" applyAlignment="1">
      <alignment horizontal="center"/>
    </xf>
    <xf numFmtId="4" fontId="4" fillId="0" borderId="29" xfId="0" applyNumberFormat="1" applyFont="1" applyFill="1" applyBorder="1" applyAlignment="1">
      <alignment horizontal="center"/>
    </xf>
    <xf numFmtId="4" fontId="4" fillId="0" borderId="29" xfId="0" applyNumberFormat="1" applyFont="1" applyFill="1" applyBorder="1"/>
    <xf numFmtId="0" fontId="20" fillId="0" borderId="0" xfId="4" applyFont="1"/>
    <xf numFmtId="3" fontId="4" fillId="0" borderId="0" xfId="1" applyNumberFormat="1" applyFont="1"/>
    <xf numFmtId="4" fontId="4" fillId="0" borderId="0" xfId="5" applyNumberFormat="1" applyFont="1" applyFill="1"/>
    <xf numFmtId="0" fontId="4" fillId="0" borderId="0" xfId="0" applyFont="1" applyFill="1" applyBorder="1"/>
    <xf numFmtId="0" fontId="4" fillId="0" borderId="29" xfId="0" applyFont="1" applyFill="1" applyBorder="1" applyAlignment="1">
      <alignment horizontal="center"/>
    </xf>
    <xf numFmtId="0" fontId="4" fillId="0" borderId="29" xfId="0" applyFont="1" applyFill="1" applyBorder="1"/>
    <xf numFmtId="0" fontId="20" fillId="0" borderId="0" xfId="4" applyFont="1" applyFill="1"/>
    <xf numFmtId="1" fontId="4" fillId="0" borderId="30" xfId="0" applyNumberFormat="1" applyFont="1" applyFill="1" applyBorder="1" applyAlignment="1">
      <alignment horizontal="center"/>
    </xf>
    <xf numFmtId="4" fontId="4" fillId="0" borderId="31" xfId="0" applyNumberFormat="1" applyFont="1" applyFill="1" applyBorder="1" applyAlignment="1">
      <alignment horizontal="center"/>
    </xf>
    <xf numFmtId="4" fontId="4" fillId="0" borderId="31" xfId="0" applyNumberFormat="1" applyFont="1" applyFill="1" applyBorder="1"/>
    <xf numFmtId="0" fontId="4" fillId="0" borderId="0" xfId="0" applyFont="1" applyBorder="1"/>
    <xf numFmtId="167" fontId="4" fillId="0" borderId="0" xfId="5" applyNumberFormat="1" applyFont="1" applyFill="1" applyBorder="1"/>
    <xf numFmtId="0" fontId="20" fillId="6" borderId="0" xfId="4" applyFont="1" applyFill="1"/>
    <xf numFmtId="0" fontId="4" fillId="6" borderId="0" xfId="0" applyFont="1" applyFill="1" applyAlignment="1">
      <alignment horizontal="right"/>
    </xf>
    <xf numFmtId="2" fontId="4" fillId="0" borderId="0" xfId="5" applyNumberFormat="1" applyFont="1" applyFill="1" applyBorder="1"/>
    <xf numFmtId="0" fontId="4" fillId="0" borderId="0" xfId="0" applyFont="1" applyAlignment="1">
      <alignment horizontal="right"/>
    </xf>
    <xf numFmtId="2" fontId="20" fillId="0" borderId="0" xfId="4" applyNumberFormat="1" applyFont="1" applyFill="1"/>
    <xf numFmtId="0" fontId="20" fillId="7" borderId="0" xfId="4" applyFont="1" applyFill="1"/>
    <xf numFmtId="0" fontId="4" fillId="8" borderId="0" xfId="0" applyFont="1" applyFill="1" applyAlignment="1">
      <alignment horizontal="right"/>
    </xf>
    <xf numFmtId="0" fontId="20" fillId="8" borderId="0" xfId="4" applyFont="1" applyFill="1"/>
    <xf numFmtId="0" fontId="0" fillId="0" borderId="0" xfId="352" applyFont="1"/>
    <xf numFmtId="0" fontId="16" fillId="0" borderId="0" xfId="352" applyFont="1"/>
    <xf numFmtId="0" fontId="87" fillId="0" borderId="0" xfId="352" applyFont="1"/>
    <xf numFmtId="2" fontId="87" fillId="0" borderId="0" xfId="352" applyNumberFormat="1" applyFont="1"/>
    <xf numFmtId="166" fontId="16" fillId="0" borderId="0" xfId="352" applyNumberFormat="1" applyFont="1"/>
    <xf numFmtId="4" fontId="16" fillId="0" borderId="0" xfId="352" applyNumberFormat="1" applyFont="1"/>
    <xf numFmtId="166" fontId="88" fillId="0" borderId="0" xfId="352" applyNumberFormat="1" applyFont="1"/>
    <xf numFmtId="3" fontId="88" fillId="0" borderId="0" xfId="352" applyNumberFormat="1" applyFont="1"/>
    <xf numFmtId="0" fontId="16" fillId="0" borderId="36" xfId="352" applyFont="1" applyBorder="1"/>
    <xf numFmtId="0" fontId="16" fillId="0" borderId="34" xfId="352" applyFont="1" applyBorder="1"/>
    <xf numFmtId="2" fontId="16" fillId="0" borderId="36" xfId="352" applyNumberFormat="1" applyFont="1" applyBorder="1"/>
    <xf numFmtId="4" fontId="16" fillId="0" borderId="36" xfId="352" applyNumberFormat="1" applyFont="1" applyBorder="1"/>
    <xf numFmtId="0" fontId="16" fillId="0" borderId="37" xfId="352" applyFont="1" applyBorder="1"/>
    <xf numFmtId="0" fontId="0" fillId="0" borderId="37" xfId="352" applyFont="1" applyBorder="1"/>
    <xf numFmtId="0" fontId="16" fillId="0" borderId="60" xfId="352" applyFont="1" applyBorder="1"/>
    <xf numFmtId="2" fontId="0" fillId="0" borderId="37" xfId="352" applyNumberFormat="1" applyFont="1" applyBorder="1"/>
    <xf numFmtId="166" fontId="16" fillId="0" borderId="37" xfId="352" applyNumberFormat="1" applyFont="1" applyBorder="1" applyAlignment="1">
      <alignment wrapText="1"/>
    </xf>
    <xf numFmtId="166" fontId="0" fillId="0" borderId="37" xfId="352" applyNumberFormat="1" applyFont="1" applyBorder="1" applyAlignment="1">
      <alignment wrapText="1"/>
    </xf>
    <xf numFmtId="4" fontId="0" fillId="0" borderId="37" xfId="352" applyNumberFormat="1" applyFont="1" applyBorder="1" applyAlignment="1">
      <alignment wrapText="1"/>
    </xf>
    <xf numFmtId="0" fontId="16" fillId="0" borderId="0" xfId="352" applyFont="1" applyBorder="1"/>
    <xf numFmtId="0" fontId="87" fillId="0" borderId="38" xfId="352" applyFont="1" applyBorder="1"/>
    <xf numFmtId="2" fontId="87" fillId="0" borderId="0" xfId="352" applyNumberFormat="1" applyFont="1" applyBorder="1"/>
    <xf numFmtId="166" fontId="87" fillId="0" borderId="0" xfId="352" applyNumberFormat="1" applyFont="1"/>
    <xf numFmtId="4" fontId="87" fillId="0" borderId="0" xfId="352" applyNumberFormat="1" applyFont="1"/>
    <xf numFmtId="0" fontId="16" fillId="0" borderId="38" xfId="352" applyFont="1" applyBorder="1"/>
    <xf numFmtId="2" fontId="16" fillId="0" borderId="0" xfId="352" applyNumberFormat="1" applyFont="1" applyBorder="1"/>
    <xf numFmtId="166" fontId="16" fillId="0" borderId="0" xfId="352" applyNumberFormat="1" applyFont="1" applyBorder="1"/>
    <xf numFmtId="4" fontId="16" fillId="0" borderId="38" xfId="352" applyNumberFormat="1" applyFont="1" applyBorder="1"/>
    <xf numFmtId="0" fontId="0" fillId="0" borderId="38" xfId="352" applyFont="1" applyBorder="1"/>
    <xf numFmtId="0" fontId="0" fillId="0" borderId="0" xfId="352" applyFont="1" applyBorder="1"/>
    <xf numFmtId="166" fontId="15" fillId="0" borderId="0" xfId="352" applyNumberFormat="1" applyFont="1"/>
    <xf numFmtId="2" fontId="16" fillId="0" borderId="0" xfId="352" applyNumberFormat="1" applyFont="1"/>
    <xf numFmtId="0" fontId="0" fillId="0" borderId="0" xfId="0" applyFont="1" applyFill="1" applyBorder="1"/>
    <xf numFmtId="0" fontId="0" fillId="0" borderId="7" xfId="0" applyFont="1" applyFill="1" applyBorder="1" applyAlignment="1">
      <alignment wrapText="1"/>
    </xf>
    <xf numFmtId="0" fontId="0" fillId="0" borderId="7" xfId="0" applyFont="1" applyBorder="1" applyAlignment="1">
      <alignment wrapText="1"/>
    </xf>
    <xf numFmtId="3" fontId="0" fillId="0" borderId="19" xfId="0" applyNumberFormat="1" applyFill="1" applyBorder="1" applyAlignment="1">
      <alignment horizontal="center"/>
    </xf>
    <xf numFmtId="0" fontId="0" fillId="0" borderId="22" xfId="0" applyBorder="1"/>
    <xf numFmtId="0" fontId="0" fillId="0" borderId="12" xfId="0" applyFont="1" applyBorder="1" applyAlignment="1">
      <alignment wrapText="1"/>
    </xf>
    <xf numFmtId="0" fontId="10" fillId="4" borderId="9" xfId="0" applyFont="1" applyFill="1" applyBorder="1" applyAlignment="1">
      <alignment wrapText="1"/>
    </xf>
    <xf numFmtId="0" fontId="10" fillId="4" borderId="9" xfId="0" applyFont="1" applyFill="1" applyBorder="1"/>
    <xf numFmtId="3" fontId="10" fillId="4" borderId="9" xfId="0" applyNumberFormat="1" applyFont="1" applyFill="1" applyBorder="1"/>
    <xf numFmtId="0" fontId="0" fillId="4" borderId="9" xfId="0" applyFill="1" applyBorder="1"/>
    <xf numFmtId="0" fontId="10" fillId="4" borderId="61" xfId="0" applyFont="1" applyFill="1" applyBorder="1" applyAlignment="1">
      <alignment wrapText="1"/>
    </xf>
    <xf numFmtId="0" fontId="10" fillId="4" borderId="4" xfId="0" applyFont="1" applyFill="1" applyBorder="1" applyAlignment="1">
      <alignment wrapText="1"/>
    </xf>
    <xf numFmtId="0" fontId="10" fillId="4" borderId="4" xfId="0" applyFont="1" applyFill="1" applyBorder="1"/>
    <xf numFmtId="0" fontId="0" fillId="4" borderId="4" xfId="0" applyFill="1" applyBorder="1"/>
    <xf numFmtId="0" fontId="10" fillId="4" borderId="63" xfId="0" applyFont="1" applyFill="1" applyBorder="1" applyAlignment="1">
      <alignment wrapText="1"/>
    </xf>
    <xf numFmtId="0" fontId="0" fillId="4" borderId="64" xfId="0" applyFill="1" applyBorder="1"/>
    <xf numFmtId="0" fontId="10" fillId="4" borderId="65" xfId="0" applyFont="1" applyFill="1" applyBorder="1" applyAlignment="1">
      <alignment wrapText="1"/>
    </xf>
    <xf numFmtId="0" fontId="10" fillId="4" borderId="14" xfId="0" applyFont="1" applyFill="1" applyBorder="1" applyAlignment="1">
      <alignment wrapText="1"/>
    </xf>
    <xf numFmtId="0" fontId="10" fillId="4" borderId="14" xfId="0" applyFont="1" applyFill="1" applyBorder="1"/>
    <xf numFmtId="0" fontId="0" fillId="4" borderId="14" xfId="0" applyFill="1" applyBorder="1"/>
    <xf numFmtId="0" fontId="0" fillId="4" borderId="66" xfId="0" applyFill="1" applyBorder="1"/>
    <xf numFmtId="0" fontId="10" fillId="4" borderId="67" xfId="0" applyFont="1" applyFill="1" applyBorder="1" applyAlignment="1">
      <alignment wrapText="1"/>
    </xf>
    <xf numFmtId="0" fontId="10" fillId="4" borderId="19" xfId="0" applyFont="1" applyFill="1" applyBorder="1" applyAlignment="1">
      <alignment wrapText="1"/>
    </xf>
    <xf numFmtId="0" fontId="10" fillId="4" borderId="19" xfId="0" applyFont="1" applyFill="1" applyBorder="1"/>
    <xf numFmtId="3" fontId="10" fillId="4" borderId="19" xfId="0" applyNumberFormat="1" applyFont="1" applyFill="1" applyBorder="1"/>
    <xf numFmtId="0" fontId="0" fillId="4" borderId="19" xfId="0" applyFill="1" applyBorder="1"/>
    <xf numFmtId="0" fontId="0" fillId="0" borderId="2" xfId="0" applyFont="1" applyBorder="1" applyAlignment="1">
      <alignment wrapText="1"/>
    </xf>
    <xf numFmtId="0" fontId="0" fillId="0" borderId="0" xfId="0" applyFont="1"/>
    <xf numFmtId="0" fontId="0" fillId="0" borderId="11" xfId="0" applyFill="1" applyBorder="1" applyAlignment="1">
      <alignment wrapText="1"/>
    </xf>
    <xf numFmtId="0" fontId="0" fillId="0" borderId="11" xfId="0" applyFont="1" applyBorder="1"/>
    <xf numFmtId="0" fontId="4" fillId="0" borderId="11" xfId="0" applyFont="1" applyFill="1" applyBorder="1" applyAlignment="1">
      <alignment wrapText="1"/>
    </xf>
    <xf numFmtId="0" fontId="0" fillId="4" borderId="62" xfId="0" applyFill="1" applyBorder="1" applyAlignment="1">
      <alignment wrapText="1"/>
    </xf>
    <xf numFmtId="0" fontId="8" fillId="0" borderId="0" xfId="0" applyFont="1" applyFill="1"/>
    <xf numFmtId="0" fontId="0" fillId="4" borderId="68" xfId="0" applyFill="1" applyBorder="1" applyAlignment="1">
      <alignment wrapText="1"/>
    </xf>
    <xf numFmtId="0" fontId="0" fillId="0" borderId="43" xfId="0" applyBorder="1"/>
    <xf numFmtId="3" fontId="0" fillId="3" borderId="69" xfId="0" applyNumberFormat="1" applyFill="1" applyBorder="1" applyAlignment="1">
      <alignment horizontal="center"/>
    </xf>
    <xf numFmtId="0" fontId="0" fillId="0" borderId="70" xfId="0" applyBorder="1"/>
    <xf numFmtId="0" fontId="0" fillId="0" borderId="0" xfId="0" applyBorder="1"/>
    <xf numFmtId="0" fontId="11" fillId="0" borderId="0" xfId="0" applyFont="1" applyBorder="1"/>
    <xf numFmtId="164" fontId="15" fillId="0" borderId="0" xfId="0" applyNumberFormat="1" applyFont="1"/>
    <xf numFmtId="0" fontId="14" fillId="0" borderId="0" xfId="0" applyFont="1"/>
    <xf numFmtId="189" fontId="15" fillId="0" borderId="0" xfId="2" applyNumberFormat="1" applyFont="1"/>
    <xf numFmtId="3" fontId="0" fillId="0" borderId="69" xfId="0" applyNumberFormat="1" applyFill="1" applyBorder="1" applyAlignment="1">
      <alignment horizontal="center"/>
    </xf>
    <xf numFmtId="0" fontId="4" fillId="0" borderId="21" xfId="0" applyFont="1" applyFill="1" applyBorder="1" applyAlignment="1">
      <alignment wrapText="1"/>
    </xf>
    <xf numFmtId="0" fontId="0" fillId="0" borderId="12" xfId="0" applyFont="1" applyFill="1" applyBorder="1" applyAlignment="1">
      <alignment wrapText="1"/>
    </xf>
    <xf numFmtId="3" fontId="0" fillId="3" borderId="14" xfId="0" applyNumberFormat="1" applyFill="1" applyBorder="1" applyAlignment="1">
      <alignment horizontal="center"/>
    </xf>
    <xf numFmtId="0" fontId="4" fillId="0" borderId="16" xfId="0" applyFont="1" applyFill="1" applyBorder="1" applyAlignment="1">
      <alignment wrapText="1"/>
    </xf>
    <xf numFmtId="0" fontId="16" fillId="0" borderId="0" xfId="563" applyFont="1"/>
    <xf numFmtId="0" fontId="87" fillId="0" borderId="0" xfId="563" applyFont="1"/>
    <xf numFmtId="2" fontId="87" fillId="0" borderId="0" xfId="563" applyNumberFormat="1" applyFont="1"/>
    <xf numFmtId="166" fontId="16" fillId="0" borderId="0" xfId="563" applyNumberFormat="1" applyFont="1"/>
    <xf numFmtId="4" fontId="16" fillId="0" borderId="0" xfId="563" applyNumberFormat="1" applyFont="1"/>
    <xf numFmtId="0" fontId="96" fillId="0" borderId="0" xfId="563" applyFont="1"/>
    <xf numFmtId="166" fontId="88" fillId="0" borderId="0" xfId="563" applyNumberFormat="1" applyFont="1"/>
    <xf numFmtId="3" fontId="88" fillId="0" borderId="0" xfId="563" applyNumberFormat="1" applyFont="1"/>
    <xf numFmtId="0" fontId="16" fillId="0" borderId="36" xfId="563" applyFont="1" applyBorder="1"/>
    <xf numFmtId="0" fontId="16" fillId="0" borderId="34" xfId="563" applyFont="1" applyBorder="1"/>
    <xf numFmtId="2" fontId="16" fillId="0" borderId="36" xfId="563" applyNumberFormat="1" applyFont="1" applyBorder="1"/>
    <xf numFmtId="4" fontId="16" fillId="0" borderId="36" xfId="563" applyNumberFormat="1" applyFont="1" applyBorder="1"/>
    <xf numFmtId="0" fontId="16" fillId="0" borderId="37" xfId="563" applyFont="1" applyBorder="1"/>
    <xf numFmtId="0" fontId="16" fillId="0" borderId="60" xfId="563" applyFont="1" applyBorder="1"/>
    <xf numFmtId="2" fontId="16" fillId="0" borderId="37" xfId="563" applyNumberFormat="1" applyFont="1" applyBorder="1"/>
    <xf numFmtId="166" fontId="16" fillId="0" borderId="37" xfId="563" applyNumberFormat="1" applyFont="1" applyBorder="1" applyAlignment="1">
      <alignment wrapText="1"/>
    </xf>
    <xf numFmtId="4" fontId="16" fillId="0" borderId="37" xfId="563" applyNumberFormat="1" applyFont="1" applyBorder="1" applyAlignment="1">
      <alignment wrapText="1"/>
    </xf>
    <xf numFmtId="0" fontId="16" fillId="0" borderId="0" xfId="563" applyFont="1" applyBorder="1"/>
    <xf numFmtId="0" fontId="87" fillId="0" borderId="38" xfId="563" applyFont="1" applyBorder="1"/>
    <xf numFmtId="2" fontId="87" fillId="0" borderId="0" xfId="563" applyNumberFormat="1" applyFont="1" applyBorder="1"/>
    <xf numFmtId="166" fontId="87" fillId="0" borderId="0" xfId="563" applyNumberFormat="1" applyFont="1"/>
    <xf numFmtId="4" fontId="87" fillId="0" borderId="0" xfId="563" applyNumberFormat="1" applyFont="1"/>
    <xf numFmtId="0" fontId="16" fillId="0" borderId="38" xfId="563" applyFont="1" applyBorder="1"/>
    <xf numFmtId="2" fontId="16" fillId="0" borderId="30" xfId="563" applyNumberFormat="1" applyFont="1" applyBorder="1"/>
    <xf numFmtId="4" fontId="16" fillId="0" borderId="38" xfId="563" applyNumberFormat="1" applyFont="1" applyBorder="1"/>
    <xf numFmtId="190" fontId="16" fillId="0" borderId="0" xfId="563" applyNumberFormat="1" applyFont="1"/>
    <xf numFmtId="0" fontId="87" fillId="0" borderId="0" xfId="563" applyFont="1" applyFill="1"/>
    <xf numFmtId="2" fontId="16" fillId="0" borderId="0" xfId="563" applyNumberFormat="1" applyFont="1"/>
    <xf numFmtId="0" fontId="16" fillId="0" borderId="0" xfId="563" applyFont="1" applyFill="1" applyAlignment="1">
      <alignment vertical="top"/>
    </xf>
    <xf numFmtId="0" fontId="0" fillId="0" borderId="11" xfId="0" applyFill="1" applyBorder="1"/>
    <xf numFmtId="4" fontId="20" fillId="0" borderId="38" xfId="352" applyNumberFormat="1" applyFont="1" applyFill="1" applyBorder="1"/>
    <xf numFmtId="0" fontId="4" fillId="0" borderId="0" xfId="0" applyFont="1" applyAlignment="1">
      <alignment horizontal="left" wrapText="1"/>
    </xf>
    <xf numFmtId="0" fontId="95" fillId="0" borderId="0" xfId="0" applyFont="1" applyAlignment="1">
      <alignment horizontal="left" wrapText="1"/>
    </xf>
    <xf numFmtId="0" fontId="95" fillId="3" borderId="0" xfId="0" applyFont="1" applyFill="1" applyAlignment="1">
      <alignment horizontal="left" wrapText="1"/>
    </xf>
    <xf numFmtId="166" fontId="0" fillId="0" borderId="36" xfId="352" applyNumberFormat="1" applyFont="1" applyBorder="1" applyAlignment="1">
      <alignment horizontal="center"/>
    </xf>
    <xf numFmtId="166" fontId="16" fillId="0" borderId="36" xfId="352" applyNumberFormat="1" applyFont="1" applyBorder="1" applyAlignment="1">
      <alignment horizontal="center"/>
    </xf>
    <xf numFmtId="166" fontId="16" fillId="0" borderId="36" xfId="563" applyNumberFormat="1" applyFont="1" applyBorder="1" applyAlignment="1">
      <alignment horizontal="center"/>
    </xf>
    <xf numFmtId="0" fontId="16" fillId="0" borderId="0" xfId="563" applyFont="1" applyAlignment="1">
      <alignment horizontal="left" wrapText="1"/>
    </xf>
  </cellXfs>
  <cellStyles count="564">
    <cellStyle name=" 1" xfId="18"/>
    <cellStyle name=" 1 2" xfId="19"/>
    <cellStyle name=" 1 2 2" xfId="20"/>
    <cellStyle name=" 1 3" xfId="21"/>
    <cellStyle name=" Writer Import]_x000d__x000a_Display Dialog=No_x000d__x000a__x000d__x000a_[Horizontal Arrange]_x000d__x000a_Dimensions Interlocking=Yes_x000d__x000a_Sum Hierarchy=Yes_x000d__x000a_Generate" xfId="22"/>
    <cellStyle name=" Writer Import]_x000d__x000a_Display Dialog=No_x000d__x000a__x000d__x000a_[Horizontal Arrange]_x000d__x000a_Dimensions Interlocking=Yes_x000d__x000a_Sum Hierarchy=Yes_x000d__x000a_Generate 2" xfId="23"/>
    <cellStyle name="%" xfId="7"/>
    <cellStyle name="% 2" xfId="24"/>
    <cellStyle name="% 2 2" xfId="25"/>
    <cellStyle name="% 3" xfId="26"/>
    <cellStyle name="% 4" xfId="27"/>
    <cellStyle name="%_charts tables TP 2" xfId="28"/>
    <cellStyle name="%_charts tables TP-formatted " xfId="29"/>
    <cellStyle name="%_PEF FSBR2011" xfId="30"/>
    <cellStyle name="%_PEF FSBR2011 AA simplification" xfId="31"/>
    <cellStyle name="]_x000d__x000a_Zoomed=1_x000d__x000a_Row=0_x000d__x000a_Column=0_x000d__x000a_Height=0_x000d__x000a_Width=0_x000d__x000a_FontName=FoxFont_x000d__x000a_FontStyle=0_x000d__x000a_FontSize=9_x000d__x000a_PrtFontName=FoxPrin" xfId="32"/>
    <cellStyle name="_Apr 2010 IMBE Report" xfId="532"/>
    <cellStyle name="_HMT expl text summary Tables" xfId="533"/>
    <cellStyle name="_IMBE P0 10-11 profiles" xfId="534"/>
    <cellStyle name="_P11) Apr 10 IMBE workbook" xfId="535"/>
    <cellStyle name="_P12) May 10 (prov outturn) IMBE workbook" xfId="536"/>
    <cellStyle name="_TableHead" xfId="33"/>
    <cellStyle name="1dp" xfId="34"/>
    <cellStyle name="1dp 2" xfId="35"/>
    <cellStyle name="20% - Accent1 2" xfId="36"/>
    <cellStyle name="20% - Accent1 2 2" xfId="37"/>
    <cellStyle name="20% - Accent1 3" xfId="38"/>
    <cellStyle name="20% - Accent2 2" xfId="39"/>
    <cellStyle name="20% - Accent2 3" xfId="40"/>
    <cellStyle name="20% - Accent3 2" xfId="41"/>
    <cellStyle name="20% - Accent3 3" xfId="42"/>
    <cellStyle name="20% - Accent4 2" xfId="43"/>
    <cellStyle name="20% - Accent4 3" xfId="44"/>
    <cellStyle name="20% - Accent5 2" xfId="45"/>
    <cellStyle name="20% - Accent5 3" xfId="46"/>
    <cellStyle name="20% - Accent6 2" xfId="47"/>
    <cellStyle name="20% - Accent6 2 2" xfId="48"/>
    <cellStyle name="20% - Accent6 3" xfId="49"/>
    <cellStyle name="3dp" xfId="50"/>
    <cellStyle name="3dp 2" xfId="51"/>
    <cellStyle name="40% - Accent1 2" xfId="52"/>
    <cellStyle name="40% - Accent1 3" xfId="53"/>
    <cellStyle name="40% - Accent2 2" xfId="54"/>
    <cellStyle name="40% - Accent2 3" xfId="55"/>
    <cellStyle name="40% - Accent3 2" xfId="56"/>
    <cellStyle name="40% - Accent3 3" xfId="57"/>
    <cellStyle name="40% - Accent4 2" xfId="58"/>
    <cellStyle name="40% - Accent4 3" xfId="59"/>
    <cellStyle name="40% - Accent5 2" xfId="60"/>
    <cellStyle name="40% - Accent5 3" xfId="61"/>
    <cellStyle name="40% - Accent6 2" xfId="62"/>
    <cellStyle name="40% - Accent6 3" xfId="63"/>
    <cellStyle name="4dp" xfId="64"/>
    <cellStyle name="4dp 2" xfId="65"/>
    <cellStyle name="60% - Accent1 2" xfId="66"/>
    <cellStyle name="60% - Accent1 3" xfId="67"/>
    <cellStyle name="60% - Accent2 2" xfId="68"/>
    <cellStyle name="60% - Accent2 3" xfId="69"/>
    <cellStyle name="60% - Accent3 2" xfId="70"/>
    <cellStyle name="60% - Accent3 3" xfId="71"/>
    <cellStyle name="60% - Accent4 2" xfId="72"/>
    <cellStyle name="60% - Accent4 3" xfId="73"/>
    <cellStyle name="60% - Accent5 2" xfId="74"/>
    <cellStyle name="60% - Accent5 3" xfId="75"/>
    <cellStyle name="60% - Accent6 2" xfId="76"/>
    <cellStyle name="60% - Accent6 3" xfId="77"/>
    <cellStyle name="Accent1 2" xfId="78"/>
    <cellStyle name="Accent1 3" xfId="79"/>
    <cellStyle name="Accent2 2" xfId="80"/>
    <cellStyle name="Accent2 3" xfId="81"/>
    <cellStyle name="Accent3 2" xfId="82"/>
    <cellStyle name="Accent3 3" xfId="83"/>
    <cellStyle name="Accent4 2" xfId="84"/>
    <cellStyle name="Accent4 3" xfId="85"/>
    <cellStyle name="Accent5 2" xfId="86"/>
    <cellStyle name="Accent5 3" xfId="87"/>
    <cellStyle name="Accent6 2" xfId="88"/>
    <cellStyle name="Accent6 3" xfId="89"/>
    <cellStyle name="avt31l" xfId="537"/>
    <cellStyle name="Bad 2" xfId="90"/>
    <cellStyle name="Bad 3" xfId="91"/>
    <cellStyle name="Bid £m format" xfId="92"/>
    <cellStyle name="Calculation 2" xfId="93"/>
    <cellStyle name="Calculation 3" xfId="94"/>
    <cellStyle name="CellBACode" xfId="95"/>
    <cellStyle name="CellBAName" xfId="96"/>
    <cellStyle name="CellBAValue" xfId="8"/>
    <cellStyle name="CellBAValue 2" xfId="9"/>
    <cellStyle name="CellMCCode" xfId="97"/>
    <cellStyle name="CellMCName" xfId="98"/>
    <cellStyle name="CellMCValue" xfId="99"/>
    <cellStyle name="CellNationCode" xfId="100"/>
    <cellStyle name="CellNationName" xfId="101"/>
    <cellStyle name="CellNationSubCode" xfId="102"/>
    <cellStyle name="CellNationSubName" xfId="103"/>
    <cellStyle name="CellNationSubValue" xfId="104"/>
    <cellStyle name="CellNationValue" xfId="10"/>
    <cellStyle name="CellNormal" xfId="105"/>
    <cellStyle name="CellRegionCode" xfId="106"/>
    <cellStyle name="CellRegionName" xfId="107"/>
    <cellStyle name="CellRegionValue" xfId="108"/>
    <cellStyle name="CellUACode" xfId="109"/>
    <cellStyle name="CellUAName" xfId="110"/>
    <cellStyle name="CellUAValue" xfId="11"/>
    <cellStyle name="CellUAValue 2" xfId="12"/>
    <cellStyle name="Check Cell 2" xfId="111"/>
    <cellStyle name="Check Cell 3" xfId="112"/>
    <cellStyle name="CIL" xfId="113"/>
    <cellStyle name="CIU" xfId="114"/>
    <cellStyle name="Comma" xfId="1" builtinId="3"/>
    <cellStyle name="Comma [0] 2" xfId="115"/>
    <cellStyle name="Comma [0] 3" xfId="116"/>
    <cellStyle name="Comma [0] 4" xfId="117"/>
    <cellStyle name="Comma 10" xfId="118"/>
    <cellStyle name="Comma 11" xfId="119"/>
    <cellStyle name="Comma 11 2" xfId="120"/>
    <cellStyle name="Comma 12" xfId="121"/>
    <cellStyle name="Comma 13" xfId="122"/>
    <cellStyle name="Comma 14" xfId="123"/>
    <cellStyle name="Comma 15" xfId="524"/>
    <cellStyle name="Comma 16" xfId="538"/>
    <cellStyle name="Comma 2" xfId="13"/>
    <cellStyle name="Comma 2 2" xfId="14"/>
    <cellStyle name="Comma 2 3" xfId="124"/>
    <cellStyle name="Comma 2 4" xfId="125"/>
    <cellStyle name="Comma 3" xfId="126"/>
    <cellStyle name="Comma 3 2" xfId="127"/>
    <cellStyle name="Comma 3 3" xfId="539"/>
    <cellStyle name="Comma 4" xfId="128"/>
    <cellStyle name="Comma 4 2" xfId="129"/>
    <cellStyle name="Comma 5" xfId="130"/>
    <cellStyle name="Comma 5 2" xfId="131"/>
    <cellStyle name="Comma 6" xfId="132"/>
    <cellStyle name="Comma 6 2" xfId="133"/>
    <cellStyle name="Comma 7" xfId="134"/>
    <cellStyle name="Comma 8" xfId="135"/>
    <cellStyle name="Comma 8 2" xfId="540"/>
    <cellStyle name="Comma 9" xfId="136"/>
    <cellStyle name="Currency 2" xfId="137"/>
    <cellStyle name="Currency 3" xfId="138"/>
    <cellStyle name="Data_Total" xfId="541"/>
    <cellStyle name="Description" xfId="139"/>
    <cellStyle name="Description 2" xfId="140"/>
    <cellStyle name="Euro" xfId="141"/>
    <cellStyle name="Explanatory Text 2" xfId="142"/>
    <cellStyle name="Explanatory Text 3" xfId="143"/>
    <cellStyle name="Flash" xfId="144"/>
    <cellStyle name="footnote ref" xfId="145"/>
    <cellStyle name="footnote text" xfId="146"/>
    <cellStyle name="General" xfId="147"/>
    <cellStyle name="General 2" xfId="148"/>
    <cellStyle name="Good 2" xfId="149"/>
    <cellStyle name="Good 3" xfId="150"/>
    <cellStyle name="Grey" xfId="151"/>
    <cellStyle name="HeaderLabel" xfId="152"/>
    <cellStyle name="HeaderLEA" xfId="153"/>
    <cellStyle name="HeaderText" xfId="154"/>
    <cellStyle name="Heading 1 2" xfId="155"/>
    <cellStyle name="Heading 1 2 2" xfId="156"/>
    <cellStyle name="Heading 1 2_asset sales" xfId="157"/>
    <cellStyle name="Heading 1 3" xfId="158"/>
    <cellStyle name="Heading 1 4" xfId="159"/>
    <cellStyle name="Heading 2 2" xfId="160"/>
    <cellStyle name="Heading 2 3" xfId="161"/>
    <cellStyle name="Heading 3 2" xfId="162"/>
    <cellStyle name="Heading 3 3" xfId="163"/>
    <cellStyle name="Heading 4 2" xfId="164"/>
    <cellStyle name="Heading 4 3" xfId="165"/>
    <cellStyle name="Heading 5" xfId="166"/>
    <cellStyle name="Heading 6" xfId="167"/>
    <cellStyle name="Heading 7" xfId="168"/>
    <cellStyle name="Heading 8" xfId="169"/>
    <cellStyle name="Headings" xfId="542"/>
    <cellStyle name="Hyperlink 2" xfId="15"/>
    <cellStyle name="Hyperlink 2 2" xfId="170"/>
    <cellStyle name="Hyperlink 3" xfId="171"/>
    <cellStyle name="Hyperlink 4" xfId="172"/>
    <cellStyle name="Hyperlink 4 2" xfId="173"/>
    <cellStyle name="Hyperlink 4 3" xfId="174"/>
    <cellStyle name="Hyperlink 5" xfId="175"/>
    <cellStyle name="Hyperlink 6" xfId="176"/>
    <cellStyle name="Hyperlink 7" xfId="543"/>
    <cellStyle name="Information" xfId="177"/>
    <cellStyle name="Input [yellow]" xfId="178"/>
    <cellStyle name="Input 10" xfId="179"/>
    <cellStyle name="Input 11" xfId="180"/>
    <cellStyle name="Input 12" xfId="181"/>
    <cellStyle name="Input 13" xfId="182"/>
    <cellStyle name="Input 14" xfId="183"/>
    <cellStyle name="Input 15" xfId="184"/>
    <cellStyle name="Input 16" xfId="185"/>
    <cellStyle name="Input 17" xfId="186"/>
    <cellStyle name="Input 18" xfId="187"/>
    <cellStyle name="Input 19" xfId="188"/>
    <cellStyle name="Input 2" xfId="189"/>
    <cellStyle name="Input 3" xfId="190"/>
    <cellStyle name="Input 4" xfId="191"/>
    <cellStyle name="Input 5" xfId="192"/>
    <cellStyle name="Input 6" xfId="193"/>
    <cellStyle name="Input 7" xfId="194"/>
    <cellStyle name="Input 8" xfId="195"/>
    <cellStyle name="Input 9" xfId="196"/>
    <cellStyle name="LabelIntersect" xfId="197"/>
    <cellStyle name="LabelLeft" xfId="198"/>
    <cellStyle name="LabelTop" xfId="199"/>
    <cellStyle name="LEAName" xfId="200"/>
    <cellStyle name="LEAName 2" xfId="201"/>
    <cellStyle name="LEANumber" xfId="202"/>
    <cellStyle name="LEANumber 2" xfId="203"/>
    <cellStyle name="Linked Cell 2" xfId="204"/>
    <cellStyle name="Linked Cell 3" xfId="205"/>
    <cellStyle name="Mik" xfId="206"/>
    <cellStyle name="Mik 2" xfId="207"/>
    <cellStyle name="Mik_For fiscal tables" xfId="208"/>
    <cellStyle name="N" xfId="209"/>
    <cellStyle name="N 2" xfId="210"/>
    <cellStyle name="Neutral 2" xfId="211"/>
    <cellStyle name="Neutral 3" xfId="212"/>
    <cellStyle name="Norma" xfId="544"/>
    <cellStyle name="Normal" xfId="0" builtinId="0"/>
    <cellStyle name="Normal - Style1" xfId="213"/>
    <cellStyle name="Normal - Style2" xfId="214"/>
    <cellStyle name="Normal - Style3" xfId="215"/>
    <cellStyle name="Normal - Style4" xfId="216"/>
    <cellStyle name="Normal - Style5" xfId="217"/>
    <cellStyle name="Normal 10" xfId="218"/>
    <cellStyle name="Normal 10 2" xfId="219"/>
    <cellStyle name="Normal 10 4" xfId="220"/>
    <cellStyle name="Normal 11" xfId="221"/>
    <cellStyle name="Normal 11 10" xfId="222"/>
    <cellStyle name="Normal 11 10 2" xfId="223"/>
    <cellStyle name="Normal 11 10 3" xfId="224"/>
    <cellStyle name="Normal 11 11" xfId="225"/>
    <cellStyle name="Normal 11 2" xfId="226"/>
    <cellStyle name="Normal 11 3" xfId="227"/>
    <cellStyle name="Normal 11 4" xfId="228"/>
    <cellStyle name="Normal 11 5" xfId="229"/>
    <cellStyle name="Normal 11 6" xfId="230"/>
    <cellStyle name="Normal 11 7" xfId="231"/>
    <cellStyle name="Normal 11 8" xfId="232"/>
    <cellStyle name="Normal 11 9" xfId="233"/>
    <cellStyle name="Normal 12" xfId="234"/>
    <cellStyle name="Normal 12 2" xfId="235"/>
    <cellStyle name="Normal 13" xfId="236"/>
    <cellStyle name="Normal 13 2" xfId="237"/>
    <cellStyle name="Normal 14" xfId="238"/>
    <cellStyle name="Normal 14 2" xfId="239"/>
    <cellStyle name="Normal 15" xfId="240"/>
    <cellStyle name="Normal 15 2" xfId="241"/>
    <cellStyle name="Normal 16" xfId="242"/>
    <cellStyle name="Normal 16 2" xfId="243"/>
    <cellStyle name="Normal 16 3" xfId="244"/>
    <cellStyle name="Normal 17" xfId="245"/>
    <cellStyle name="Normal 17 2" xfId="246"/>
    <cellStyle name="Normal 18" xfId="247"/>
    <cellStyle name="Normal 18 2" xfId="248"/>
    <cellStyle name="Normal 18 3" xfId="249"/>
    <cellStyle name="Normal 19" xfId="250"/>
    <cellStyle name="Normal 19 2" xfId="251"/>
    <cellStyle name="Normal 19 3" xfId="252"/>
    <cellStyle name="Normal 2" xfId="6"/>
    <cellStyle name="Normal 2 12" xfId="253"/>
    <cellStyle name="Normal 2 2" xfId="254"/>
    <cellStyle name="Normal 2 2 2" xfId="255"/>
    <cellStyle name="Normal 2 2 2 2" xfId="256"/>
    <cellStyle name="Normal 2 2 3" xfId="257"/>
    <cellStyle name="Normal 2 3" xfId="258"/>
    <cellStyle name="Normal 2 3 2" xfId="545"/>
    <cellStyle name="Normal 2 3 3" xfId="546"/>
    <cellStyle name="Normal 2 4" xfId="259"/>
    <cellStyle name="Normal 2 5" xfId="260"/>
    <cellStyle name="Normal 2_Economy Tables" xfId="261"/>
    <cellStyle name="Normal 20" xfId="262"/>
    <cellStyle name="Normal 20 2" xfId="263"/>
    <cellStyle name="Normal 21" xfId="264"/>
    <cellStyle name="Normal 21 2" xfId="265"/>
    <cellStyle name="Normal 21 2 2" xfId="266"/>
    <cellStyle name="Normal 21 3" xfId="267"/>
    <cellStyle name="Normal 21_Copy of Fiscal Tables" xfId="268"/>
    <cellStyle name="Normal 22" xfId="269"/>
    <cellStyle name="Normal 22 2" xfId="270"/>
    <cellStyle name="Normal 22 3" xfId="271"/>
    <cellStyle name="Normal 22_Copy of Fiscal Tables" xfId="272"/>
    <cellStyle name="Normal 23" xfId="273"/>
    <cellStyle name="Normal 23 2" xfId="274"/>
    <cellStyle name="Normal 24" xfId="275"/>
    <cellStyle name="Normal 24 2" xfId="276"/>
    <cellStyle name="Normal 24 2 3" xfId="277"/>
    <cellStyle name="Normal 24 3" xfId="278"/>
    <cellStyle name="Normal 25" xfId="279"/>
    <cellStyle name="Normal 25 2" xfId="280"/>
    <cellStyle name="Normal 26" xfId="281"/>
    <cellStyle name="Normal 26 2" xfId="282"/>
    <cellStyle name="Normal 27" xfId="283"/>
    <cellStyle name="Normal 27 2" xfId="284"/>
    <cellStyle name="Normal 28" xfId="285"/>
    <cellStyle name="Normal 28 2" xfId="286"/>
    <cellStyle name="Normal 29" xfId="287"/>
    <cellStyle name="Normal 29 2" xfId="288"/>
    <cellStyle name="Normal 3" xfId="16"/>
    <cellStyle name="Normal 3 10" xfId="289"/>
    <cellStyle name="Normal 3 11" xfId="290"/>
    <cellStyle name="Normal 3 2" xfId="291"/>
    <cellStyle name="Normal 3 2 2" xfId="292"/>
    <cellStyle name="Normal 3 3" xfId="293"/>
    <cellStyle name="Normal 3 4" xfId="294"/>
    <cellStyle name="Normal 3 5" xfId="295"/>
    <cellStyle name="Normal 3 6" xfId="296"/>
    <cellStyle name="Normal 3 7" xfId="297"/>
    <cellStyle name="Normal 3 8" xfId="298"/>
    <cellStyle name="Normal 3 9" xfId="299"/>
    <cellStyle name="Normal 3_asset sales" xfId="300"/>
    <cellStyle name="Normal 30" xfId="301"/>
    <cellStyle name="Normal 30 2" xfId="302"/>
    <cellStyle name="Normal 31" xfId="303"/>
    <cellStyle name="Normal 31 2" xfId="304"/>
    <cellStyle name="Normal 32" xfId="305"/>
    <cellStyle name="Normal 32 2" xfId="306"/>
    <cellStyle name="Normal 33" xfId="307"/>
    <cellStyle name="Normal 33 2" xfId="308"/>
    <cellStyle name="Normal 34" xfId="309"/>
    <cellStyle name="Normal 34 2" xfId="310"/>
    <cellStyle name="Normal 35" xfId="311"/>
    <cellStyle name="Normal 35 2" xfId="312"/>
    <cellStyle name="Normal 36" xfId="313"/>
    <cellStyle name="Normal 36 2" xfId="314"/>
    <cellStyle name="Normal 37" xfId="315"/>
    <cellStyle name="Normal 37 2" xfId="316"/>
    <cellStyle name="Normal 38" xfId="317"/>
    <cellStyle name="Normal 38 2" xfId="318"/>
    <cellStyle name="Normal 39" xfId="319"/>
    <cellStyle name="Normal 39 2" xfId="320"/>
    <cellStyle name="Normal 4" xfId="4"/>
    <cellStyle name="Normal 4 2" xfId="321"/>
    <cellStyle name="Normal 4 2 2" xfId="547"/>
    <cellStyle name="Normal 4 3" xfId="322"/>
    <cellStyle name="Normal 4 6" xfId="323"/>
    <cellStyle name="Normal 40" xfId="324"/>
    <cellStyle name="Normal 40 2" xfId="325"/>
    <cellStyle name="Normal 41" xfId="326"/>
    <cellStyle name="Normal 41 2" xfId="327"/>
    <cellStyle name="Normal 42" xfId="328"/>
    <cellStyle name="Normal 42 2" xfId="329"/>
    <cellStyle name="Normal 43" xfId="330"/>
    <cellStyle name="Normal 43 2" xfId="331"/>
    <cellStyle name="Normal 44" xfId="332"/>
    <cellStyle name="Normal 44 2" xfId="333"/>
    <cellStyle name="Normal 45" xfId="334"/>
    <cellStyle name="Normal 45 2" xfId="335"/>
    <cellStyle name="Normal 46" xfId="336"/>
    <cellStyle name="Normal 46 2" xfId="337"/>
    <cellStyle name="Normal 47" xfId="338"/>
    <cellStyle name="Normal 47 2" xfId="339"/>
    <cellStyle name="Normal 48" xfId="340"/>
    <cellStyle name="Normal 48 2" xfId="341"/>
    <cellStyle name="Normal 49" xfId="342"/>
    <cellStyle name="Normal 49 2" xfId="343"/>
    <cellStyle name="Normal 5" xfId="5"/>
    <cellStyle name="Normal 5 2" xfId="344"/>
    <cellStyle name="Normal 5 3" xfId="345"/>
    <cellStyle name="Normal 50" xfId="346"/>
    <cellStyle name="Normal 51" xfId="347"/>
    <cellStyle name="Normal 52" xfId="348"/>
    <cellStyle name="Normal 53" xfId="349"/>
    <cellStyle name="Normal 54" xfId="350"/>
    <cellStyle name="Normal 55" xfId="351"/>
    <cellStyle name="Normal 56" xfId="352"/>
    <cellStyle name="Normal 56 2" xfId="17"/>
    <cellStyle name="Normal 56 2 2" xfId="353"/>
    <cellStyle name="Normal 56 2 3" xfId="525"/>
    <cellStyle name="Normal 56 3" xfId="548"/>
    <cellStyle name="Normal 56 4" xfId="563"/>
    <cellStyle name="Normal 57" xfId="354"/>
    <cellStyle name="Normal 58" xfId="355"/>
    <cellStyle name="Normal 58 2" xfId="356"/>
    <cellStyle name="Normal 58 3" xfId="357"/>
    <cellStyle name="Normal 59" xfId="358"/>
    <cellStyle name="Normal 6" xfId="359"/>
    <cellStyle name="Normal 6 2" xfId="360"/>
    <cellStyle name="Normal 6 2 2" xfId="361"/>
    <cellStyle name="Normal 6 3" xfId="362"/>
    <cellStyle name="Normal 6 4" xfId="549"/>
    <cellStyle name="Normal 60" xfId="363"/>
    <cellStyle name="Normal 60 2" xfId="364"/>
    <cellStyle name="Normal 60 2 2" xfId="365"/>
    <cellStyle name="Normal 61" xfId="366"/>
    <cellStyle name="Normal 62" xfId="367"/>
    <cellStyle name="Normal 63" xfId="368"/>
    <cellStyle name="Normal 64" xfId="369"/>
    <cellStyle name="Normal 65" xfId="370"/>
    <cellStyle name="Normal 66" xfId="526"/>
    <cellStyle name="Normal 67" xfId="527"/>
    <cellStyle name="Normal 67 2" xfId="528"/>
    <cellStyle name="Normal 68" xfId="529"/>
    <cellStyle name="Normal 69" xfId="530"/>
    <cellStyle name="Normal 7" xfId="371"/>
    <cellStyle name="Normal 7 2" xfId="372"/>
    <cellStyle name="Normal 7 3" xfId="373"/>
    <cellStyle name="Normal 7 4" xfId="374"/>
    <cellStyle name="Normal 7 5" xfId="531"/>
    <cellStyle name="Normal 8" xfId="375"/>
    <cellStyle name="Normal 8 2" xfId="376"/>
    <cellStyle name="Normal 8 3" xfId="377"/>
    <cellStyle name="Normal 9" xfId="378"/>
    <cellStyle name="Normal 9 2" xfId="379"/>
    <cellStyle name="Note 2" xfId="380"/>
    <cellStyle name="Note 2 2" xfId="381"/>
    <cellStyle name="Note 3" xfId="382"/>
    <cellStyle name="Output 2" xfId="383"/>
    <cellStyle name="Output 3" xfId="384"/>
    <cellStyle name="Output Amounts" xfId="385"/>
    <cellStyle name="Output Column Headings" xfId="386"/>
    <cellStyle name="Output Line Items" xfId="387"/>
    <cellStyle name="Output Report Heading" xfId="388"/>
    <cellStyle name="Output Report Title" xfId="389"/>
    <cellStyle name="P" xfId="390"/>
    <cellStyle name="P 2" xfId="391"/>
    <cellStyle name="Percent" xfId="2" builtinId="5"/>
    <cellStyle name="Percent [2]" xfId="392"/>
    <cellStyle name="Percent 10" xfId="393"/>
    <cellStyle name="Percent 11" xfId="394"/>
    <cellStyle name="Percent 12" xfId="395"/>
    <cellStyle name="Percent 13" xfId="396"/>
    <cellStyle name="Percent 14" xfId="397"/>
    <cellStyle name="Percent 15" xfId="550"/>
    <cellStyle name="Percent 2" xfId="3"/>
    <cellStyle name="Percent 2 2" xfId="398"/>
    <cellStyle name="Percent 3" xfId="399"/>
    <cellStyle name="Percent 3 2" xfId="400"/>
    <cellStyle name="Percent 4" xfId="401"/>
    <cellStyle name="Percent 4 2" xfId="402"/>
    <cellStyle name="Percent 5" xfId="403"/>
    <cellStyle name="Percent 6" xfId="404"/>
    <cellStyle name="Percent 6 2" xfId="551"/>
    <cellStyle name="Percent 7" xfId="405"/>
    <cellStyle name="Percent 8" xfId="406"/>
    <cellStyle name="Percent 9" xfId="407"/>
    <cellStyle name="Refdb standard" xfId="408"/>
    <cellStyle name="ReportData" xfId="409"/>
    <cellStyle name="ReportElements" xfId="410"/>
    <cellStyle name="ReportHeader" xfId="411"/>
    <cellStyle name="Row_CategoryHeadings" xfId="552"/>
    <cellStyle name="SAPBEXaggData" xfId="412"/>
    <cellStyle name="SAPBEXaggDataEmph" xfId="413"/>
    <cellStyle name="SAPBEXaggItem" xfId="414"/>
    <cellStyle name="SAPBEXaggItemX" xfId="415"/>
    <cellStyle name="SAPBEXchaText" xfId="416"/>
    <cellStyle name="SAPBEXexcBad7" xfId="417"/>
    <cellStyle name="SAPBEXexcBad8" xfId="418"/>
    <cellStyle name="SAPBEXexcBad9" xfId="419"/>
    <cellStyle name="SAPBEXexcCritical4" xfId="420"/>
    <cellStyle name="SAPBEXexcCritical5" xfId="421"/>
    <cellStyle name="SAPBEXexcCritical6" xfId="422"/>
    <cellStyle name="SAPBEXexcGood1" xfId="423"/>
    <cellStyle name="SAPBEXexcGood2" xfId="424"/>
    <cellStyle name="SAPBEXexcGood3" xfId="425"/>
    <cellStyle name="SAPBEXfilterDrill" xfId="426"/>
    <cellStyle name="SAPBEXfilterItem" xfId="427"/>
    <cellStyle name="SAPBEXfilterText" xfId="428"/>
    <cellStyle name="SAPBEXformats" xfId="429"/>
    <cellStyle name="SAPBEXheaderItem" xfId="430"/>
    <cellStyle name="SAPBEXheaderText" xfId="431"/>
    <cellStyle name="SAPBEXHLevel0" xfId="432"/>
    <cellStyle name="SAPBEXHLevel0X" xfId="433"/>
    <cellStyle name="SAPBEXHLevel1" xfId="434"/>
    <cellStyle name="SAPBEXHLevel1X" xfId="435"/>
    <cellStyle name="SAPBEXHLevel2" xfId="436"/>
    <cellStyle name="SAPBEXHLevel2X" xfId="437"/>
    <cellStyle name="SAPBEXHLevel3" xfId="438"/>
    <cellStyle name="SAPBEXHLevel3X" xfId="439"/>
    <cellStyle name="SAPBEXresData" xfId="440"/>
    <cellStyle name="SAPBEXresDataEmph" xfId="441"/>
    <cellStyle name="SAPBEXresItem" xfId="442"/>
    <cellStyle name="SAPBEXresItemX" xfId="443"/>
    <cellStyle name="SAPBEXstdData" xfId="444"/>
    <cellStyle name="SAPBEXstdDataEmph" xfId="445"/>
    <cellStyle name="SAPBEXstdItem" xfId="446"/>
    <cellStyle name="SAPBEXstdItemX" xfId="447"/>
    <cellStyle name="SAPBEXtitle" xfId="448"/>
    <cellStyle name="SAPBEXundefined" xfId="449"/>
    <cellStyle name="Source" xfId="553"/>
    <cellStyle name="Source 2" xfId="554"/>
    <cellStyle name="Style 1" xfId="450"/>
    <cellStyle name="Style 1 2" xfId="451"/>
    <cellStyle name="Style1" xfId="452"/>
    <cellStyle name="Style1 2" xfId="453"/>
    <cellStyle name="Style2" xfId="454"/>
    <cellStyle name="Style3" xfId="455"/>
    <cellStyle name="Style4" xfId="456"/>
    <cellStyle name="Style5" xfId="457"/>
    <cellStyle name="Style6" xfId="458"/>
    <cellStyle name="Table Cells" xfId="555"/>
    <cellStyle name="Table Column Headings" xfId="556"/>
    <cellStyle name="Table Footnote" xfId="459"/>
    <cellStyle name="Table Footnote 2" xfId="460"/>
    <cellStyle name="Table Footnote 2 2" xfId="461"/>
    <cellStyle name="Table Footnote_Table 5.6 sales of assets 23Feb2010" xfId="462"/>
    <cellStyle name="Table Header" xfId="463"/>
    <cellStyle name="Table Header 2" xfId="464"/>
    <cellStyle name="Table Header 2 2" xfId="465"/>
    <cellStyle name="Table Header_Table 5.6 sales of assets 23Feb2010" xfId="466"/>
    <cellStyle name="Table Heading 1" xfId="467"/>
    <cellStyle name="Table Heading 1 2" xfId="468"/>
    <cellStyle name="Table Heading 1 2 2" xfId="469"/>
    <cellStyle name="Table Heading 1_Table 5.6 sales of assets 23Feb2010" xfId="470"/>
    <cellStyle name="Table Heading 2" xfId="471"/>
    <cellStyle name="Table Heading 2 2" xfId="472"/>
    <cellStyle name="Table Heading 2_Table 5.6 sales of assets 23Feb2010" xfId="473"/>
    <cellStyle name="Table Number" xfId="557"/>
    <cellStyle name="Table Of Which" xfId="474"/>
    <cellStyle name="Table Of Which 2" xfId="475"/>
    <cellStyle name="Table Of Which_Table 5.6 sales of assets 23Feb2010" xfId="476"/>
    <cellStyle name="Table Row Billions" xfId="477"/>
    <cellStyle name="Table Row Billions 2" xfId="478"/>
    <cellStyle name="Table Row Billions Check" xfId="479"/>
    <cellStyle name="Table Row Billions Check 2" xfId="480"/>
    <cellStyle name="Table Row Billions Check 3" xfId="481"/>
    <cellStyle name="Table Row Billions Check_asset sales" xfId="482"/>
    <cellStyle name="Table Row Billions_Table 5.6 sales of assets 23Feb2010" xfId="483"/>
    <cellStyle name="Table Row Headings" xfId="558"/>
    <cellStyle name="Table Row Millions" xfId="484"/>
    <cellStyle name="Table Row Millions 2" xfId="485"/>
    <cellStyle name="Table Row Millions 2 2" xfId="486"/>
    <cellStyle name="Table Row Millions Check" xfId="487"/>
    <cellStyle name="Table Row Millions Check 2" xfId="488"/>
    <cellStyle name="Table Row Millions Check 3" xfId="489"/>
    <cellStyle name="Table Row Millions Check 4" xfId="490"/>
    <cellStyle name="Table Row Millions Check 6" xfId="491"/>
    <cellStyle name="Table Row Millions Check_asset sales" xfId="492"/>
    <cellStyle name="Table Row Millions_Table 5.6 sales of assets 23Feb2010" xfId="493"/>
    <cellStyle name="Table Row Percentage" xfId="494"/>
    <cellStyle name="Table Row Percentage 2" xfId="495"/>
    <cellStyle name="Table Row Percentage Check" xfId="496"/>
    <cellStyle name="Table Row Percentage Check 2" xfId="497"/>
    <cellStyle name="Table Row Percentage Check 3" xfId="498"/>
    <cellStyle name="Table Row Percentage Check_asset sales" xfId="499"/>
    <cellStyle name="Table Row Percentage_Table 5.6 sales of assets 23Feb2010" xfId="500"/>
    <cellStyle name="Table Title" xfId="559"/>
    <cellStyle name="Table Total Billions" xfId="501"/>
    <cellStyle name="Table Total Billions 2" xfId="502"/>
    <cellStyle name="Table Total Billions_Table 5.6 sales of assets 23Feb2010" xfId="503"/>
    <cellStyle name="Table Total Millions" xfId="504"/>
    <cellStyle name="Table Total Millions 2" xfId="505"/>
    <cellStyle name="Table Total Millions 2 2" xfId="506"/>
    <cellStyle name="Table Total Millions_Table 5.6 sales of assets 23Feb2010" xfId="507"/>
    <cellStyle name="Table Total Percentage" xfId="508"/>
    <cellStyle name="Table Total Percentage 2" xfId="509"/>
    <cellStyle name="Table Total Percentage_Table 5.6 sales of assets 23Feb2010" xfId="510"/>
    <cellStyle name="Table Units" xfId="511"/>
    <cellStyle name="Table Units 2" xfId="512"/>
    <cellStyle name="Table Units 2 2" xfId="513"/>
    <cellStyle name="Table Units_Table 5.6 sales of assets 23Feb2010" xfId="514"/>
    <cellStyle name="Table_Name" xfId="560"/>
    <cellStyle name="Times New Roman" xfId="515"/>
    <cellStyle name="Title 2" xfId="516"/>
    <cellStyle name="Title 3" xfId="517"/>
    <cellStyle name="Title 4" xfId="518"/>
    <cellStyle name="Total 2" xfId="519"/>
    <cellStyle name="Total 3" xfId="520"/>
    <cellStyle name="Warning Text 2" xfId="521"/>
    <cellStyle name="Warning Text 3" xfId="522"/>
    <cellStyle name="Warnings" xfId="561"/>
    <cellStyle name="Warnings 2" xfId="562"/>
    <cellStyle name="whole number" xfId="523"/>
  </cellStyles>
  <dxfs count="11">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6" tint="0.39994506668294322"/>
        </patternFill>
      </fill>
    </dxf>
    <dxf>
      <fill>
        <patternFill>
          <bgColor theme="6" tint="0.39994506668294322"/>
        </patternFill>
      </fill>
    </dxf>
    <dxf>
      <fill>
        <patternFill>
          <bgColor theme="6" tint="0.39994506668294322"/>
        </patternFill>
      </fill>
    </dxf>
    <dxf>
      <font>
        <color theme="0"/>
      </font>
    </dxf>
    <dxf>
      <font>
        <b val="0"/>
        <i/>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theme" Target="theme/theme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gfpnet/3%20DEL%20Model/Council%20Tax/151120%20Council%20Tax%20Underlying%20Data%20v3%20Social%20Care%20Re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5-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gov.uk/Lgfpnet/Spending%20Power/2016-17%20to%202019-20/Public%20Tables/Final%20Settlement/160201%20Core%20Spending%20Power%20FINAL%20SETTLEMENT%20corrected%20KI.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kyv\CheckOut\Long-term%20model%202009%7bdb5-doc3966101-ma1-mi14%7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gov.uk/UserData$/AEVANS12/Documents/CTB%202014%20and%20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gfpnet\3%20DEL%20Model\Council%20Tax\151120%20Council%20Tax%20Underlying%20Data%20v3%20Social%20Care%20R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sheetName val="All Auths"/>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6">
          <cell r="J36" t="str">
            <v>Barnet</v>
          </cell>
        </row>
        <row r="37">
          <cell r="J37" t="str">
            <v>Barnsley</v>
          </cell>
        </row>
        <row r="38">
          <cell r="J38" t="str">
            <v>Barrow-in-Furness</v>
          </cell>
        </row>
        <row r="39">
          <cell r="J39" t="str">
            <v>Basildon</v>
          </cell>
        </row>
        <row r="40">
          <cell r="J40" t="str">
            <v>Basingstoke and Deane</v>
          </cell>
        </row>
        <row r="41">
          <cell r="J41" t="str">
            <v>Bassetlaw</v>
          </cell>
        </row>
        <row r="42">
          <cell r="J42" t="str">
            <v>Bath &amp; North East Somerset</v>
          </cell>
        </row>
        <row r="43">
          <cell r="J43" t="str">
            <v>Bedford</v>
          </cell>
        </row>
        <row r="44">
          <cell r="J44" t="str">
            <v>Bedfordshire Fire</v>
          </cell>
        </row>
        <row r="45">
          <cell r="J45" t="str">
            <v>Berkshire Fire</v>
          </cell>
        </row>
        <row r="46">
          <cell r="J46" t="str">
            <v>Bexley</v>
          </cell>
        </row>
        <row r="47">
          <cell r="J47" t="str">
            <v>Birmingham</v>
          </cell>
        </row>
        <row r="48">
          <cell r="J48" t="str">
            <v>Blaby</v>
          </cell>
        </row>
        <row r="49">
          <cell r="J49" t="str">
            <v>Blackburn with Darwen</v>
          </cell>
        </row>
        <row r="50">
          <cell r="J50" t="str">
            <v>Blackpool</v>
          </cell>
        </row>
        <row r="51">
          <cell r="J51" t="str">
            <v>Bolsover</v>
          </cell>
        </row>
        <row r="52">
          <cell r="J52" t="str">
            <v>Bolton</v>
          </cell>
        </row>
        <row r="53">
          <cell r="J53" t="str">
            <v>Boston</v>
          </cell>
        </row>
        <row r="54">
          <cell r="J54" t="str">
            <v>Bournemouth</v>
          </cell>
        </row>
        <row r="55">
          <cell r="J55" t="str">
            <v>Bracknell Forest</v>
          </cell>
        </row>
        <row r="56">
          <cell r="J56" t="str">
            <v>Bradford</v>
          </cell>
        </row>
        <row r="57">
          <cell r="J57" t="str">
            <v>Braintree</v>
          </cell>
        </row>
        <row r="58">
          <cell r="J58" t="str">
            <v>Breckland</v>
          </cell>
        </row>
        <row r="59">
          <cell r="J59" t="str">
            <v>Brent</v>
          </cell>
        </row>
        <row r="60">
          <cell r="J60" t="str">
            <v>Brentwood</v>
          </cell>
        </row>
        <row r="61">
          <cell r="J61" t="str">
            <v>Brighton &amp; Hove</v>
          </cell>
        </row>
        <row r="62">
          <cell r="J62" t="str">
            <v>Bristol</v>
          </cell>
        </row>
        <row r="63">
          <cell r="J63" t="str">
            <v>Broadland</v>
          </cell>
        </row>
        <row r="64">
          <cell r="J64" t="str">
            <v>Bromley</v>
          </cell>
        </row>
        <row r="65">
          <cell r="J65" t="str">
            <v>Bromsgrove</v>
          </cell>
        </row>
        <row r="66">
          <cell r="J66" t="str">
            <v>Broxbourne</v>
          </cell>
        </row>
        <row r="67">
          <cell r="J67" t="str">
            <v>Broxtowe</v>
          </cell>
        </row>
        <row r="68">
          <cell r="J68" t="str">
            <v>Buckinghamshire</v>
          </cell>
        </row>
        <row r="69">
          <cell r="J69" t="str">
            <v>Buckinghamshire Fire</v>
          </cell>
        </row>
        <row r="70">
          <cell r="J70" t="str">
            <v>Burnley</v>
          </cell>
        </row>
        <row r="71">
          <cell r="J71" t="str">
            <v>Bury</v>
          </cell>
        </row>
        <row r="72">
          <cell r="J72" t="str">
            <v>Calderdale</v>
          </cell>
        </row>
        <row r="73">
          <cell r="J73" t="str">
            <v>Cambridge</v>
          </cell>
        </row>
        <row r="74">
          <cell r="J74" t="str">
            <v>Cambridgeshire</v>
          </cell>
        </row>
        <row r="75">
          <cell r="J75" t="str">
            <v>Cambridgeshire Fire</v>
          </cell>
        </row>
        <row r="76">
          <cell r="J76" t="str">
            <v>Camden</v>
          </cell>
        </row>
        <row r="77">
          <cell r="J77" t="str">
            <v>Cannock Chase</v>
          </cell>
        </row>
        <row r="78">
          <cell r="J78" t="str">
            <v>Canterbury</v>
          </cell>
        </row>
        <row r="79">
          <cell r="J79" t="str">
            <v>Carlisle</v>
          </cell>
        </row>
        <row r="80">
          <cell r="J80" t="str">
            <v>Castle Point</v>
          </cell>
        </row>
        <row r="81">
          <cell r="J81" t="str">
            <v>Central Bedfordshire</v>
          </cell>
        </row>
        <row r="82">
          <cell r="J82" t="str">
            <v>Charnwood</v>
          </cell>
        </row>
        <row r="83">
          <cell r="J83" t="str">
            <v>Chelmsford</v>
          </cell>
        </row>
        <row r="84">
          <cell r="J84" t="str">
            <v>Cheltenham</v>
          </cell>
        </row>
        <row r="85">
          <cell r="J85" t="str">
            <v>Cherwell</v>
          </cell>
        </row>
        <row r="86">
          <cell r="J86" t="str">
            <v>Cheshire East</v>
          </cell>
        </row>
        <row r="87">
          <cell r="J87" t="str">
            <v>Cheshire Fire</v>
          </cell>
        </row>
        <row r="88">
          <cell r="J88" t="str">
            <v>Cheshire West and Chester</v>
          </cell>
        </row>
        <row r="89">
          <cell r="J89" t="str">
            <v>Chesterfield</v>
          </cell>
        </row>
        <row r="90">
          <cell r="J90" t="str">
            <v>Chichester</v>
          </cell>
        </row>
        <row r="91">
          <cell r="J91" t="str">
            <v>Chiltern</v>
          </cell>
        </row>
        <row r="92">
          <cell r="J92" t="str">
            <v>Chorley</v>
          </cell>
        </row>
        <row r="93">
          <cell r="J93" t="str">
            <v>Christchurch</v>
          </cell>
        </row>
        <row r="94">
          <cell r="J94" t="str">
            <v>City of London - non-police</v>
          </cell>
        </row>
        <row r="95">
          <cell r="J95" t="str">
            <v>Cleveland Fire</v>
          </cell>
        </row>
        <row r="96">
          <cell r="J96" t="str">
            <v>Colchester</v>
          </cell>
        </row>
        <row r="97">
          <cell r="J97" t="str">
            <v>Copeland</v>
          </cell>
        </row>
        <row r="98">
          <cell r="J98" t="str">
            <v>Corby</v>
          </cell>
        </row>
        <row r="99">
          <cell r="J99" t="str">
            <v>Cornwall</v>
          </cell>
        </row>
        <row r="100">
          <cell r="J100" t="str">
            <v>Cotswold</v>
          </cell>
        </row>
        <row r="101">
          <cell r="J101" t="str">
            <v>Coventry</v>
          </cell>
        </row>
        <row r="102">
          <cell r="J102" t="str">
            <v>Craven</v>
          </cell>
        </row>
        <row r="103">
          <cell r="J103" t="str">
            <v>Crawley</v>
          </cell>
        </row>
        <row r="104">
          <cell r="J104" t="str">
            <v>Croydon</v>
          </cell>
        </row>
        <row r="105">
          <cell r="J105" t="str">
            <v>Cumbria</v>
          </cell>
        </row>
        <row r="106">
          <cell r="J106" t="str">
            <v>Dacorum</v>
          </cell>
        </row>
        <row r="107">
          <cell r="J107" t="str">
            <v>Darlington</v>
          </cell>
        </row>
        <row r="108">
          <cell r="J108" t="str">
            <v>Dartford</v>
          </cell>
        </row>
        <row r="109">
          <cell r="J109" t="str">
            <v>Daventry</v>
          </cell>
        </row>
        <row r="110">
          <cell r="J110" t="str">
            <v>Derby</v>
          </cell>
        </row>
        <row r="111">
          <cell r="J111" t="str">
            <v>Derbyshire</v>
          </cell>
        </row>
        <row r="112">
          <cell r="J112" t="str">
            <v>Derbyshire Dales</v>
          </cell>
        </row>
        <row r="113">
          <cell r="J113" t="str">
            <v>Derbyshire Fire</v>
          </cell>
        </row>
        <row r="114">
          <cell r="J114" t="str">
            <v>Devon</v>
          </cell>
        </row>
        <row r="115">
          <cell r="J115" t="str">
            <v>Devon &amp; Somerset Fire</v>
          </cell>
        </row>
        <row r="116">
          <cell r="J116" t="str">
            <v>Doncaster</v>
          </cell>
        </row>
        <row r="117">
          <cell r="J117" t="str">
            <v>Dorset</v>
          </cell>
        </row>
        <row r="118">
          <cell r="J118" t="str">
            <v>Dorset Fire</v>
          </cell>
        </row>
        <row r="119">
          <cell r="J119" t="str">
            <v>Dover</v>
          </cell>
        </row>
        <row r="120">
          <cell r="J120" t="str">
            <v>Dudley</v>
          </cell>
        </row>
        <row r="121">
          <cell r="J121" t="str">
            <v>Durham</v>
          </cell>
        </row>
        <row r="122">
          <cell r="J122" t="str">
            <v>Durham Fire</v>
          </cell>
        </row>
        <row r="123">
          <cell r="J123" t="str">
            <v>Ealing</v>
          </cell>
        </row>
        <row r="124">
          <cell r="J124" t="str">
            <v>East Cambridgeshire</v>
          </cell>
        </row>
        <row r="125">
          <cell r="J125" t="str">
            <v>East Devon</v>
          </cell>
        </row>
        <row r="126">
          <cell r="J126" t="str">
            <v>East Dorset</v>
          </cell>
        </row>
        <row r="127">
          <cell r="J127" t="str">
            <v>East Hampshire</v>
          </cell>
        </row>
        <row r="128">
          <cell r="J128" t="str">
            <v>East Hertfordshire</v>
          </cell>
        </row>
        <row r="129">
          <cell r="J129" t="str">
            <v>East Lindsey</v>
          </cell>
        </row>
        <row r="130">
          <cell r="J130" t="str">
            <v>East Northamptonshire</v>
          </cell>
        </row>
        <row r="131">
          <cell r="J131" t="str">
            <v>East Riding of Yorkshire</v>
          </cell>
        </row>
        <row r="132">
          <cell r="J132" t="str">
            <v>East Staffordshire</v>
          </cell>
        </row>
        <row r="133">
          <cell r="J133" t="str">
            <v>East Sussex</v>
          </cell>
        </row>
        <row r="134">
          <cell r="J134" t="str">
            <v>East Sussex Fire</v>
          </cell>
        </row>
        <row r="135">
          <cell r="J135" t="str">
            <v>Eastbourne</v>
          </cell>
        </row>
        <row r="136">
          <cell r="J136" t="str">
            <v>Eastleigh</v>
          </cell>
        </row>
        <row r="137">
          <cell r="J137" t="str">
            <v>Eden</v>
          </cell>
        </row>
        <row r="138">
          <cell r="J138" t="str">
            <v>Elmbridge</v>
          </cell>
        </row>
        <row r="139">
          <cell r="J139" t="str">
            <v>Enfield</v>
          </cell>
        </row>
        <row r="140">
          <cell r="J140" t="str">
            <v>Epping Forest</v>
          </cell>
        </row>
        <row r="141">
          <cell r="J141" t="str">
            <v>Epsom and Ewell</v>
          </cell>
        </row>
        <row r="142">
          <cell r="J142" t="str">
            <v>Erewash</v>
          </cell>
        </row>
        <row r="143">
          <cell r="J143" t="str">
            <v>Essex</v>
          </cell>
        </row>
        <row r="144">
          <cell r="J144" t="str">
            <v>Essex Fire</v>
          </cell>
        </row>
        <row r="145">
          <cell r="J145" t="str">
            <v>Exeter</v>
          </cell>
        </row>
        <row r="146">
          <cell r="J146" t="str">
            <v>Fareham</v>
          </cell>
        </row>
        <row r="147">
          <cell r="J147" t="str">
            <v>Fenland</v>
          </cell>
        </row>
        <row r="148">
          <cell r="J148" t="str">
            <v>Forest Heath</v>
          </cell>
        </row>
        <row r="149">
          <cell r="J149" t="str">
            <v>Forest of Dean</v>
          </cell>
        </row>
        <row r="150">
          <cell r="J150" t="str">
            <v>Fylde</v>
          </cell>
        </row>
        <row r="151">
          <cell r="J151" t="str">
            <v>Gateshead</v>
          </cell>
        </row>
        <row r="152">
          <cell r="J152" t="str">
            <v>Gedling</v>
          </cell>
        </row>
        <row r="153">
          <cell r="J153" t="str">
            <v>GLA - fire</v>
          </cell>
        </row>
        <row r="154">
          <cell r="J154" t="str">
            <v>GLA - mayor and misc</v>
          </cell>
        </row>
        <row r="155">
          <cell r="J155" t="str">
            <v>Gloucester</v>
          </cell>
        </row>
        <row r="156">
          <cell r="J156" t="str">
            <v>Gloucestershire</v>
          </cell>
        </row>
        <row r="157">
          <cell r="J157" t="str">
            <v>Gosport</v>
          </cell>
        </row>
        <row r="158">
          <cell r="J158" t="str">
            <v>Gravesham</v>
          </cell>
        </row>
        <row r="159">
          <cell r="J159" t="str">
            <v>Great Yarmouth</v>
          </cell>
        </row>
        <row r="160">
          <cell r="J160" t="str">
            <v>Greater Manchester Fire</v>
          </cell>
        </row>
        <row r="161">
          <cell r="J161" t="str">
            <v>Greenwich</v>
          </cell>
        </row>
        <row r="162">
          <cell r="J162" t="str">
            <v>Guildford</v>
          </cell>
        </row>
        <row r="163">
          <cell r="J163" t="str">
            <v>Hackney</v>
          </cell>
        </row>
        <row r="164">
          <cell r="J164" t="str">
            <v>Halton</v>
          </cell>
        </row>
        <row r="165">
          <cell r="J165" t="str">
            <v>Hambleton</v>
          </cell>
        </row>
        <row r="166">
          <cell r="J166" t="str">
            <v>Hammersmith and Fulham</v>
          </cell>
        </row>
        <row r="167">
          <cell r="J167" t="str">
            <v>Hampshire</v>
          </cell>
        </row>
        <row r="168">
          <cell r="J168" t="str">
            <v>Hampshire Fire</v>
          </cell>
        </row>
        <row r="169">
          <cell r="J169" t="str">
            <v>Harborough</v>
          </cell>
        </row>
        <row r="170">
          <cell r="J170" t="str">
            <v>Haringey</v>
          </cell>
        </row>
        <row r="171">
          <cell r="J171" t="str">
            <v>Harlow</v>
          </cell>
        </row>
        <row r="172">
          <cell r="J172" t="str">
            <v>Harrogate</v>
          </cell>
        </row>
        <row r="173">
          <cell r="J173" t="str">
            <v>Harrow</v>
          </cell>
        </row>
        <row r="174">
          <cell r="J174" t="str">
            <v>Hart</v>
          </cell>
        </row>
        <row r="175">
          <cell r="J175" t="str">
            <v>Hartlepool</v>
          </cell>
        </row>
        <row r="176">
          <cell r="J176" t="str">
            <v>Hastings</v>
          </cell>
        </row>
        <row r="177">
          <cell r="J177" t="str">
            <v>Havant</v>
          </cell>
        </row>
        <row r="178">
          <cell r="J178" t="str">
            <v>Havering</v>
          </cell>
        </row>
        <row r="179">
          <cell r="J179" t="str">
            <v>Hereford and Worcester Fire</v>
          </cell>
        </row>
        <row r="180">
          <cell r="J180" t="str">
            <v>Herefordshire</v>
          </cell>
        </row>
        <row r="181">
          <cell r="J181" t="str">
            <v>Hertfordshire</v>
          </cell>
        </row>
        <row r="182">
          <cell r="J182" t="str">
            <v>Hertsmere</v>
          </cell>
        </row>
        <row r="183">
          <cell r="J183" t="str">
            <v>High Peak</v>
          </cell>
        </row>
        <row r="184">
          <cell r="J184" t="str">
            <v>Hillingdon</v>
          </cell>
        </row>
        <row r="185">
          <cell r="J185" t="str">
            <v>Hinckley and Bosworth</v>
          </cell>
        </row>
        <row r="186">
          <cell r="J186" t="str">
            <v>Horsham</v>
          </cell>
        </row>
        <row r="187">
          <cell r="J187" t="str">
            <v>Hounslow</v>
          </cell>
        </row>
        <row r="188">
          <cell r="J188" t="str">
            <v>Humberside Fire</v>
          </cell>
        </row>
        <row r="189">
          <cell r="J189" t="str">
            <v>Huntingdonshire</v>
          </cell>
        </row>
        <row r="190">
          <cell r="J190" t="str">
            <v>Hyndburn</v>
          </cell>
        </row>
        <row r="191">
          <cell r="J191" t="str">
            <v>Ipswich</v>
          </cell>
        </row>
        <row r="192">
          <cell r="J192" t="str">
            <v>Isle of Wight</v>
          </cell>
        </row>
        <row r="193">
          <cell r="J193" t="str">
            <v>Isles of Scilly</v>
          </cell>
        </row>
        <row r="194">
          <cell r="J194" t="str">
            <v>Islington</v>
          </cell>
        </row>
        <row r="195">
          <cell r="J195" t="str">
            <v>Kensington and Chelsea</v>
          </cell>
        </row>
        <row r="196">
          <cell r="J196" t="str">
            <v>Kent</v>
          </cell>
        </row>
        <row r="197">
          <cell r="J197" t="str">
            <v>Kent Fire</v>
          </cell>
        </row>
        <row r="198">
          <cell r="J198" t="str">
            <v>Kettering</v>
          </cell>
        </row>
        <row r="199">
          <cell r="J199" t="str">
            <v>Kings Lynn and West Norfolk</v>
          </cell>
        </row>
        <row r="200">
          <cell r="J200" t="str">
            <v>Kingston upon Hull</v>
          </cell>
        </row>
        <row r="201">
          <cell r="J201" t="str">
            <v>Kingston upon Thames</v>
          </cell>
        </row>
        <row r="202">
          <cell r="J202" t="str">
            <v>Kirklees</v>
          </cell>
        </row>
        <row r="203">
          <cell r="J203" t="str">
            <v>Knowsley</v>
          </cell>
        </row>
        <row r="204">
          <cell r="J204" t="str">
            <v>Lambeth</v>
          </cell>
        </row>
        <row r="205">
          <cell r="J205" t="str">
            <v>Lancashire</v>
          </cell>
        </row>
        <row r="206">
          <cell r="J206" t="str">
            <v>Lancashire Fire</v>
          </cell>
        </row>
        <row r="207">
          <cell r="J207" t="str">
            <v>Lancaster</v>
          </cell>
        </row>
        <row r="208">
          <cell r="J208" t="str">
            <v>Leeds</v>
          </cell>
        </row>
        <row r="209">
          <cell r="J209" t="str">
            <v>Leicester</v>
          </cell>
        </row>
        <row r="210">
          <cell r="J210" t="str">
            <v>Leicestershire</v>
          </cell>
        </row>
        <row r="211">
          <cell r="J211" t="str">
            <v>Leicestershire Fire</v>
          </cell>
        </row>
        <row r="212">
          <cell r="J212" t="str">
            <v>Lewes</v>
          </cell>
        </row>
        <row r="213">
          <cell r="J213" t="str">
            <v>Lewisham</v>
          </cell>
        </row>
        <row r="214">
          <cell r="J214" t="str">
            <v>Lichfield</v>
          </cell>
        </row>
        <row r="215">
          <cell r="J215" t="str">
            <v>Lincoln</v>
          </cell>
        </row>
        <row r="216">
          <cell r="J216" t="str">
            <v>Lincolnshire</v>
          </cell>
        </row>
        <row r="217">
          <cell r="J217" t="str">
            <v>Liverpool</v>
          </cell>
        </row>
        <row r="218">
          <cell r="J218" t="str">
            <v>Luton</v>
          </cell>
        </row>
        <row r="219">
          <cell r="J219" t="str">
            <v>Maidstone</v>
          </cell>
        </row>
        <row r="220">
          <cell r="J220" t="str">
            <v>Maldon</v>
          </cell>
        </row>
        <row r="221">
          <cell r="J221" t="str">
            <v>Malvern Hills</v>
          </cell>
        </row>
        <row r="222">
          <cell r="J222" t="str">
            <v>Manchester</v>
          </cell>
        </row>
        <row r="223">
          <cell r="J223" t="str">
            <v>Mansfield</v>
          </cell>
        </row>
        <row r="224">
          <cell r="J224" t="str">
            <v>Medway</v>
          </cell>
        </row>
        <row r="225">
          <cell r="J225" t="str">
            <v>Melton</v>
          </cell>
        </row>
        <row r="226">
          <cell r="J226" t="str">
            <v>Mendip</v>
          </cell>
        </row>
        <row r="227">
          <cell r="J227" t="str">
            <v>Merseyside Fire</v>
          </cell>
        </row>
        <row r="228">
          <cell r="J228" t="str">
            <v>Merton</v>
          </cell>
        </row>
        <row r="229">
          <cell r="J229" t="str">
            <v>Mid Devon</v>
          </cell>
        </row>
        <row r="230">
          <cell r="J230" t="str">
            <v>Mid Suffolk</v>
          </cell>
        </row>
        <row r="231">
          <cell r="J231" t="str">
            <v>Mid Sussex</v>
          </cell>
        </row>
        <row r="232">
          <cell r="J232" t="str">
            <v>Middlesbrough</v>
          </cell>
        </row>
        <row r="233">
          <cell r="J233" t="str">
            <v>Milton Keynes</v>
          </cell>
        </row>
        <row r="234">
          <cell r="J234" t="str">
            <v>Mole Valley</v>
          </cell>
        </row>
        <row r="235">
          <cell r="J235" t="str">
            <v>New Forest</v>
          </cell>
        </row>
        <row r="236">
          <cell r="J236" t="str">
            <v>Newark and Sherwood</v>
          </cell>
        </row>
        <row r="237">
          <cell r="J237" t="str">
            <v>Newcastle upon Tyne</v>
          </cell>
        </row>
        <row r="238">
          <cell r="J238" t="str">
            <v>Newcastle-under-Lyme</v>
          </cell>
        </row>
        <row r="239">
          <cell r="J239" t="str">
            <v>Newham</v>
          </cell>
        </row>
        <row r="240">
          <cell r="J240" t="str">
            <v>Norfolk</v>
          </cell>
        </row>
        <row r="241">
          <cell r="J241" t="str">
            <v>North Devon</v>
          </cell>
        </row>
        <row r="242">
          <cell r="J242" t="str">
            <v>North Dorset</v>
          </cell>
        </row>
        <row r="243">
          <cell r="J243" t="str">
            <v>North East Derbyshire</v>
          </cell>
        </row>
        <row r="244">
          <cell r="J244" t="str">
            <v>North East Lincolnshire</v>
          </cell>
        </row>
        <row r="245">
          <cell r="J245" t="str">
            <v>North Hertfordshire</v>
          </cell>
        </row>
        <row r="246">
          <cell r="J246" t="str">
            <v>North Kesteven</v>
          </cell>
        </row>
        <row r="247">
          <cell r="J247" t="str">
            <v>North Lincolnshire</v>
          </cell>
        </row>
        <row r="248">
          <cell r="J248" t="str">
            <v>North Norfolk</v>
          </cell>
        </row>
        <row r="249">
          <cell r="J249" t="str">
            <v>North Somerset</v>
          </cell>
        </row>
        <row r="250">
          <cell r="J250" t="str">
            <v>North Tyneside</v>
          </cell>
        </row>
        <row r="251">
          <cell r="J251" t="str">
            <v>North Warwickshire</v>
          </cell>
        </row>
        <row r="252">
          <cell r="J252" t="str">
            <v>North West Leicestershire</v>
          </cell>
        </row>
        <row r="253">
          <cell r="J253" t="str">
            <v>North Yorkshire</v>
          </cell>
        </row>
        <row r="254">
          <cell r="J254" t="str">
            <v>North Yorkshire Fire</v>
          </cell>
        </row>
        <row r="255">
          <cell r="J255" t="str">
            <v>Northampton</v>
          </cell>
        </row>
        <row r="256">
          <cell r="J256" t="str">
            <v>Northamptonshire</v>
          </cell>
        </row>
        <row r="257">
          <cell r="J257" t="str">
            <v>Northumberland</v>
          </cell>
        </row>
        <row r="258">
          <cell r="J258" t="str">
            <v>Norwich</v>
          </cell>
        </row>
        <row r="259">
          <cell r="J259" t="str">
            <v>Nottingham</v>
          </cell>
        </row>
        <row r="260">
          <cell r="J260" t="str">
            <v>Nottinghamshire</v>
          </cell>
        </row>
        <row r="261">
          <cell r="J261" t="str">
            <v>Nottinghamshire Fire</v>
          </cell>
        </row>
        <row r="262">
          <cell r="J262" t="str">
            <v>Nuneaton and Bedworth</v>
          </cell>
        </row>
        <row r="263">
          <cell r="J263" t="str">
            <v>Oadby and Wigston</v>
          </cell>
        </row>
        <row r="264">
          <cell r="J264" t="str">
            <v>Oldham</v>
          </cell>
        </row>
        <row r="265">
          <cell r="J265" t="str">
            <v>Oxford</v>
          </cell>
        </row>
        <row r="266">
          <cell r="J266" t="str">
            <v>Oxfordshire</v>
          </cell>
        </row>
        <row r="267">
          <cell r="J267" t="str">
            <v>Pendle</v>
          </cell>
        </row>
        <row r="268">
          <cell r="J268" t="str">
            <v>Peterborough</v>
          </cell>
        </row>
        <row r="269">
          <cell r="J269" t="str">
            <v>Plymouth</v>
          </cell>
        </row>
        <row r="270">
          <cell r="J270" t="str">
            <v>Poole</v>
          </cell>
        </row>
        <row r="271">
          <cell r="J271" t="str">
            <v>Portsmouth</v>
          </cell>
        </row>
        <row r="272">
          <cell r="J272" t="str">
            <v>Preston</v>
          </cell>
        </row>
        <row r="273">
          <cell r="J273" t="str">
            <v>Purbeck</v>
          </cell>
        </row>
        <row r="274">
          <cell r="J274" t="str">
            <v>Reading</v>
          </cell>
        </row>
        <row r="275">
          <cell r="J275" t="str">
            <v>Redbridge</v>
          </cell>
        </row>
        <row r="276">
          <cell r="J276" t="str">
            <v>Redcar and Cleveland</v>
          </cell>
        </row>
        <row r="277">
          <cell r="J277" t="str">
            <v>Redditch</v>
          </cell>
        </row>
        <row r="278">
          <cell r="J278" t="str">
            <v>Reigate and Banstead</v>
          </cell>
        </row>
        <row r="279">
          <cell r="J279" t="str">
            <v>Ribble Valley</v>
          </cell>
        </row>
        <row r="280">
          <cell r="J280" t="str">
            <v>Richmond upon Thames</v>
          </cell>
        </row>
        <row r="281">
          <cell r="J281" t="str">
            <v>Richmondshire</v>
          </cell>
        </row>
        <row r="282">
          <cell r="J282" t="str">
            <v>Rochdale</v>
          </cell>
        </row>
        <row r="283">
          <cell r="J283" t="str">
            <v>Rochford</v>
          </cell>
        </row>
        <row r="284">
          <cell r="J284" t="str">
            <v>Rossendale</v>
          </cell>
        </row>
        <row r="285">
          <cell r="J285" t="str">
            <v>Rother</v>
          </cell>
        </row>
        <row r="286">
          <cell r="J286" t="str">
            <v>Rotherham</v>
          </cell>
        </row>
        <row r="287">
          <cell r="J287" t="str">
            <v>Rugby</v>
          </cell>
        </row>
        <row r="288">
          <cell r="J288" t="str">
            <v>Runnymede</v>
          </cell>
        </row>
        <row r="289">
          <cell r="J289" t="str">
            <v>Rushcliffe</v>
          </cell>
        </row>
        <row r="290">
          <cell r="J290" t="str">
            <v>Rushmoor</v>
          </cell>
        </row>
        <row r="291">
          <cell r="J291" t="str">
            <v>Rutland</v>
          </cell>
        </row>
        <row r="292">
          <cell r="J292" t="str">
            <v>Ryedale</v>
          </cell>
        </row>
        <row r="293">
          <cell r="J293" t="str">
            <v>Salford</v>
          </cell>
        </row>
        <row r="294">
          <cell r="J294" t="str">
            <v>Sandwell</v>
          </cell>
        </row>
        <row r="295">
          <cell r="J295" t="str">
            <v>Scarborough</v>
          </cell>
        </row>
        <row r="296">
          <cell r="J296" t="str">
            <v>Sedgemoor</v>
          </cell>
        </row>
        <row r="297">
          <cell r="J297" t="str">
            <v>Sefton</v>
          </cell>
        </row>
        <row r="298">
          <cell r="J298" t="str">
            <v>Selby</v>
          </cell>
        </row>
        <row r="299">
          <cell r="J299" t="str">
            <v>Sevenoaks</v>
          </cell>
        </row>
        <row r="300">
          <cell r="J300" t="str">
            <v>Sheffield</v>
          </cell>
        </row>
        <row r="301">
          <cell r="J301" t="str">
            <v>Shepway</v>
          </cell>
        </row>
        <row r="302">
          <cell r="J302" t="str">
            <v>Shropshire</v>
          </cell>
        </row>
        <row r="303">
          <cell r="J303" t="str">
            <v>Shropshire Fire</v>
          </cell>
        </row>
        <row r="304">
          <cell r="J304" t="str">
            <v>Slough</v>
          </cell>
        </row>
        <row r="305">
          <cell r="J305" t="str">
            <v>Solihull</v>
          </cell>
        </row>
        <row r="306">
          <cell r="J306" t="str">
            <v>Somerset</v>
          </cell>
        </row>
        <row r="307">
          <cell r="J307" t="str">
            <v>South Bucks</v>
          </cell>
        </row>
        <row r="308">
          <cell r="J308" t="str">
            <v>South Cambridgeshire</v>
          </cell>
        </row>
        <row r="309">
          <cell r="J309" t="str">
            <v>South Derbyshire</v>
          </cell>
        </row>
        <row r="310">
          <cell r="J310" t="str">
            <v>South Gloucestershire</v>
          </cell>
        </row>
        <row r="311">
          <cell r="J311" t="str">
            <v>South Hams</v>
          </cell>
        </row>
        <row r="312">
          <cell r="J312" t="str">
            <v>South Holland</v>
          </cell>
        </row>
        <row r="313">
          <cell r="J313" t="str">
            <v>South Kesteven</v>
          </cell>
        </row>
        <row r="314">
          <cell r="J314" t="str">
            <v>South Lakeland</v>
          </cell>
        </row>
        <row r="315">
          <cell r="J315" t="str">
            <v>South Norfolk</v>
          </cell>
        </row>
        <row r="316">
          <cell r="J316" t="str">
            <v>South Northamptonshire</v>
          </cell>
        </row>
        <row r="317">
          <cell r="J317" t="str">
            <v>South Oxfordshire</v>
          </cell>
        </row>
        <row r="318">
          <cell r="J318" t="str">
            <v>South Ribble</v>
          </cell>
        </row>
        <row r="319">
          <cell r="J319" t="str">
            <v>South Somerset</v>
          </cell>
        </row>
        <row r="320">
          <cell r="J320" t="str">
            <v>South Staffordshire</v>
          </cell>
        </row>
        <row r="321">
          <cell r="J321" t="str">
            <v>South Tyneside</v>
          </cell>
        </row>
        <row r="322">
          <cell r="J322" t="str">
            <v>South Yorkshire Fire</v>
          </cell>
        </row>
        <row r="323">
          <cell r="J323" t="str">
            <v>Southampton</v>
          </cell>
        </row>
        <row r="324">
          <cell r="J324" t="str">
            <v>Southend-on-Sea</v>
          </cell>
        </row>
        <row r="325">
          <cell r="J325" t="str">
            <v>Southwark</v>
          </cell>
        </row>
        <row r="326">
          <cell r="J326" t="str">
            <v>Spelthorne</v>
          </cell>
        </row>
        <row r="327">
          <cell r="J327" t="str">
            <v>St Albans</v>
          </cell>
        </row>
        <row r="328">
          <cell r="J328" t="str">
            <v>St Edmundsbury</v>
          </cell>
        </row>
        <row r="329">
          <cell r="J329" t="str">
            <v>St Helens</v>
          </cell>
        </row>
        <row r="330">
          <cell r="J330" t="str">
            <v>Stafford</v>
          </cell>
        </row>
        <row r="331">
          <cell r="J331" t="str">
            <v>Staffordshire</v>
          </cell>
        </row>
        <row r="332">
          <cell r="J332" t="str">
            <v>Staffordshire Fire</v>
          </cell>
        </row>
        <row r="333">
          <cell r="J333" t="str">
            <v>Staffordshire Moorlands</v>
          </cell>
        </row>
        <row r="334">
          <cell r="J334" t="str">
            <v>Stevenage</v>
          </cell>
        </row>
        <row r="335">
          <cell r="J335" t="str">
            <v>Stockport</v>
          </cell>
        </row>
        <row r="336">
          <cell r="J336" t="str">
            <v>Stockton-on-Tees</v>
          </cell>
        </row>
        <row r="337">
          <cell r="J337" t="str">
            <v>Stoke-on-Trent</v>
          </cell>
        </row>
        <row r="338">
          <cell r="J338" t="str">
            <v>Stratford-on-Avon</v>
          </cell>
        </row>
        <row r="339">
          <cell r="J339" t="str">
            <v>Stroud</v>
          </cell>
        </row>
        <row r="340">
          <cell r="J340" t="str">
            <v>Suffolk</v>
          </cell>
        </row>
        <row r="341">
          <cell r="J341" t="str">
            <v>Suffolk Coastal</v>
          </cell>
        </row>
        <row r="342">
          <cell r="J342" t="str">
            <v>Sunderland</v>
          </cell>
        </row>
        <row r="343">
          <cell r="J343" t="str">
            <v>Surrey</v>
          </cell>
        </row>
        <row r="344">
          <cell r="J344" t="str">
            <v>Surrey Heath</v>
          </cell>
        </row>
        <row r="345">
          <cell r="J345" t="str">
            <v>Sutton</v>
          </cell>
        </row>
        <row r="346">
          <cell r="J346" t="str">
            <v>Swale</v>
          </cell>
        </row>
        <row r="347">
          <cell r="J347" t="str">
            <v>Swindon</v>
          </cell>
        </row>
        <row r="348">
          <cell r="J348" t="str">
            <v>Tameside</v>
          </cell>
        </row>
        <row r="349">
          <cell r="J349" t="str">
            <v>Tamworth</v>
          </cell>
        </row>
        <row r="350">
          <cell r="J350" t="str">
            <v>Tandridge</v>
          </cell>
        </row>
        <row r="351">
          <cell r="J351" t="str">
            <v>Taunton Deane</v>
          </cell>
        </row>
        <row r="352">
          <cell r="J352" t="str">
            <v>Teignbridge</v>
          </cell>
        </row>
        <row r="353">
          <cell r="J353" t="str">
            <v>Telford and the Wrekin</v>
          </cell>
        </row>
        <row r="354">
          <cell r="J354" t="str">
            <v>Tendring</v>
          </cell>
        </row>
        <row r="355">
          <cell r="J355" t="str">
            <v>Test Valley</v>
          </cell>
        </row>
        <row r="356">
          <cell r="J356" t="str">
            <v>Tewkesbury</v>
          </cell>
        </row>
        <row r="357">
          <cell r="J357" t="str">
            <v>Thanet</v>
          </cell>
        </row>
        <row r="358">
          <cell r="J358" t="str">
            <v>Three Rivers</v>
          </cell>
        </row>
        <row r="359">
          <cell r="J359" t="str">
            <v>Thurrock</v>
          </cell>
        </row>
        <row r="360">
          <cell r="J360" t="str">
            <v>Tonbridge and Malling</v>
          </cell>
        </row>
        <row r="361">
          <cell r="J361" t="str">
            <v>Torbay</v>
          </cell>
        </row>
        <row r="362">
          <cell r="J362" t="str">
            <v>Torridge</v>
          </cell>
        </row>
        <row r="363">
          <cell r="J363" t="str">
            <v>Tower Hamlets</v>
          </cell>
        </row>
        <row r="364">
          <cell r="J364" t="str">
            <v>Trafford</v>
          </cell>
        </row>
        <row r="365">
          <cell r="J365" t="str">
            <v>Tunbridge Wells</v>
          </cell>
        </row>
        <row r="366">
          <cell r="J366" t="str">
            <v>Tyne and Wear Fire</v>
          </cell>
        </row>
        <row r="367">
          <cell r="J367" t="str">
            <v>Uttlesford</v>
          </cell>
        </row>
        <row r="368">
          <cell r="J368" t="str">
            <v>Vale of White Horse</v>
          </cell>
        </row>
        <row r="369">
          <cell r="J369" t="str">
            <v>Wakefield</v>
          </cell>
        </row>
        <row r="370">
          <cell r="J370" t="str">
            <v>Walsall</v>
          </cell>
        </row>
        <row r="371">
          <cell r="J371" t="str">
            <v>Waltham Forest</v>
          </cell>
        </row>
        <row r="372">
          <cell r="J372" t="str">
            <v>Wandsworth</v>
          </cell>
        </row>
        <row r="373">
          <cell r="J373" t="str">
            <v>Warrington</v>
          </cell>
        </row>
        <row r="374">
          <cell r="J374" t="str">
            <v>Warwick</v>
          </cell>
        </row>
        <row r="375">
          <cell r="J375" t="str">
            <v>Warwickshire</v>
          </cell>
        </row>
        <row r="376">
          <cell r="J376" t="str">
            <v>Watford</v>
          </cell>
        </row>
        <row r="377">
          <cell r="J377" t="str">
            <v>Waveney</v>
          </cell>
        </row>
        <row r="378">
          <cell r="J378" t="str">
            <v>Waverley</v>
          </cell>
        </row>
        <row r="379">
          <cell r="J379" t="str">
            <v>Wealden</v>
          </cell>
        </row>
        <row r="380">
          <cell r="J380" t="str">
            <v>Wellingborough</v>
          </cell>
        </row>
        <row r="381">
          <cell r="J381" t="str">
            <v>Welwyn Hatfield</v>
          </cell>
        </row>
        <row r="382">
          <cell r="J382" t="str">
            <v>West Berkshire</v>
          </cell>
        </row>
        <row r="383">
          <cell r="J383" t="str">
            <v>West Devon</v>
          </cell>
        </row>
        <row r="384">
          <cell r="J384" t="str">
            <v>West Dorset</v>
          </cell>
        </row>
        <row r="385">
          <cell r="J385" t="str">
            <v>West Lancashire</v>
          </cell>
        </row>
        <row r="386">
          <cell r="J386" t="str">
            <v>West Lindsey</v>
          </cell>
        </row>
        <row r="387">
          <cell r="J387" t="str">
            <v>West Midlands Fire</v>
          </cell>
        </row>
        <row r="388">
          <cell r="J388" t="str">
            <v>West Oxfordshire</v>
          </cell>
        </row>
        <row r="389">
          <cell r="J389" t="str">
            <v>West Somerset</v>
          </cell>
        </row>
        <row r="390">
          <cell r="J390" t="str">
            <v>West Sussex</v>
          </cell>
        </row>
        <row r="391">
          <cell r="J391" t="str">
            <v>West Yorkshire Fire</v>
          </cell>
        </row>
        <row r="392">
          <cell r="J392" t="str">
            <v>Westminster</v>
          </cell>
        </row>
        <row r="393">
          <cell r="J393" t="str">
            <v>Weymouth and Portland</v>
          </cell>
        </row>
        <row r="394">
          <cell r="J394" t="str">
            <v>Wigan</v>
          </cell>
        </row>
        <row r="395">
          <cell r="J395" t="str">
            <v>Wiltshire</v>
          </cell>
        </row>
        <row r="396">
          <cell r="J396" t="str">
            <v>Wiltshire Fire</v>
          </cell>
        </row>
        <row r="397">
          <cell r="J397" t="str">
            <v>Winchester</v>
          </cell>
        </row>
        <row r="398">
          <cell r="J398" t="str">
            <v>Windsor and Maidenhead</v>
          </cell>
        </row>
        <row r="399">
          <cell r="J399" t="str">
            <v>Wirral</v>
          </cell>
        </row>
        <row r="400">
          <cell r="J400" t="str">
            <v>Woking</v>
          </cell>
        </row>
        <row r="401">
          <cell r="J401" t="str">
            <v>Wokingham</v>
          </cell>
        </row>
        <row r="402">
          <cell r="J402" t="str">
            <v>Wolverhampton</v>
          </cell>
        </row>
        <row r="403">
          <cell r="J403" t="str">
            <v>Worcester</v>
          </cell>
        </row>
        <row r="404">
          <cell r="J404" t="str">
            <v>Worcestershire</v>
          </cell>
        </row>
        <row r="405">
          <cell r="J405" t="str">
            <v>Worthing</v>
          </cell>
        </row>
        <row r="406">
          <cell r="J406" t="str">
            <v>Wychavon</v>
          </cell>
        </row>
        <row r="407">
          <cell r="J407" t="str">
            <v>Wycombe</v>
          </cell>
        </row>
        <row r="408">
          <cell r="J408" t="str">
            <v>Wyre</v>
          </cell>
        </row>
        <row r="409">
          <cell r="J409" t="str">
            <v>Wyre Forest</v>
          </cell>
        </row>
        <row r="410">
          <cell r="J410" t="str">
            <v>York</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KI LA Data"/>
      <sheetName val="KI Local Authority Dropdown"/>
      <sheetName val="KI 2016-17"/>
      <sheetName val="KI 2017-18"/>
      <sheetName val="KI 2018-19"/>
      <sheetName val="KI 2019-20"/>
      <sheetName val="Core Spending Power - Summary"/>
      <sheetName val="per Dwelling"/>
      <sheetName val="Core Spending Power - detail"/>
      <sheetName val="Change over the SR"/>
      <sheetName val="2016-17 (SoS)"/>
      <sheetName val="2017-18 (SoS)"/>
      <sheetName val="2016-17"/>
      <sheetName val="2017-18"/>
      <sheetName val="2018-19"/>
      <sheetName val="2019-20"/>
      <sheetName val="Area Spending Power"/>
      <sheetName val="SoS cribsheet"/>
      <sheetName val="Changes on provisional 1617"/>
      <sheetName val="Changes on provisional 1718"/>
      <sheetName val="LA Data"/>
      <sheetName val="25112015 deflator update"/>
      <sheetName val="PHG assumptions"/>
      <sheetName val="for briefing pack"/>
      <sheetName val="HoC table"/>
      <sheetName val="HoC table (v2)"/>
      <sheetName val="Visible Lines - Summary"/>
      <sheetName val="2016-17 (visible)"/>
      <sheetName val="2017-18 (visible)"/>
      <sheetName val="2018-19 (visible)"/>
      <sheetName val="2019-20 (visible)"/>
      <sheetName val="NHB"/>
      <sheetName val="Transition Grant"/>
      <sheetName val="SFA"/>
    </sheetNames>
    <sheetDataSet>
      <sheetData sheetId="0">
        <row r="4">
          <cell r="K4" t="str">
            <v>No</v>
          </cell>
        </row>
        <row r="7">
          <cell r="K7" t="str">
            <v>No</v>
          </cell>
        </row>
        <row r="10">
          <cell r="K10" t="str">
            <v>No</v>
          </cell>
        </row>
        <row r="13">
          <cell r="K13" t="str">
            <v>Yes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48"/>
  <sheetViews>
    <sheetView tabSelected="1" zoomScale="110" zoomScaleNormal="110" workbookViewId="0">
      <selection activeCell="D11" sqref="D11"/>
    </sheetView>
  </sheetViews>
  <sheetFormatPr defaultRowHeight="12.75" x14ac:dyDescent="0.2"/>
  <cols>
    <col min="2" max="2" width="50.5703125" customWidth="1"/>
    <col min="3" max="3" width="2.85546875" customWidth="1"/>
    <col min="4" max="4" width="13.5703125" bestFit="1" customWidth="1"/>
    <col min="5" max="5" width="4.7109375" bestFit="1" customWidth="1"/>
    <col min="6" max="6" width="49.140625" bestFit="1" customWidth="1"/>
    <col min="7" max="7" width="2.7109375" customWidth="1"/>
    <col min="8" max="8" width="15.7109375" style="15" customWidth="1"/>
    <col min="9" max="9" width="2.5703125" customWidth="1"/>
    <col min="10" max="10" width="51.42578125" customWidth="1"/>
    <col min="11" max="11" width="14.7109375" customWidth="1"/>
    <col min="12" max="12" width="15.7109375" bestFit="1" customWidth="1"/>
  </cols>
  <sheetData>
    <row r="1" spans="1:13" ht="18.75" x14ac:dyDescent="0.3">
      <c r="B1" s="1" t="s">
        <v>819</v>
      </c>
      <c r="C1" s="2"/>
      <c r="D1" s="2"/>
      <c r="E1" s="2"/>
      <c r="H1"/>
    </row>
    <row r="2" spans="1:13" x14ac:dyDescent="0.2">
      <c r="B2" s="2"/>
      <c r="C2" s="2"/>
      <c r="D2" s="2"/>
      <c r="E2" s="2"/>
      <c r="H2"/>
    </row>
    <row r="3" spans="1:13" ht="21" x14ac:dyDescent="0.35">
      <c r="B3" s="3" t="s">
        <v>0</v>
      </c>
      <c r="C3" s="4"/>
      <c r="D3" s="4"/>
      <c r="E3" s="4"/>
      <c r="H3"/>
    </row>
    <row r="4" spans="1:13" ht="16.5" thickBot="1" x14ac:dyDescent="0.3">
      <c r="B4" s="4"/>
      <c r="C4" s="4"/>
      <c r="D4" s="4"/>
      <c r="E4" s="4"/>
      <c r="H4"/>
    </row>
    <row r="5" spans="1:13" ht="16.5" thickBot="1" x14ac:dyDescent="0.3">
      <c r="B5" s="5" t="s">
        <v>788</v>
      </c>
      <c r="C5" s="4"/>
      <c r="D5" s="185" t="str">
        <f>VLOOKUP($B$5,Data!C:M,11,FALSE)</f>
        <v>E5100</v>
      </c>
      <c r="E5" s="6" t="str">
        <f>VLOOKUP($D$5,Data!B:G,6,FALSE)</f>
        <v>P</v>
      </c>
      <c r="F5" s="180" t="str">
        <f>IF(VLOOKUP($D$5,Data!B:K,10,FALSE)="","",VLOOKUP($D$5,Data!B:K,10,FALSE))</f>
        <v/>
      </c>
      <c r="H5"/>
      <c r="J5" s="7"/>
      <c r="L5" s="7"/>
      <c r="M5" s="7"/>
    </row>
    <row r="6" spans="1:13" x14ac:dyDescent="0.2">
      <c r="H6"/>
    </row>
    <row r="7" spans="1:13" ht="26.25" thickBot="1" x14ac:dyDescent="0.25">
      <c r="D7" s="8" t="s">
        <v>2</v>
      </c>
      <c r="F7" s="9" t="s">
        <v>820</v>
      </c>
      <c r="H7"/>
    </row>
    <row r="8" spans="1:13" x14ac:dyDescent="0.2">
      <c r="A8" t="str">
        <f>CONCATENATE("Row ",ROW())</f>
        <v>Row 8</v>
      </c>
      <c r="B8" s="10" t="s">
        <v>3</v>
      </c>
      <c r="C8" s="11"/>
      <c r="D8" s="12">
        <f>VLOOKUP($D$5,Data!B:F,5,FALSE)</f>
        <v>0.2</v>
      </c>
      <c r="E8" s="13"/>
      <c r="F8" s="14" t="str">
        <f>IF(VLOOKUP($D$5,Data!B:L,11,FALSE)="Pilot","Local authority share under 50% scheme",IF(E5="BRP","Not applicable for pools","Local authority share"))</f>
        <v>Local authority share under 50% scheme</v>
      </c>
    </row>
    <row r="9" spans="1:13" ht="25.5" customHeight="1" x14ac:dyDescent="0.2">
      <c r="A9" t="str">
        <f t="shared" ref="A9:A45" si="0">CONCATENATE("Row ",ROW())</f>
        <v>Row 9</v>
      </c>
      <c r="B9" s="65" t="s">
        <v>1258</v>
      </c>
      <c r="C9" s="17"/>
      <c r="D9" s="18">
        <f>VLOOKUP($D$5,'KI 2017-18'!B:F,5,FALSE)*10^6</f>
        <v>1008615799.07147</v>
      </c>
      <c r="E9" s="19"/>
      <c r="F9" s="181" t="s">
        <v>1259</v>
      </c>
      <c r="H9" s="20"/>
    </row>
    <row r="10" spans="1:13" x14ac:dyDescent="0.2">
      <c r="A10" t="str">
        <f t="shared" si="0"/>
        <v>Row 10</v>
      </c>
      <c r="B10" s="16" t="s">
        <v>4</v>
      </c>
      <c r="C10" s="17"/>
      <c r="D10" s="18">
        <f>Calculator!D9*0.925</f>
        <v>932969614.14110982</v>
      </c>
      <c r="E10" s="19"/>
      <c r="F10" s="182" t="s">
        <v>1338</v>
      </c>
      <c r="H10" s="20"/>
    </row>
    <row r="11" spans="1:13" x14ac:dyDescent="0.2">
      <c r="A11" t="str">
        <f t="shared" si="0"/>
        <v>Row 11</v>
      </c>
      <c r="B11" s="16" t="s">
        <v>5</v>
      </c>
      <c r="C11" s="17"/>
      <c r="D11" s="21">
        <f>VLOOKUP($D$5,'KI 2017-18'!B:I,8,FALSE)</f>
        <v>0.34123275519709906</v>
      </c>
      <c r="E11" s="19"/>
      <c r="F11" s="229" t="s">
        <v>1342</v>
      </c>
    </row>
    <row r="12" spans="1:13" ht="26.25" customHeight="1" x14ac:dyDescent="0.2">
      <c r="A12" t="str">
        <f t="shared" si="0"/>
        <v>Row 12</v>
      </c>
      <c r="B12" s="23" t="str">
        <f>IF($D$12&lt;0,"Tariff 2017-18","Top up 2017-18")</f>
        <v>Tariff 2017-18</v>
      </c>
      <c r="C12" s="17"/>
      <c r="D12" s="18">
        <f>VLOOKUP($D$5,'KI 2017-18'!B:G,6,FALSE)*10^6</f>
        <v>-525100674.83101898</v>
      </c>
      <c r="E12" s="19"/>
      <c r="F12" s="181" t="s">
        <v>1259</v>
      </c>
      <c r="H12" s="20"/>
    </row>
    <row r="13" spans="1:13" ht="26.25" customHeight="1" x14ac:dyDescent="0.2">
      <c r="A13" t="str">
        <f t="shared" si="0"/>
        <v>Row 13</v>
      </c>
      <c r="B13" s="23" t="str">
        <f>IF($D$12&lt;0,"Tariff reconciliation 2017-18","Top up reconciliation 2017-18")</f>
        <v>Tariff reconciliation 2017-18</v>
      </c>
      <c r="C13" s="17"/>
      <c r="D13" s="18">
        <f>IFERROR(VLOOKUP(D5,'KI 2018-19 (P)'!B:M,10,FALSE)*10^6,VLOOKUP($D$5,'KI 2018-19'!B:M,10,FALSE)*10^6)</f>
        <v>2650977.1183100385</v>
      </c>
      <c r="E13" s="19"/>
      <c r="F13" s="181" t="s">
        <v>1327</v>
      </c>
      <c r="H13" s="20"/>
    </row>
    <row r="14" spans="1:13" ht="37.5" customHeight="1" x14ac:dyDescent="0.2">
      <c r="A14" t="str">
        <f t="shared" si="0"/>
        <v>Row 14</v>
      </c>
      <c r="B14" s="24" t="s">
        <v>6</v>
      </c>
      <c r="C14" s="17"/>
      <c r="D14" s="18">
        <f>IFERROR(VLOOKUP($D$5,Data!B:J,9,FALSE)*10^6,"NA")</f>
        <v>418279793.61000001</v>
      </c>
      <c r="E14" s="19"/>
      <c r="F14" s="25" t="str">
        <f>IF($E$5=0,"From 2013-14 NNDR3 form Part 2, Line 5, Column 1",IF($D$16="Yes","Sum of 2013-14 NNDR3 form Part 2, Line 5, Column 1 for all relevant authorities",IF($E$5=" ","","Sum of 2013-14 NNDR3 form Part 2, Line 5, Column 1 for relevant authorities who have chosen to spread the cost of provision for backdated appeals via adjustment to surplus/deficit")))</f>
        <v>Sum of 2013-14 NNDR3 form Part 2, Line 5, Column 1 for all relevant authorities</v>
      </c>
      <c r="H14" s="20"/>
      <c r="J14" s="26"/>
    </row>
    <row r="15" spans="1:13" ht="25.5" x14ac:dyDescent="0.2">
      <c r="A15" t="str">
        <f t="shared" si="0"/>
        <v>Row 15</v>
      </c>
      <c r="B15" s="24" t="s">
        <v>7</v>
      </c>
      <c r="C15" s="17"/>
      <c r="D15" s="27" t="str">
        <f>VLOOKUP($D5,Data!B:H,7,FALSE)</f>
        <v>No</v>
      </c>
      <c r="E15" s="19"/>
      <c r="F15" s="22"/>
    </row>
    <row r="16" spans="1:13" ht="26.25" thickBot="1" x14ac:dyDescent="0.25">
      <c r="A16" t="str">
        <f t="shared" si="0"/>
        <v>Row 16</v>
      </c>
      <c r="B16" s="28" t="s">
        <v>8</v>
      </c>
      <c r="C16" s="29"/>
      <c r="D16" s="30" t="str">
        <f>VLOOKUP($D5,Data!B:I,8,FALSE)</f>
        <v>Yes</v>
      </c>
      <c r="E16" s="31"/>
      <c r="F16" s="32"/>
    </row>
    <row r="18" spans="1:12" ht="39" thickBot="1" x14ac:dyDescent="0.25">
      <c r="B18" s="63" t="s">
        <v>1343</v>
      </c>
      <c r="D18" s="8" t="s">
        <v>9</v>
      </c>
      <c r="H18" s="33" t="s">
        <v>10</v>
      </c>
    </row>
    <row r="19" spans="1:12" ht="63.75" customHeight="1" x14ac:dyDescent="0.2">
      <c r="A19" t="str">
        <f t="shared" si="0"/>
        <v>Row 19</v>
      </c>
      <c r="B19" s="34" t="s">
        <v>11</v>
      </c>
      <c r="C19" s="11"/>
      <c r="D19" s="35"/>
      <c r="E19" s="36"/>
      <c r="F19" s="37" t="str">
        <f>IF(VLOOKUP(D5,Data!B:L,11,FALSE)="Pilot","Part 5, Line 1, Column 5 of the NNDR3 form",IF($E$5=0,"Part 5, Line 1, Column 2 of the NNDR3 form",IF($E$5="P","The sum of Part 5, Line 1, Column 3 of the NNDR3 form for all relevant billing authorities",IF($E$5="F","The sum of Part 5, Line 1, Column 4 of the NNDR3 form for all relevant billing authorities","The sum of all relevant: Part 5 Line 1, Column 2 for billing authorites + Part 5 Line 1, Column 3 for counties + Part 5 Line 1, Column 4 for fire authorities + Part 5 Line 1, Column 5 x 50% tier split for pilot authorities"))))</f>
        <v>Part 5, Line 1, Column 5 of the NNDR3 form</v>
      </c>
      <c r="H19" s="38">
        <f>IF(VLOOKUP($D$5,Data!B:L,11,FALSE)="Pilot",D19*D8,D19)</f>
        <v>0</v>
      </c>
      <c r="I19" s="39"/>
      <c r="J19" s="37" t="str">
        <f>IF(VLOOKUP($D$5,Data!B:L,11,FALSE)="Pilot","Row 8 x Part 5, Line 1, Column 5",IF($E$5=0,"Part 5, Line 1, Column 2 of the NNDR3 form",IF($E$5="P","The sum of Part 5, Line 1, Column 3 of the NNDR3 form for all relevant billing authorities",IF($E$5="F","The sum of Part 5, Line 1, Column 4 of the NNDR3 form for all relevant billing authorities","The sum of all relevant: Part 5 Line 1, Column 2 for billing authorites + Part 5 Line 1, Column 3 for counties + Part 5 Line 1, Column 4 for fire authorities + Part 5 Line 1, Column 5 x 50% tier split for pilot authorities"))))</f>
        <v>Row 8 x Part 5, Line 1, Column 5</v>
      </c>
      <c r="K19" s="26"/>
      <c r="L19" s="26"/>
    </row>
    <row r="20" spans="1:12" ht="33.75" customHeight="1" x14ac:dyDescent="0.2">
      <c r="A20" t="str">
        <f t="shared" si="0"/>
        <v>Row 20</v>
      </c>
      <c r="B20" s="40" t="str">
        <f>IF($E$5=0,"Local authority share of Small Business Rate Relief to be compensated by S31 grant","N/A")</f>
        <v>N/A</v>
      </c>
      <c r="C20" s="17"/>
      <c r="D20" s="41"/>
      <c r="E20" s="19"/>
      <c r="F20" s="183" t="str">
        <f>IF($E$5=0,"Part 3, Line 6, Column 1 of the NNDR3 form","N/A")</f>
        <v>N/A</v>
      </c>
      <c r="H20" s="42">
        <f>-$D$8*D20*VLOOKUP($D$5,Data!B:T,19,FALSE)</f>
        <v>0</v>
      </c>
      <c r="I20" s="43"/>
      <c r="J20" s="25" t="str">
        <f>IF($E$5=0,"Row 8 x SBRR factor x Part 3, Line 6, Column 1 of the NNDR3 form","N/A")</f>
        <v>N/A</v>
      </c>
      <c r="K20" s="26"/>
      <c r="L20" s="26"/>
    </row>
    <row r="21" spans="1:12" ht="33.75" customHeight="1" x14ac:dyDescent="0.2">
      <c r="A21" t="str">
        <f t="shared" si="0"/>
        <v>Row 21</v>
      </c>
      <c r="B21" s="40" t="str">
        <f>IF($E$5=0,"N/A","Local authority share of Small Business Rate Relief to be compensated by S31 grant")</f>
        <v>Local authority share of Small Business Rate Relief to be compensated by S31 grant</v>
      </c>
      <c r="C21" s="17"/>
      <c r="D21" s="41"/>
      <c r="E21" s="19"/>
      <c r="F21" s="183" t="str">
        <f>IF($E$5=0,"N/A","The sum of Part 3, Line 6, Column 1 of the NNDR3 form for all relevant billing authorities x SBRR factor")</f>
        <v>The sum of Part 3, Line 6, Column 1 of the NNDR3 form for all relevant billing authorities x SBRR factor</v>
      </c>
      <c r="H21" s="42">
        <f>-D21*D8</f>
        <v>0</v>
      </c>
      <c r="I21" s="43"/>
      <c r="J21" s="25" t="str">
        <f>IF($E$5=0,"N/A","The sum of (Row 8 x SBRR factor x Part 3, Line 6, Column 1 of the NNDR3 form) for all relevant billing authorities ")</f>
        <v xml:space="preserve">The sum of (Row 8 x SBRR factor x Part 3, Line 6, Column 1 of the NNDR3 form) for all relevant billing authorities </v>
      </c>
      <c r="K21" s="26"/>
      <c r="L21" s="26"/>
    </row>
    <row r="22" spans="1:12" ht="27" x14ac:dyDescent="0.2">
      <c r="A22" t="str">
        <f t="shared" si="0"/>
        <v>Row 22</v>
      </c>
      <c r="B22" s="154" t="s">
        <v>1340</v>
      </c>
      <c r="C22" s="17"/>
      <c r="D22" s="44"/>
      <c r="E22" s="19"/>
      <c r="F22" s="183" t="str">
        <f>IF($E$5=0,"Part 3, Line 9, Column 1 of the NNDR3 form","The sum of Part 3, Line 9, Column 1 of the NNDR3 form for all relevant billing authorities")</f>
        <v>The sum of Part 3, Line 9, Column 1 of the NNDR3 form for all relevant billing authorities</v>
      </c>
      <c r="G22" s="20"/>
      <c r="H22" s="42">
        <f>-$D$8*0.5*D22</f>
        <v>0</v>
      </c>
      <c r="I22" s="43"/>
      <c r="J22" s="25" t="str">
        <f>IF($E$5=0,"Row 8 x 0.5 x Part 3, Line 9, Column 1 of the NNDR3 form","The sum of (Row 8 x 0.5 x Part 3, Line 9, Column 1 of the NNDR3 form) for all relevant billing authorities")</f>
        <v>The sum of (Row 8 x 0.5 x Part 3, Line 9, Column 1 of the NNDR3 form) for all relevant billing authorities</v>
      </c>
      <c r="K22" s="26"/>
      <c r="L22" s="26"/>
    </row>
    <row r="23" spans="1:12" x14ac:dyDescent="0.2">
      <c r="A23" t="str">
        <f t="shared" si="0"/>
        <v>Row 23</v>
      </c>
      <c r="B23" s="40" t="s">
        <v>13</v>
      </c>
      <c r="C23" s="17"/>
      <c r="D23" s="45"/>
      <c r="E23" s="19"/>
      <c r="F23" s="25" t="str">
        <f>IF($E$5=0,"Part 3, Line 35, Column 1 of the NNDR3 form","NA")</f>
        <v>NA</v>
      </c>
      <c r="H23" s="42">
        <f t="shared" ref="H23:H38" si="1">-$D$8*D23</f>
        <v>0</v>
      </c>
      <c r="I23" s="43"/>
      <c r="J23" s="25" t="str">
        <f>IF($E$5=0,"Row 8 x Part 3, Line 35, Column 1 of the NNDR3 form","NA")</f>
        <v>NA</v>
      </c>
      <c r="K23" s="26"/>
      <c r="L23" s="26"/>
    </row>
    <row r="24" spans="1:12" ht="27" x14ac:dyDescent="0.2">
      <c r="A24" t="str">
        <f t="shared" si="0"/>
        <v>Row 24</v>
      </c>
      <c r="B24" s="155" t="s">
        <v>1315</v>
      </c>
      <c r="C24" s="17"/>
      <c r="D24" s="45"/>
      <c r="E24" s="19"/>
      <c r="F24" s="25" t="str">
        <f>IF($E$5=0,"Part 3, Line 36, Column 1 of the NNDR3 form","NA")</f>
        <v>NA</v>
      </c>
      <c r="H24" s="42">
        <f t="shared" si="1"/>
        <v>0</v>
      </c>
      <c r="I24" s="43"/>
      <c r="J24" s="25" t="str">
        <f>IF($E$5=0,"Row 8 x Part 3, Line 36, Column 1 of the NNDR3 form","NA")</f>
        <v>NA</v>
      </c>
      <c r="K24" s="26"/>
      <c r="L24" s="26"/>
    </row>
    <row r="25" spans="1:12" x14ac:dyDescent="0.2">
      <c r="A25" t="str">
        <f t="shared" si="0"/>
        <v>Row 25</v>
      </c>
      <c r="B25" s="40" t="s">
        <v>14</v>
      </c>
      <c r="C25" s="17"/>
      <c r="D25" s="45"/>
      <c r="E25" s="19"/>
      <c r="F25" s="25" t="str">
        <f>IF($E$5=0,"Part 3, Line 38, Column 1 of the NNDR3 form","NA")</f>
        <v>NA</v>
      </c>
      <c r="H25" s="42">
        <f t="shared" si="1"/>
        <v>0</v>
      </c>
      <c r="I25" s="43"/>
      <c r="J25" s="25" t="str">
        <f>IF($E$5=0,"Row 8 x Part 3, Line 38, Column 1 of the NNDR3 form","NA")</f>
        <v>NA</v>
      </c>
      <c r="K25" s="26"/>
      <c r="L25" s="26"/>
    </row>
    <row r="26" spans="1:12" x14ac:dyDescent="0.2">
      <c r="A26" t="str">
        <f t="shared" si="0"/>
        <v>Row 26</v>
      </c>
      <c r="B26" s="40" t="s">
        <v>15</v>
      </c>
      <c r="C26" s="17"/>
      <c r="D26" s="45"/>
      <c r="E26" s="19"/>
      <c r="F26" s="25" t="str">
        <f>IF($E$5=0,"Part 3, Line 40, Column 1 of the NNDR3 form","NA")</f>
        <v>NA</v>
      </c>
      <c r="H26" s="42">
        <f t="shared" si="1"/>
        <v>0</v>
      </c>
      <c r="I26" s="43"/>
      <c r="J26" s="25" t="str">
        <f>IF($E$5=0,"Row 8 x Part 3, Line 40, Column 1 of the NNDR3 form","NA")</f>
        <v>NA</v>
      </c>
      <c r="K26" s="26"/>
      <c r="L26" s="26"/>
    </row>
    <row r="27" spans="1:12" ht="27" x14ac:dyDescent="0.2">
      <c r="A27" t="str">
        <f t="shared" si="0"/>
        <v>Row 27</v>
      </c>
      <c r="B27" s="40" t="s">
        <v>16</v>
      </c>
      <c r="C27" s="17"/>
      <c r="D27" s="45"/>
      <c r="E27" s="19"/>
      <c r="F27" s="25" t="str">
        <f>IF($E$5=0," Part 3, Line 41, Column 1 of the NNDR3 form","NA")</f>
        <v>NA</v>
      </c>
      <c r="H27" s="42">
        <f t="shared" si="1"/>
        <v>0</v>
      </c>
      <c r="I27" s="43"/>
      <c r="J27" s="25" t="str">
        <f>IF($E$5=0,"Row 8 x Part 3, Line 41, Column 1 of the NNDR3 form","NA")</f>
        <v>NA</v>
      </c>
      <c r="K27" s="26"/>
      <c r="L27" s="26"/>
    </row>
    <row r="28" spans="1:12" ht="25.5" x14ac:dyDescent="0.2">
      <c r="A28" t="str">
        <f t="shared" si="0"/>
        <v>Row 28</v>
      </c>
      <c r="B28" s="40" t="s">
        <v>17</v>
      </c>
      <c r="C28" s="17"/>
      <c r="D28" s="45"/>
      <c r="E28" s="19"/>
      <c r="F28" s="25" t="str">
        <f>IF($E$5=0,"Part 3, Line 42, Column 1 of the NNDR3 form","NA")</f>
        <v>NA</v>
      </c>
      <c r="H28" s="42">
        <f t="shared" si="1"/>
        <v>0</v>
      </c>
      <c r="I28" s="43"/>
      <c r="J28" s="25" t="str">
        <f>IF($E$5=0,"Row 8 x Part 3, Line 42, Column 1 of the NNDR3 form","NA")</f>
        <v>NA</v>
      </c>
      <c r="K28" s="26"/>
      <c r="L28" s="26"/>
    </row>
    <row r="29" spans="1:12" ht="27" x14ac:dyDescent="0.2">
      <c r="A29" t="str">
        <f t="shared" si="0"/>
        <v>Row 29</v>
      </c>
      <c r="B29" s="154" t="s">
        <v>1322</v>
      </c>
      <c r="C29" s="17"/>
      <c r="D29" s="45"/>
      <c r="E29" s="19"/>
      <c r="F29" s="25" t="str">
        <f>IF($E$5=0,"Part 3, Line 43, Column 1 of the NNDR3 form","NA")</f>
        <v>NA</v>
      </c>
      <c r="H29" s="42">
        <f t="shared" si="1"/>
        <v>0</v>
      </c>
      <c r="I29" s="43"/>
      <c r="J29" s="25" t="str">
        <f>IF($E$5=0,"Row 8 x Part 3, Line 43, Column 1 of the NNDR3 form","NA")</f>
        <v>NA</v>
      </c>
      <c r="K29" s="26"/>
      <c r="L29" s="26"/>
    </row>
    <row r="30" spans="1:12" ht="14.25" x14ac:dyDescent="0.2">
      <c r="A30" t="str">
        <f t="shared" si="0"/>
        <v>Row 30</v>
      </c>
      <c r="B30" s="154" t="s">
        <v>1323</v>
      </c>
      <c r="C30" s="17"/>
      <c r="D30" s="45"/>
      <c r="E30" s="19"/>
      <c r="F30" s="25" t="str">
        <f>IF($E$5=0,"Part 3, Line 44, Column 1 of the NNDR3 form","NA")</f>
        <v>NA</v>
      </c>
      <c r="H30" s="42">
        <f t="shared" si="1"/>
        <v>0</v>
      </c>
      <c r="I30" s="43"/>
      <c r="J30" s="25" t="str">
        <f>IF($E$5=0,"Row 8 x Part 3, Line 44, Column 1 of the NNDR3 form","NA")</f>
        <v>NA</v>
      </c>
      <c r="K30" s="26"/>
      <c r="L30" s="26"/>
    </row>
    <row r="31" spans="1:12" x14ac:dyDescent="0.2">
      <c r="A31" t="str">
        <f t="shared" si="0"/>
        <v>Row 31</v>
      </c>
      <c r="B31" s="40" t="s">
        <v>18</v>
      </c>
      <c r="C31" s="17"/>
      <c r="D31" s="45"/>
      <c r="E31" s="19"/>
      <c r="F31" s="25" t="str">
        <f>IF($E$5=0,"Part 3, Line 45, Column 1 of the NNDR3 form","NA")</f>
        <v>NA</v>
      </c>
      <c r="H31" s="42">
        <f t="shared" si="1"/>
        <v>0</v>
      </c>
      <c r="I31" s="43"/>
      <c r="J31" s="25" t="str">
        <f>IF($E$5=0,"Row 8 x Part 3, Line 45, Column 1 of the NNDR3 form","NA")</f>
        <v>NA</v>
      </c>
      <c r="K31" s="26"/>
      <c r="L31" s="26"/>
    </row>
    <row r="32" spans="1:12" ht="14.25" x14ac:dyDescent="0.2">
      <c r="A32" t="str">
        <f t="shared" si="0"/>
        <v>Row 32</v>
      </c>
      <c r="B32" s="40" t="s">
        <v>19</v>
      </c>
      <c r="C32" s="17"/>
      <c r="D32" s="45"/>
      <c r="E32" s="19"/>
      <c r="F32" s="25" t="str">
        <f>IF($E$5=0,"Part 3, Line 46, Column 1 of the NNDR3 form","NA")</f>
        <v>NA</v>
      </c>
      <c r="H32" s="42">
        <f t="shared" si="1"/>
        <v>0</v>
      </c>
      <c r="I32" s="43"/>
      <c r="J32" s="25" t="str">
        <f>IF($E$5=0,"Row 8 x Part 3, Line 46, Column 1 of the NNDR3 form","NA")</f>
        <v>NA</v>
      </c>
      <c r="K32" s="26"/>
      <c r="L32" s="26"/>
    </row>
    <row r="33" spans="1:16" ht="27" x14ac:dyDescent="0.2">
      <c r="A33" t="str">
        <f t="shared" si="0"/>
        <v>Row 33</v>
      </c>
      <c r="B33" s="155" t="s">
        <v>1316</v>
      </c>
      <c r="C33" s="54"/>
      <c r="D33" s="156"/>
      <c r="E33" s="55"/>
      <c r="F33" s="25" t="str">
        <f>IF($E$5=0,"Part 3, Line 47, Column 1 of the NNDR3 form","NA")</f>
        <v>NA</v>
      </c>
      <c r="H33" s="42">
        <f t="shared" si="1"/>
        <v>0</v>
      </c>
      <c r="I33" s="157"/>
      <c r="J33" s="25" t="str">
        <f>IF($E$5=0,"Row 8 x Part 3, Line 47, Column 1 of the NNDR3 form","NA")</f>
        <v>NA</v>
      </c>
      <c r="K33" s="26"/>
      <c r="L33" s="26"/>
    </row>
    <row r="34" spans="1:16" x14ac:dyDescent="0.2">
      <c r="A34" t="str">
        <f t="shared" si="0"/>
        <v>Row 34</v>
      </c>
      <c r="B34" s="155" t="s">
        <v>1317</v>
      </c>
      <c r="C34" s="54"/>
      <c r="D34" s="156"/>
      <c r="E34" s="55"/>
      <c r="F34" s="25" t="str">
        <f>IF($E$5=0,"Part 3, Line 48, Column 1 of the NNDR3 form","NA")</f>
        <v>NA</v>
      </c>
      <c r="H34" s="42">
        <f t="shared" si="1"/>
        <v>0</v>
      </c>
      <c r="I34" s="157"/>
      <c r="J34" s="25" t="str">
        <f>IF($E$5=0,"Row 8 x Part 3, Line 48, Column 1 of the NNDR3 form","NA")</f>
        <v>NA</v>
      </c>
      <c r="K34" s="26"/>
      <c r="L34" s="26"/>
    </row>
    <row r="35" spans="1:16" ht="25.5" x14ac:dyDescent="0.2">
      <c r="A35" t="str">
        <f t="shared" si="0"/>
        <v>Row 35</v>
      </c>
      <c r="B35" s="155" t="s">
        <v>1318</v>
      </c>
      <c r="C35" s="54"/>
      <c r="D35" s="156"/>
      <c r="E35" s="55"/>
      <c r="F35" s="25" t="str">
        <f>IF($E$5=0,"Part 3, Line 49, Column 1 of the NNDR3 form","NA")</f>
        <v>NA</v>
      </c>
      <c r="H35" s="42">
        <f t="shared" si="1"/>
        <v>0</v>
      </c>
      <c r="I35" s="157"/>
      <c r="J35" s="25" t="str">
        <f>IF($E$5=0,"Row 8 x Part 3, Line 49, Column 1 of the NNDR3 form","NA")</f>
        <v>NA</v>
      </c>
      <c r="K35" s="26"/>
      <c r="L35" s="26"/>
    </row>
    <row r="36" spans="1:16" ht="25.5" x14ac:dyDescent="0.2">
      <c r="A36" t="str">
        <f t="shared" si="0"/>
        <v>Row 36</v>
      </c>
      <c r="B36" s="155" t="s">
        <v>1319</v>
      </c>
      <c r="C36" s="54"/>
      <c r="D36" s="156"/>
      <c r="E36" s="55"/>
      <c r="F36" s="25" t="str">
        <f>IF($E$5=0,"Part 3, Line 50, Column 1 of the NNDR3 form","NA")</f>
        <v>NA</v>
      </c>
      <c r="H36" s="42">
        <f t="shared" si="1"/>
        <v>0</v>
      </c>
      <c r="I36" s="157"/>
      <c r="J36" s="25" t="str">
        <f>IF($E$5=0,"Row 8 x Part 3, Line 50, Column 1 of the NNDR3 form","NA")</f>
        <v>NA</v>
      </c>
      <c r="K36" s="26"/>
      <c r="L36" s="26"/>
    </row>
    <row r="37" spans="1:16" x14ac:dyDescent="0.2">
      <c r="A37" t="str">
        <f t="shared" si="0"/>
        <v>Row 37</v>
      </c>
      <c r="B37" s="155" t="s">
        <v>1320</v>
      </c>
      <c r="C37" s="54"/>
      <c r="D37" s="156"/>
      <c r="E37" s="55"/>
      <c r="F37" s="25" t="str">
        <f>IF($E$5=0,"Part 3, Line 51, Column 1 of the NNDR3 form","NA")</f>
        <v>NA</v>
      </c>
      <c r="H37" s="42">
        <f t="shared" si="1"/>
        <v>0</v>
      </c>
      <c r="I37" s="157"/>
      <c r="J37" s="25" t="str">
        <f>IF($E$5=0,"Row 8 x Part 3, Line 51, Column 1 of the NNDR3 form","NA")</f>
        <v>NA</v>
      </c>
      <c r="K37" s="26"/>
      <c r="L37" s="26"/>
    </row>
    <row r="38" spans="1:16" ht="13.5" thickBot="1" x14ac:dyDescent="0.25">
      <c r="A38" t="str">
        <f t="shared" si="0"/>
        <v>Row 38</v>
      </c>
      <c r="B38" s="158" t="s">
        <v>1321</v>
      </c>
      <c r="C38" s="29"/>
      <c r="D38" s="46"/>
      <c r="E38" s="31"/>
      <c r="F38" s="47" t="str">
        <f>IF($E$5=0,"Part 3, Line 52, Column 1 of the NNDR3 form","NA")</f>
        <v>NA</v>
      </c>
      <c r="H38" s="48">
        <f t="shared" si="1"/>
        <v>0</v>
      </c>
      <c r="I38" s="49"/>
      <c r="J38" s="47" t="str">
        <f>IF($E$5=0,"Row 8 x Part 3, Line 52, Column 1 of the NNDR3 form","NA")</f>
        <v>NA</v>
      </c>
      <c r="K38" s="26"/>
      <c r="L38" s="26"/>
    </row>
    <row r="39" spans="1:16" ht="13.5" thickBot="1" x14ac:dyDescent="0.25">
      <c r="H39" s="20"/>
      <c r="K39" s="26"/>
      <c r="L39" s="26"/>
    </row>
    <row r="40" spans="1:16" ht="63" customHeight="1" x14ac:dyDescent="0.2">
      <c r="A40" t="str">
        <f t="shared" si="0"/>
        <v>Row 40</v>
      </c>
      <c r="B40" s="179" t="s">
        <v>1325</v>
      </c>
      <c r="C40" s="50"/>
      <c r="D40" s="50"/>
      <c r="E40" s="50"/>
      <c r="F40" s="50"/>
      <c r="G40" s="11"/>
      <c r="H40" s="51">
        <f>IF($E$5=0,IF($D$15="Yes",H19+H20+H21+H22+H23+H24-H25+H26+H27+H28+H29+H30+H31+H32+H33+H34+H35+H36+H37+H38+(-0.2*D14*D8)+D12+D13,IF($D$16="Yes",H19+H20+H21+H22+H23+H24-H25+H26+H27+H28+H29+H30+H31+H32+H33+H34+H35+H36+H37+H38+(-0.2*D14*D8)+D12+D13,H19+H20+H21+H22+H23+H24-H25+H26+H27+H28+H29+H30+H31+H32+H33+H34+H35+H36+H37+H38+D12+D13)),H19+H20+H21+H22+H23+H24-H25+H26+H27+H28+H29+H30+H31+H32+H33+H34+H35+H36+H37+H38+(-0.2*D14*D8)+D12+D13)</f>
        <v>-539180889.45710886</v>
      </c>
      <c r="I40" s="36"/>
      <c r="J40" s="196" t="str">
        <f>IF($E$5=0,IF($D$15="Yes",CONCATENATE($A$19," + ",$A$20," + ",$A$22," + ",$A$23," + ",$A$24," - ",$A$25," + ",$A$26," + ",$A$27," + ",$A$28," + ",$A$29,"  + ",$A$30," + ",$A$31," + ",$A$32," + ",$A$33," + ",$A$34," + ",$A$35," + ",$A$36," + ",$A$37," + ",$A$38,"+ (",$A$14," x ",$A$8," x -0.2) + ",$A$12," + ",$A$13),
IF($D$16="Yes",CONCATENATE(A$19," + ",$A$20," + ",$A$22," + ",$A$23," + ",$A$24," - ",$A$25," + ",$A$26," + ",$A$27," + ",$A$28," + ",$A$29,"  + ",$A$30," + ",$A$31," + ",$A$32," + ",$A$33," + ",$A$34," + ",$A$35," + ",$A$36," + ",$A$37," + ",$A$38," + (",$A$14," x ",$A$8," x -0.2) + ",$A$12," + ",$A$13),
CONCATENATE(A$19," + ",$A$20," + ",$A$22," + ",$A$23," + ",$A$24," - ",$A$25," + ",$A$26," + ",$A$27," + ",$A$28," + ",$A$29,"  + ",$A$30," + ",$A$31," + ",$A$32," + ",$A$33," + ",$A$34," + ",$A$35," + ",$A$36," + ",$A$37," + ",$A$38," + ",$A$12," + ",$A$13))),
CONCATENATE(A$19," + ",$A$21," + ",$A$22," + ",$A$23," + ",$A$24," - ",$A$25," + ",$A$26," + ",$A$27," + ",$A$28," + ",$A$29,"  + ",$A$30," + ",$A$31," + ",$A$32," + ",$A$33," + ",$A$34," + ",$A$35," + ",$A$36," + ",$A$37," + ",$A$38," + (",$A$14," x ",$A$8," x -0.2) + ",$A$12," + ",$A$13))</f>
        <v>Row 19 + Row 21 + Row 22 + Row 23 + Row 24 - Row 25 + Row 26 + Row 27 + Row 28 + Row 29  + Row 30 + Row 31 + Row 32 + Row 33 + Row 34 + Row 35 + Row 36 + Row 37 + Row 38 + (Row 14 x Row 8 x -0.2) + Row 12 + Row 13</v>
      </c>
      <c r="L40" s="20"/>
      <c r="O40" s="26"/>
      <c r="P40" s="26"/>
    </row>
    <row r="41" spans="1:16" ht="32.25" customHeight="1" thickBot="1" x14ac:dyDescent="0.25">
      <c r="A41" t="str">
        <f t="shared" si="0"/>
        <v>Row 41</v>
      </c>
      <c r="B41" s="40" t="s">
        <v>20</v>
      </c>
      <c r="C41" s="52"/>
      <c r="D41" s="52"/>
      <c r="E41" s="52"/>
      <c r="F41" s="52"/>
      <c r="G41" s="17"/>
      <c r="H41" s="53">
        <f>IF(ISERROR(H40/D9),0,H40/D9)</f>
        <v>-0.53457509782563173</v>
      </c>
      <c r="I41" s="19"/>
      <c r="J41" s="25" t="str">
        <f>CONCATENATE($A$40," / ",$A$9)</f>
        <v>Row 40 / Row 9</v>
      </c>
      <c r="L41" s="20"/>
    </row>
    <row r="42" spans="1:16" ht="25.5" x14ac:dyDescent="0.2">
      <c r="A42" t="str">
        <f t="shared" si="0"/>
        <v>Row 42</v>
      </c>
      <c r="B42" s="163" t="s">
        <v>1324</v>
      </c>
      <c r="C42" s="164"/>
      <c r="D42" s="164"/>
      <c r="E42" s="164"/>
      <c r="F42" s="164"/>
      <c r="G42" s="165"/>
      <c r="H42" s="56">
        <f>IF(D10-H40&gt;0,D10-H40,0)</f>
        <v>1472150503.5982187</v>
      </c>
      <c r="I42" s="166"/>
      <c r="J42" s="184" t="str">
        <f>CONCATENATE("If (",$A$10," - ",$A$40,") is greater than 0, (",$A$10," - ",$A$40,"), otherwise 0")</f>
        <v>If (Row 10 - Row 40) is greater than 0, (Row 10 - Row 40), otherwise 0</v>
      </c>
      <c r="L42" s="20"/>
    </row>
    <row r="43" spans="1:16" ht="14.25" x14ac:dyDescent="0.2">
      <c r="A43" t="str">
        <f t="shared" si="0"/>
        <v>Row 43</v>
      </c>
      <c r="B43" s="167" t="s">
        <v>21</v>
      </c>
      <c r="C43" s="159"/>
      <c r="D43" s="159"/>
      <c r="E43" s="159"/>
      <c r="F43" s="159"/>
      <c r="G43" s="160"/>
      <c r="H43" s="161">
        <f>IF(F5="",H42,0)</f>
        <v>1472150503.5982187</v>
      </c>
      <c r="I43" s="162"/>
      <c r="J43" s="168"/>
      <c r="L43" s="20"/>
    </row>
    <row r="44" spans="1:16" ht="25.5" x14ac:dyDescent="0.2">
      <c r="A44" t="str">
        <f t="shared" si="0"/>
        <v>Row 44</v>
      </c>
      <c r="B44" s="174" t="s">
        <v>1326</v>
      </c>
      <c r="C44" s="175"/>
      <c r="D44" s="175"/>
      <c r="E44" s="175"/>
      <c r="F44" s="175"/>
      <c r="G44" s="176"/>
      <c r="H44" s="177">
        <f>ROUND(IF($H$41&gt;1,($H$40-$D$9)*$D$11,0),0)</f>
        <v>0</v>
      </c>
      <c r="I44" s="178"/>
      <c r="J44" s="186" t="str">
        <f>CONCATENATE("If ",A41," is greater than 100%, (",A40," - ",A9,") x ",A11,", otherwise 0")</f>
        <v>If Row 41 is greater than 100%, (Row 40 - Row 9) x Row 11, otherwise 0</v>
      </c>
      <c r="L44" s="15"/>
    </row>
    <row r="45" spans="1:16" ht="15" thickBot="1" x14ac:dyDescent="0.25">
      <c r="A45" t="str">
        <f t="shared" si="0"/>
        <v>Row 45</v>
      </c>
      <c r="B45" s="169" t="s">
        <v>22</v>
      </c>
      <c r="C45" s="170"/>
      <c r="D45" s="170"/>
      <c r="E45" s="170"/>
      <c r="F45" s="170"/>
      <c r="G45" s="171"/>
      <c r="H45" s="57">
        <f>IF(VLOOKUP($D$5,Data!B:L,11,FALSE)="Pilot",0,IF(Calculator!F5="",Calculator!H44,0))</f>
        <v>0</v>
      </c>
      <c r="I45" s="172"/>
      <c r="J45" s="173"/>
      <c r="L45" s="20"/>
    </row>
    <row r="47" spans="1:16" ht="14.25" x14ac:dyDescent="0.2">
      <c r="B47" s="180" t="s">
        <v>1349</v>
      </c>
    </row>
    <row r="48" spans="1:16" ht="25.5" customHeight="1" x14ac:dyDescent="0.2">
      <c r="B48" s="231" t="s">
        <v>23</v>
      </c>
      <c r="C48" s="231"/>
      <c r="D48" s="231"/>
      <c r="E48" s="231"/>
      <c r="F48" s="231"/>
      <c r="G48" s="231"/>
      <c r="H48" s="231"/>
      <c r="I48" s="231"/>
      <c r="J48" s="231"/>
    </row>
  </sheetData>
  <mergeCells count="1">
    <mergeCell ref="B48:J48"/>
  </mergeCells>
  <conditionalFormatting sqref="B48 B42:J45 K48:R48">
    <cfRule type="expression" dxfId="10" priority="10">
      <formula>$F$5&lt;&gt;""</formula>
    </cfRule>
  </conditionalFormatting>
  <conditionalFormatting sqref="D5">
    <cfRule type="expression" dxfId="9" priority="9">
      <formula>LEFT($D$5,3)="BRP"</formula>
    </cfRule>
  </conditionalFormatting>
  <conditionalFormatting sqref="D23:D32 D37:D38">
    <cfRule type="expression" dxfId="8" priority="8">
      <formula>IF($F23="NA",1,0)=0</formula>
    </cfRule>
  </conditionalFormatting>
  <conditionalFormatting sqref="D35:D36">
    <cfRule type="expression" dxfId="7" priority="6">
      <formula>IF($F35="NA",1,0)=0</formula>
    </cfRule>
  </conditionalFormatting>
  <conditionalFormatting sqref="D33:D34">
    <cfRule type="expression" dxfId="6" priority="5">
      <formula>IF($F33="NA",1,0)=0</formula>
    </cfRule>
  </conditionalFormatting>
  <conditionalFormatting sqref="D21">
    <cfRule type="expression" dxfId="5" priority="4">
      <formula>IF($E$5=0,1,0)=1</formula>
    </cfRule>
  </conditionalFormatting>
  <conditionalFormatting sqref="D20">
    <cfRule type="expression" dxfId="4" priority="3">
      <formula>IF($E$5=0,1,0)=0</formula>
    </cfRule>
  </conditionalFormatting>
  <conditionalFormatting sqref="B20:J20">
    <cfRule type="expression" dxfId="3" priority="2">
      <formula>IF($B$20="N/A",1,0)=1</formula>
    </cfRule>
  </conditionalFormatting>
  <conditionalFormatting sqref="B21:J21">
    <cfRule type="expression" dxfId="2" priority="1">
      <formula>IF($B$21="N/A",1,0)=1</formula>
    </cfRule>
  </conditionalFormatting>
  <dataValidations count="2">
    <dataValidation type="custom" allowBlank="1" showInputMessage="1" showErrorMessage="1" sqref="C5">
      <formula1>#REF!="UNLOCK"</formula1>
    </dataValidation>
    <dataValidation type="custom" allowBlank="1" showInputMessage="1" showErrorMessage="1" sqref="D5:F5 D17 B47:B48 A1:F4 F8:F18 D39 F6 A6:E16 F33:F39 F19:J32 A40:G45 E17:E39 G33:G38 H33:J45 A17:C39">
      <formula1>$F$7="UNLOCK"</formula1>
    </dataValidation>
  </dataValidation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Data!$C$4:$C$389</xm:f>
          </x14:formula1>
          <xm:sqref>B5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
  <sheetViews>
    <sheetView zoomScale="90" zoomScaleNormal="90" workbookViewId="0">
      <pane xSplit="6" ySplit="7" topLeftCell="G8" activePane="bottomRight" state="frozen"/>
      <selection activeCell="B5" sqref="B5"/>
      <selection pane="topRight" activeCell="B5" sqref="B5"/>
      <selection pane="bottomLeft" activeCell="B5" sqref="B5"/>
      <selection pane="bottomRight" activeCell="H4" sqref="H4"/>
    </sheetView>
  </sheetViews>
  <sheetFormatPr defaultRowHeight="12.75" x14ac:dyDescent="0.2"/>
  <cols>
    <col min="2" max="2" width="49.28515625" customWidth="1"/>
    <col min="3" max="3" width="1.7109375" customWidth="1"/>
    <col min="4" max="4" width="13.5703125" bestFit="1" customWidth="1"/>
    <col min="5" max="5" width="5.28515625" customWidth="1"/>
    <col min="6" max="6" width="52" customWidth="1"/>
    <col min="7" max="7" width="11.85546875" customWidth="1"/>
    <col min="8" max="9" width="12.5703125" customWidth="1"/>
    <col min="10" max="10" width="11.28515625" bestFit="1" customWidth="1"/>
    <col min="11" max="12" width="10" bestFit="1" customWidth="1"/>
    <col min="13" max="13" width="9.85546875" customWidth="1"/>
    <col min="14" max="14" width="9.5703125" customWidth="1"/>
    <col min="15" max="16" width="9.85546875" customWidth="1"/>
  </cols>
  <sheetData>
    <row r="1" spans="1:39" ht="18.75" x14ac:dyDescent="0.3">
      <c r="B1" s="1" t="s">
        <v>1329</v>
      </c>
      <c r="C1" s="2"/>
      <c r="D1" s="2"/>
      <c r="E1" s="2"/>
    </row>
    <row r="2" spans="1:39" x14ac:dyDescent="0.2">
      <c r="B2" s="2"/>
      <c r="C2" s="2"/>
      <c r="D2" s="2"/>
      <c r="E2" s="2"/>
    </row>
    <row r="3" spans="1:39" ht="54" customHeight="1" x14ac:dyDescent="0.3">
      <c r="B3" s="232" t="s">
        <v>1344</v>
      </c>
      <c r="C3" s="232"/>
      <c r="D3" s="232"/>
      <c r="E3" s="232"/>
      <c r="F3" s="232"/>
    </row>
    <row r="4" spans="1:39" ht="37.5" customHeight="1" thickBot="1" x14ac:dyDescent="0.35">
      <c r="B4" s="233" t="s">
        <v>818</v>
      </c>
      <c r="C4" s="233"/>
      <c r="D4" s="233"/>
      <c r="E4" s="233"/>
      <c r="F4" s="233"/>
      <c r="G4" s="8"/>
    </row>
    <row r="5" spans="1:39" ht="16.5" thickBot="1" x14ac:dyDescent="0.3">
      <c r="B5" s="58" t="str">
        <f>Calculator!B5</f>
        <v>GLA - all functions</v>
      </c>
      <c r="C5" s="4"/>
      <c r="D5" s="4" t="str">
        <f>VLOOKUP($B$5,Data!C:M,11,FALSE)</f>
        <v>E5100</v>
      </c>
      <c r="E5" s="6" t="str">
        <f>VLOOKUP($D$5,Data!B:G,6,FALSE)</f>
        <v>P</v>
      </c>
      <c r="F5" t="str">
        <f>IF(VLOOKUP($D$5,Data!B:K,10,FALSE)="","",VLOOKUP($D$5,Data!B:K,10,FALSE))</f>
        <v/>
      </c>
      <c r="G5" s="59"/>
      <c r="H5" s="59"/>
      <c r="I5" s="59"/>
      <c r="J5" s="59"/>
      <c r="K5" s="59"/>
      <c r="L5" s="59"/>
      <c r="M5" s="59"/>
      <c r="N5" s="59"/>
      <c r="O5" s="59"/>
      <c r="P5" s="59"/>
      <c r="Q5" s="59"/>
      <c r="R5" s="59"/>
      <c r="S5" s="59"/>
    </row>
    <row r="6" spans="1:39" ht="51.75" customHeight="1" x14ac:dyDescent="0.2">
      <c r="G6" s="60" t="str">
        <f>IF(ISERROR(IF($E$5="BRP",VLOOKUP($B5&amp;COLUMNS($G$5:G$5),Data!$N:$Q,4,FALSE),
IF($E$5="F",VLOOKUP($D5&amp;COLUMNS($G$5:G$5),Data!$P:$Q,2,FALSE),VLOOKUP($D5&amp;COLUMNS($G$5:G$5),Data!$O:$Q,3,FALSE))))=TRUE,"",IF($E$5="BRP",VLOOKUP($B5&amp;COLUMNS($G$5:G$5),Data!$N:$Q,4,FALSE),
IF($E$5="F",VLOOKUP($D5&amp;COLUMNS($G$5:G$5),Data!$P:$Q,2,FALSE),VLOOKUP($D5&amp;COLUMNS($G$5:G$5),Data!$O:$Q,3,FALSE))))</f>
        <v>Barking and Dagenham</v>
      </c>
      <c r="H6" s="60" t="str">
        <f>IF(ISERROR(IF($E$5="BRP",VLOOKUP($B5&amp;COLUMNS($G$5:H$5),Data!$N:$Q,4,FALSE),
IF($E$5="F",VLOOKUP($D5&amp;COLUMNS($G$5:H$5),Data!$P:$Q,2,FALSE),VLOOKUP($D5&amp;COLUMNS($G$5:H$5),Data!$O:$Q,3,FALSE))))=TRUE,"",IF($E$5="BRP",VLOOKUP($B5&amp;COLUMNS($G$5:H$5),Data!$N:$Q,4,FALSE),
IF($E$5="F",VLOOKUP($D5&amp;COLUMNS($G$5:H$5),Data!$P:$Q,2,FALSE),VLOOKUP($D5&amp;COLUMNS($G$5:H$5),Data!$O:$Q,3,FALSE))))</f>
        <v>Barnet</v>
      </c>
      <c r="I6" s="60" t="str">
        <f>IF(ISERROR(IF($E$5="BRP",VLOOKUP($B5&amp;COLUMNS($G$5:I$5),Data!$N:$Q,4,FALSE),
IF($E$5="F",VLOOKUP($D5&amp;COLUMNS($G$5:I$5),Data!$P:$Q,2,FALSE),VLOOKUP($D5&amp;COLUMNS($G$5:I$5),Data!$O:$Q,3,FALSE))))=TRUE,"",IF($E$5="BRP",VLOOKUP($B5&amp;COLUMNS($G$5:I$5),Data!$N:$Q,4,FALSE),
IF($E$5="F",VLOOKUP($D5&amp;COLUMNS($G$5:I$5),Data!$P:$Q,2,FALSE),VLOOKUP($D5&amp;COLUMNS($G$5:I$5),Data!$O:$Q,3,FALSE))))</f>
        <v>Bexley</v>
      </c>
      <c r="J6" s="60" t="str">
        <f>IF(ISERROR(IF($E$5="BRP",VLOOKUP($B5&amp;COLUMNS($G$5:J$5),Data!$N:$Q,4,FALSE),
IF($E$5="F",VLOOKUP($D5&amp;COLUMNS($G$5:J$5),Data!$P:$Q,2,FALSE),VLOOKUP($D5&amp;COLUMNS($G$5:J$5),Data!$O:$Q,3,FALSE))))=TRUE,"",IF($E$5="BRP",VLOOKUP($B5&amp;COLUMNS($G$5:J$5),Data!$N:$Q,4,FALSE),
IF($E$5="F",VLOOKUP($D5&amp;COLUMNS($G$5:J$5),Data!$P:$Q,2,FALSE),VLOOKUP($D5&amp;COLUMNS($G$5:J$5),Data!$O:$Q,3,FALSE))))</f>
        <v>Brent</v>
      </c>
      <c r="K6" s="60" t="str">
        <f>IF(ISERROR(IF($E$5="BRP",VLOOKUP($B5&amp;COLUMNS($G$5:K$5),Data!$N:$Q,4,FALSE),
IF($E$5="F",VLOOKUP($D5&amp;COLUMNS($G$5:K$5),Data!$P:$Q,2,FALSE),VLOOKUP($D5&amp;COLUMNS($G$5:K$5),Data!$O:$Q,3,FALSE))))=TRUE,"",IF($E$5="BRP",VLOOKUP($B5&amp;COLUMNS($G$5:K$5),Data!$N:$Q,4,FALSE),
IF($E$5="F",VLOOKUP($D5&amp;COLUMNS($G$5:K$5),Data!$P:$Q,2,FALSE),VLOOKUP($D5&amp;COLUMNS($G$5:K$5),Data!$O:$Q,3,FALSE))))</f>
        <v>Bromley</v>
      </c>
      <c r="L6" s="60" t="str">
        <f>IF(ISERROR(IF($E$5="BRP",VLOOKUP($B5&amp;COLUMNS($G$5:L$5),Data!$N:$Q,4,FALSE),
IF($E$5="F",VLOOKUP($D5&amp;COLUMNS($G$5:L$5),Data!$P:$Q,2,FALSE),VLOOKUP($D5&amp;COLUMNS($G$5:L$5),Data!$O:$Q,3,FALSE))))=TRUE,"",IF($E$5="BRP",VLOOKUP($B5&amp;COLUMNS($G$5:L$5),Data!$N:$Q,4,FALSE),
IF($E$5="F",VLOOKUP($D5&amp;COLUMNS($G$5:L$5),Data!$P:$Q,2,FALSE),VLOOKUP($D5&amp;COLUMNS($G$5:L$5),Data!$O:$Q,3,FALSE))))</f>
        <v>Camden</v>
      </c>
      <c r="M6" s="60" t="str">
        <f>IF(ISERROR(IF($E$5="BRP",VLOOKUP($B5&amp;COLUMNS($G$5:M$5),Data!$N:$Q,4,FALSE),
IF($E$5="F",VLOOKUP($D5&amp;COLUMNS($G$5:M$5),Data!$P:$Q,2,FALSE),VLOOKUP($D5&amp;COLUMNS($G$5:M$5),Data!$O:$Q,3,FALSE))))=TRUE,"",IF($E$5="BRP",VLOOKUP($B5&amp;COLUMNS($G$5:M$5),Data!$N:$Q,4,FALSE),
IF($E$5="F",VLOOKUP($D5&amp;COLUMNS($G$5:M$5),Data!$P:$Q,2,FALSE),VLOOKUP($D5&amp;COLUMNS($G$5:M$5),Data!$O:$Q,3,FALSE))))</f>
        <v>City of London</v>
      </c>
      <c r="N6" s="60" t="str">
        <f>IF(ISERROR(IF($E$5="BRP",VLOOKUP($B5&amp;COLUMNS($G$5:N$5),Data!$N:$Q,4,FALSE),
IF($E$5="F",VLOOKUP($D5&amp;COLUMNS($G$5:N$5),Data!$P:$Q,2,FALSE),VLOOKUP($D5&amp;COLUMNS($G$5:N$5),Data!$O:$Q,3,FALSE))))=TRUE,"",IF($E$5="BRP",VLOOKUP($B5&amp;COLUMNS($G$5:N$5),Data!$N:$Q,4,FALSE),
IF($E$5="F",VLOOKUP($D5&amp;COLUMNS($G$5:N$5),Data!$P:$Q,2,FALSE),VLOOKUP($D5&amp;COLUMNS($G$5:N$5),Data!$O:$Q,3,FALSE))))</f>
        <v>Croydon</v>
      </c>
      <c r="O6" s="60" t="str">
        <f>IF(ISERROR(IF($E$5="BRP",VLOOKUP($B5&amp;COLUMNS($G$5:O$5),Data!$N:$Q,4,FALSE),
IF($E$5="F",VLOOKUP($D5&amp;COLUMNS($G$5:O$5),Data!$P:$Q,2,FALSE),VLOOKUP($D5&amp;COLUMNS($G$5:O$5),Data!$O:$Q,3,FALSE))))=TRUE,"",IF($E$5="BRP",VLOOKUP($B5&amp;COLUMNS($G$5:O$5),Data!$N:$Q,4,FALSE),
IF($E$5="F",VLOOKUP($D5&amp;COLUMNS($G$5:O$5),Data!$P:$Q,2,FALSE),VLOOKUP($D5&amp;COLUMNS($G$5:O$5),Data!$O:$Q,3,FALSE))))</f>
        <v>Ealing</v>
      </c>
      <c r="P6" s="60" t="str">
        <f>IF(ISERROR(IF($E$5="BRP",VLOOKUP($B5&amp;COLUMNS($G$5:P$5),Data!$N:$Q,4,FALSE),
IF($E$5="F",VLOOKUP($D5&amp;COLUMNS($G$5:P$5),Data!$P:$Q,2,FALSE),VLOOKUP($D5&amp;COLUMNS($G$5:P$5),Data!$O:$Q,3,FALSE))))=TRUE,"",IF($E$5="BRP",VLOOKUP($B5&amp;COLUMNS($G$5:P$5),Data!$N:$Q,4,FALSE),
IF($E$5="F",VLOOKUP($D5&amp;COLUMNS($G$5:P$5),Data!$P:$Q,2,FALSE),VLOOKUP($D5&amp;COLUMNS($G$5:P$5),Data!$O:$Q,3,FALSE))))</f>
        <v>Enfield</v>
      </c>
      <c r="Q6" s="60" t="str">
        <f>IF(ISERROR(IF($E$5="BRP",VLOOKUP($B5&amp;COLUMNS($G$5:Q$5),Data!$N:$Q,4,FALSE),
IF($E$5="F",VLOOKUP($D5&amp;COLUMNS($G$5:Q$5),Data!$P:$Q,2,FALSE),VLOOKUP($D5&amp;COLUMNS($G$5:Q$5),Data!$O:$Q,3,FALSE))))=TRUE,"",IF($E$5="BRP",VLOOKUP($B5&amp;COLUMNS($G$5:Q$5),Data!$N:$Q,4,FALSE),
IF($E$5="F",VLOOKUP($D5&amp;COLUMNS($G$5:Q$5),Data!$P:$Q,2,FALSE),VLOOKUP($D5&amp;COLUMNS($G$5:Q$5),Data!$O:$Q,3,FALSE))))</f>
        <v>Greenwich</v>
      </c>
      <c r="R6" s="60" t="str">
        <f>IF(ISERROR(IF($E$5="BRP",VLOOKUP($B5&amp;COLUMNS($G$5:R$5),Data!$N:$Q,4,FALSE),
IF($E$5="F",VLOOKUP($D5&amp;COLUMNS($G$5:R$5),Data!$P:$Q,2,FALSE),VLOOKUP($D5&amp;COLUMNS($G$5:R$5),Data!$O:$Q,3,FALSE))))=TRUE,"",IF($E$5="BRP",VLOOKUP($B5&amp;COLUMNS($G$5:R$5),Data!$N:$Q,4,FALSE),
IF($E$5="F",VLOOKUP($D5&amp;COLUMNS($G$5:R$5),Data!$P:$Q,2,FALSE),VLOOKUP($D5&amp;COLUMNS($G$5:R$5),Data!$O:$Q,3,FALSE))))</f>
        <v>Hackney</v>
      </c>
      <c r="S6" s="60" t="str">
        <f>IF(ISERROR(IF($E$5="BRP",VLOOKUP($B5&amp;COLUMNS($G$5:S$5),Data!$N:$Q,4,FALSE),
IF($E$5="F",VLOOKUP($D5&amp;COLUMNS($G$5:S$5),Data!$P:$Q,2,FALSE),VLOOKUP($D5&amp;COLUMNS($G$5:S$5),Data!$O:$Q,3,FALSE))))=TRUE,"",IF($E$5="BRP",VLOOKUP($B5&amp;COLUMNS($G$5:S$5),Data!$N:$Q,4,FALSE),
IF($E$5="F",VLOOKUP($D5&amp;COLUMNS($G$5:S$5),Data!$P:$Q,2,FALSE),VLOOKUP($D5&amp;COLUMNS($G$5:S$5),Data!$O:$Q,3,FALSE))))</f>
        <v>Hammersmith and Fulham</v>
      </c>
      <c r="T6" s="60" t="str">
        <f>IF(ISERROR(IF($E$5="BRP",VLOOKUP($B5&amp;COLUMNS($G$5:T$5),Data!$N:$Q,4,FALSE),
IF($E$5="F",VLOOKUP($D5&amp;COLUMNS($G$5:T$5),Data!$P:$Q,2,FALSE),VLOOKUP($D5&amp;COLUMNS($G$5:T$5),Data!$O:$Q,3,FALSE))))=TRUE,"",IF($E$5="BRP",VLOOKUP($B5&amp;COLUMNS($G$5:T$5),Data!$N:$Q,4,FALSE),
IF($E$5="F",VLOOKUP($D5&amp;COLUMNS($G$5:T$5),Data!$P:$Q,2,FALSE),VLOOKUP($D5&amp;COLUMNS($G$5:T$5),Data!$O:$Q,3,FALSE))))</f>
        <v>Haringey</v>
      </c>
      <c r="U6" s="60" t="str">
        <f>IF(ISERROR(IF($E$5="BRP",VLOOKUP($B5&amp;COLUMNS($G$5:U$5),Data!$N:$Q,4,FALSE),
IF($E$5="F",VLOOKUP($D5&amp;COLUMNS($G$5:U$5),Data!$P:$Q,2,FALSE),VLOOKUP($D5&amp;COLUMNS($G$5:U$5),Data!$O:$Q,3,FALSE))))=TRUE,"",IF($E$5="BRP",VLOOKUP($B5&amp;COLUMNS($G$5:U$5),Data!$N:$Q,4,FALSE),
IF($E$5="F",VLOOKUP($D5&amp;COLUMNS($G$5:U$5),Data!$P:$Q,2,FALSE),VLOOKUP($D5&amp;COLUMNS($G$5:U$5),Data!$O:$Q,3,FALSE))))</f>
        <v>Harrow</v>
      </c>
      <c r="V6" s="60" t="str">
        <f>IF(ISERROR(IF($E$5="BRP",VLOOKUP($B5&amp;COLUMNS($G$5:V$5),Data!$N:$Q,4,FALSE),
IF($E$5="F",VLOOKUP($D5&amp;COLUMNS($G$5:V$5),Data!$P:$Q,2,FALSE),VLOOKUP($D5&amp;COLUMNS($G$5:V$5),Data!$O:$Q,3,FALSE))))=TRUE,"",IF($E$5="BRP",VLOOKUP($B5&amp;COLUMNS($G$5:V$5),Data!$N:$Q,4,FALSE),
IF($E$5="F",VLOOKUP($D5&amp;COLUMNS($G$5:V$5),Data!$P:$Q,2,FALSE),VLOOKUP($D5&amp;COLUMNS($G$5:V$5),Data!$O:$Q,3,FALSE))))</f>
        <v>Havering</v>
      </c>
      <c r="W6" s="60" t="str">
        <f>IF(ISERROR(IF($E$5="BRP",VLOOKUP($B5&amp;COLUMNS($G$5:W$5),Data!$N:$Q,4,FALSE),
IF($E$5="F",VLOOKUP($D5&amp;COLUMNS($G$5:W$5),Data!$P:$Q,2,FALSE),VLOOKUP($D5&amp;COLUMNS($G$5:W$5),Data!$O:$Q,3,FALSE))))=TRUE,"",IF($E$5="BRP",VLOOKUP($B5&amp;COLUMNS($G$5:W$5),Data!$N:$Q,4,FALSE),
IF($E$5="F",VLOOKUP($D5&amp;COLUMNS($G$5:W$5),Data!$P:$Q,2,FALSE),VLOOKUP($D5&amp;COLUMNS($G$5:W$5),Data!$O:$Q,3,FALSE))))</f>
        <v>Hillingdon</v>
      </c>
      <c r="X6" s="60" t="str">
        <f>IF(ISERROR(IF($E$5="BRP",VLOOKUP($B5&amp;COLUMNS($G$5:X$5),Data!$N:$Q,4,FALSE),
IF($E$5="F",VLOOKUP($D5&amp;COLUMNS($G$5:X$5),Data!$P:$Q,2,FALSE),VLOOKUP($D5&amp;COLUMNS($G$5:X$5),Data!$O:$Q,3,FALSE))))=TRUE,"",IF($E$5="BRP",VLOOKUP($B5&amp;COLUMNS($G$5:X$5),Data!$N:$Q,4,FALSE),
IF($E$5="F",VLOOKUP($D5&amp;COLUMNS($G$5:X$5),Data!$P:$Q,2,FALSE),VLOOKUP($D5&amp;COLUMNS($G$5:X$5),Data!$O:$Q,3,FALSE))))</f>
        <v>Hounslow</v>
      </c>
      <c r="Y6" s="60" t="str">
        <f>IF(ISERROR(IF($E$5="BRP",VLOOKUP($B5&amp;COLUMNS($G$5:Y$5),Data!$N:$Q,4,FALSE),
IF($E$5="F",VLOOKUP($D5&amp;COLUMNS($G$5:Y$5),Data!$P:$Q,2,FALSE),VLOOKUP($D5&amp;COLUMNS($G$5:Y$5),Data!$O:$Q,3,FALSE))))=TRUE,"",IF($E$5="BRP",VLOOKUP($B5&amp;COLUMNS($G$5:Y$5),Data!$N:$Q,4,FALSE),
IF($E$5="F",VLOOKUP($D5&amp;COLUMNS($G$5:Y$5),Data!$P:$Q,2,FALSE),VLOOKUP($D5&amp;COLUMNS($G$5:Y$5),Data!$O:$Q,3,FALSE))))</f>
        <v>Islington</v>
      </c>
      <c r="Z6" s="60" t="str">
        <f>IF(ISERROR(IF($E$5="BRP",VLOOKUP($B5&amp;COLUMNS($G$5:Z$5),Data!$N:$Q,4,FALSE),
IF($E$5="F",VLOOKUP($D5&amp;COLUMNS($G$5:Z$5),Data!$P:$Q,2,FALSE),VLOOKUP($D5&amp;COLUMNS($G$5:Z$5),Data!$O:$Q,3,FALSE))))=TRUE,"",IF($E$5="BRP",VLOOKUP($B5&amp;COLUMNS($G$5:Z$5),Data!$N:$Q,4,FALSE),
IF($E$5="F",VLOOKUP($D5&amp;COLUMNS($G$5:Z$5),Data!$P:$Q,2,FALSE),VLOOKUP($D5&amp;COLUMNS($G$5:Z$5),Data!$O:$Q,3,FALSE))))</f>
        <v>Kensington and Chelsea</v>
      </c>
      <c r="AA6" s="60" t="str">
        <f>IF(ISERROR(IF($E$5="BRP",VLOOKUP($B5&amp;COLUMNS($G$5:AA$5),Data!$N:$Q,4,FALSE),
IF($E$5="F",VLOOKUP($D5&amp;COLUMNS($G$5:AA$5),Data!$P:$Q,2,FALSE),VLOOKUP($D5&amp;COLUMNS($G$5:AA$5),Data!$O:$Q,3,FALSE))))=TRUE,"",IF($E$5="BRP",VLOOKUP($B5&amp;COLUMNS($G$5:AA$5),Data!$N:$Q,4,FALSE),
IF($E$5="F",VLOOKUP($D5&amp;COLUMNS($G$5:AA$5),Data!$P:$Q,2,FALSE),VLOOKUP($D5&amp;COLUMNS($G$5:AA$5),Data!$O:$Q,3,FALSE))))</f>
        <v>Kingston upon Thames</v>
      </c>
      <c r="AB6" s="60" t="str">
        <f>IF(ISERROR(IF($E$5="BRP",VLOOKUP($B5&amp;COLUMNS($G$5:AB$5),Data!$N:$Q,4,FALSE),
IF($E$5="F",VLOOKUP($D5&amp;COLUMNS($G$5:AB$5),Data!$P:$Q,2,FALSE),VLOOKUP($D5&amp;COLUMNS($G$5:AB$5),Data!$O:$Q,3,FALSE))))=TRUE,"",IF($E$5="BRP",VLOOKUP($B5&amp;COLUMNS($G$5:AB$5),Data!$N:$Q,4,FALSE),
IF($E$5="F",VLOOKUP($D5&amp;COLUMNS($G$5:AB$5),Data!$P:$Q,2,FALSE),VLOOKUP($D5&amp;COLUMNS($G$5:AB$5),Data!$O:$Q,3,FALSE))))</f>
        <v>Lambeth</v>
      </c>
      <c r="AC6" s="60" t="str">
        <f>IF(ISERROR(IF($E$5="BRP",VLOOKUP($B5&amp;COLUMNS($G$5:AC$5),Data!$N:$Q,4,FALSE),
IF($E$5="F",VLOOKUP($D5&amp;COLUMNS($G$5:AC$5),Data!$P:$Q,2,FALSE),VLOOKUP($D5&amp;COLUMNS($G$5:AC$5),Data!$O:$Q,3,FALSE))))=TRUE,"",IF($E$5="BRP",VLOOKUP($B5&amp;COLUMNS($G$5:AC$5),Data!$N:$Q,4,FALSE),
IF($E$5="F",VLOOKUP($D5&amp;COLUMNS($G$5:AC$5),Data!$P:$Q,2,FALSE),VLOOKUP($D5&amp;COLUMNS($G$5:AC$5),Data!$O:$Q,3,FALSE))))</f>
        <v>Lewisham</v>
      </c>
      <c r="AD6" s="60" t="str">
        <f>IF(ISERROR(IF($E$5="BRP",VLOOKUP($B5&amp;COLUMNS($G$5:AD$5),Data!$N:$Q,4,FALSE),
IF($E$5="F",VLOOKUP($D5&amp;COLUMNS($G$5:AD$5),Data!$P:$Q,2,FALSE),VLOOKUP($D5&amp;COLUMNS($G$5:AD$5),Data!$O:$Q,3,FALSE))))=TRUE,"",IF($E$5="BRP",VLOOKUP($B5&amp;COLUMNS($G$5:AD$5),Data!$N:$Q,4,FALSE),
IF($E$5="F",VLOOKUP($D5&amp;COLUMNS($G$5:AD$5),Data!$P:$Q,2,FALSE),VLOOKUP($D5&amp;COLUMNS($G$5:AD$5),Data!$O:$Q,3,FALSE))))</f>
        <v>Merton</v>
      </c>
      <c r="AE6" s="60" t="str">
        <f>IF(ISERROR(IF($E$5="BRP",VLOOKUP($B5&amp;COLUMNS($G$5:AE$5),Data!$N:$Q,4,FALSE),
IF($E$5="F",VLOOKUP($D5&amp;COLUMNS($G$5:AE$5),Data!$P:$Q,2,FALSE),VLOOKUP($D5&amp;COLUMNS($G$5:AE$5),Data!$O:$Q,3,FALSE))))=TRUE,"",IF($E$5="BRP",VLOOKUP($B5&amp;COLUMNS($G$5:AE$5),Data!$N:$Q,4,FALSE),
IF($E$5="F",VLOOKUP($D5&amp;COLUMNS($G$5:AE$5),Data!$P:$Q,2,FALSE),VLOOKUP($D5&amp;COLUMNS($G$5:AE$5),Data!$O:$Q,3,FALSE))))</f>
        <v>Newham</v>
      </c>
      <c r="AF6" s="60" t="str">
        <f>IF(ISERROR(IF($E$5="BRP",VLOOKUP($B5&amp;COLUMNS($G$5:AF$5),Data!$N:$Q,4,FALSE),
IF($E$5="F",VLOOKUP($D5&amp;COLUMNS($G$5:AF$5),Data!$P:$Q,2,FALSE),VLOOKUP($D5&amp;COLUMNS($G$5:AF$5),Data!$O:$Q,3,FALSE))))=TRUE,"",IF($E$5="BRP",VLOOKUP($B5&amp;COLUMNS($G$5:AF$5),Data!$N:$Q,4,FALSE),
IF($E$5="F",VLOOKUP($D5&amp;COLUMNS($G$5:AF$5),Data!$P:$Q,2,FALSE),VLOOKUP($D5&amp;COLUMNS($G$5:AF$5),Data!$O:$Q,3,FALSE))))</f>
        <v>Redbridge</v>
      </c>
      <c r="AG6" s="60" t="str">
        <f>IF(ISERROR(IF($E$5="BRP",VLOOKUP($B5&amp;COLUMNS($G$5:AG$5),Data!$N:$Q,4,FALSE),
IF($E$5="F",VLOOKUP($D5&amp;COLUMNS($G$5:AG$5),Data!$P:$Q,2,FALSE),VLOOKUP($D5&amp;COLUMNS($G$5:AG$5),Data!$O:$Q,3,FALSE))))=TRUE,"",IF($E$5="BRP",VLOOKUP($B5&amp;COLUMNS($G$5:AG$5),Data!$N:$Q,4,FALSE),
IF($E$5="F",VLOOKUP($D5&amp;COLUMNS($G$5:AG$5),Data!$P:$Q,2,FALSE),VLOOKUP($D5&amp;COLUMNS($G$5:AG$5),Data!$O:$Q,3,FALSE))))</f>
        <v>Richmond upon Thames</v>
      </c>
      <c r="AH6" s="60" t="str">
        <f>IF(ISERROR(IF($E$5="BRP",VLOOKUP($B5&amp;COLUMNS($G$5:AH$5),Data!$N:$Q,4,FALSE),
IF($E$5="F",VLOOKUP($D5&amp;COLUMNS($G$5:AH$5),Data!$P:$Q,2,FALSE),VLOOKUP($D5&amp;COLUMNS($G$5:AH$5),Data!$O:$Q,3,FALSE))))=TRUE,"",IF($E$5="BRP",VLOOKUP($B5&amp;COLUMNS($G$5:AH$5),Data!$N:$Q,4,FALSE),
IF($E$5="F",VLOOKUP($D5&amp;COLUMNS($G$5:AH$5),Data!$P:$Q,2,FALSE),VLOOKUP($D5&amp;COLUMNS($G$5:AH$5),Data!$O:$Q,3,FALSE))))</f>
        <v>Southwark</v>
      </c>
      <c r="AI6" s="60" t="str">
        <f>IF(ISERROR(IF($E$5="BRP",VLOOKUP($B5&amp;COLUMNS($G$5:AI$5),Data!$N:$Q,4,FALSE),
IF($E$5="F",VLOOKUP($D5&amp;COLUMNS($G$5:AI$5),Data!$P:$Q,2,FALSE),VLOOKUP($D5&amp;COLUMNS($G$5:AI$5),Data!$O:$Q,3,FALSE))))=TRUE,"",IF($E$5="BRP",VLOOKUP($B5&amp;COLUMNS($G$5:AI$5),Data!$N:$Q,4,FALSE),
IF($E$5="F",VLOOKUP($D5&amp;COLUMNS($G$5:AI$5),Data!$P:$Q,2,FALSE),VLOOKUP($D5&amp;COLUMNS($G$5:AI$5),Data!$O:$Q,3,FALSE))))</f>
        <v>Sutton</v>
      </c>
      <c r="AJ6" s="60" t="str">
        <f>IF(ISERROR(IF($E$5="BRP",VLOOKUP($B5&amp;COLUMNS($G$5:AJ$5),Data!$N:$Q,4,FALSE),
IF($E$5="F",VLOOKUP($D5&amp;COLUMNS($G$5:AJ$5),Data!$P:$Q,2,FALSE),VLOOKUP($D5&amp;COLUMNS($G$5:AJ$5),Data!$O:$Q,3,FALSE))))=TRUE,"",IF($E$5="BRP",VLOOKUP($B5&amp;COLUMNS($G$5:AJ$5),Data!$N:$Q,4,FALSE),
IF($E$5="F",VLOOKUP($D5&amp;COLUMNS($G$5:AJ$5),Data!$P:$Q,2,FALSE),VLOOKUP($D5&amp;COLUMNS($G$5:AJ$5),Data!$O:$Q,3,FALSE))))</f>
        <v>Tower Hamlets</v>
      </c>
      <c r="AK6" s="60" t="str">
        <f>IF(ISERROR(IF($E$5="BRP",VLOOKUP($B5&amp;COLUMNS($G$5:AK$5),Data!$N:$Q,4,FALSE),
IF($E$5="F",VLOOKUP($D5&amp;COLUMNS($G$5:AK$5),Data!$P:$Q,2,FALSE),VLOOKUP($D5&amp;COLUMNS($G$5:AK$5),Data!$O:$Q,3,FALSE))))=TRUE,"",IF($E$5="BRP",VLOOKUP($B5&amp;COLUMNS($G$5:AK$5),Data!$N:$Q,4,FALSE),
IF($E$5="F",VLOOKUP($D5&amp;COLUMNS($G$5:AK$5),Data!$P:$Q,2,FALSE),VLOOKUP($D5&amp;COLUMNS($G$5:AK$5),Data!$O:$Q,3,FALSE))))</f>
        <v>Waltham Forest</v>
      </c>
      <c r="AL6" s="60" t="str">
        <f>IF(ISERROR(IF($E$5="BRP",VLOOKUP($B5&amp;COLUMNS($G$5:AL$5),Data!$N:$Q,4,FALSE),
IF($E$5="F",VLOOKUP($D5&amp;COLUMNS($G$5:AL$5),Data!$P:$Q,2,FALSE),VLOOKUP($D5&amp;COLUMNS($G$5:AL$5),Data!$O:$Q,3,FALSE))))=TRUE,"",IF($E$5="BRP",VLOOKUP($B5&amp;COLUMNS($G$5:AL$5),Data!$N:$Q,4,FALSE),
IF($E$5="F",VLOOKUP($D5&amp;COLUMNS($G$5:AL$5),Data!$P:$Q,2,FALSE),VLOOKUP($D5&amp;COLUMNS($G$5:AL$5),Data!$O:$Q,3,FALSE))))</f>
        <v>Wandsworth</v>
      </c>
      <c r="AM6" s="60" t="str">
        <f>IF(ISERROR(IF($E$5="BRP",VLOOKUP($B5&amp;COLUMNS($G$5:AM$5),Data!$N:$Q,4,FALSE),
IF($E$5="F",VLOOKUP($D5&amp;COLUMNS($G$5:AM$5),Data!$P:$Q,2,FALSE),VLOOKUP($D5&amp;COLUMNS($G$5:AM$5),Data!$O:$Q,3,FALSE))))=TRUE,"",IF($E$5="BRP",VLOOKUP($B5&amp;COLUMNS($G$5:AM$5),Data!$N:$Q,4,FALSE),
IF($E$5="F",VLOOKUP($D5&amp;COLUMNS($G$5:AM$5),Data!$P:$Q,2,FALSE),VLOOKUP($D5&amp;COLUMNS($G$5:AM$5),Data!$O:$Q,3,FALSE))))</f>
        <v>Westminster</v>
      </c>
    </row>
    <row r="7" spans="1:39" ht="41.25" customHeight="1" thickBot="1" x14ac:dyDescent="0.25">
      <c r="A7" s="190"/>
      <c r="B7" s="190"/>
      <c r="C7" s="190"/>
      <c r="D7" s="190"/>
      <c r="E7" s="190"/>
      <c r="F7" s="191"/>
      <c r="G7" s="60" t="str">
        <f>IF(G6="","",VLOOKUP(G6,Data!Q:R,2,FALSE))</f>
        <v>Billing Authority</v>
      </c>
      <c r="H7" s="60" t="str">
        <f>IF(H6="","",VLOOKUP(H6,Data!Q:R,2,FALSE))</f>
        <v>Billing Authority</v>
      </c>
      <c r="I7" s="60" t="str">
        <f>IF(I6="","",VLOOKUP(I6,Data!Q:R,2,FALSE))</f>
        <v>Billing Authority</v>
      </c>
      <c r="J7" s="60" t="str">
        <f>IF(J6="","",VLOOKUP(J6,Data!Q:R,2,FALSE))</f>
        <v>Billing Authority</v>
      </c>
      <c r="K7" s="60" t="str">
        <f>IF(K6="","",VLOOKUP(K6,Data!Q:R,2,FALSE))</f>
        <v>Billing Authority</v>
      </c>
      <c r="L7" s="60" t="str">
        <f>IF(L6="","",VLOOKUP(L6,Data!Q:R,2,FALSE))</f>
        <v>Billing Authority</v>
      </c>
      <c r="M7" s="60" t="str">
        <f>IF(M6="","",VLOOKUP(M6,Data!Q:R,2,FALSE))</f>
        <v>Billing Authority</v>
      </c>
      <c r="N7" s="60" t="str">
        <f>IF(N6="","",VLOOKUP(N6,Data!Q:R,2,FALSE))</f>
        <v>Billing Authority</v>
      </c>
      <c r="O7" s="60" t="str">
        <f>IF(O6="","",VLOOKUP(O6,Data!Q:R,2,FALSE))</f>
        <v>Billing Authority</v>
      </c>
      <c r="P7" s="60" t="str">
        <f>IF(P6="","",VLOOKUP(P6,Data!Q:R,2,FALSE))</f>
        <v>Billing Authority</v>
      </c>
      <c r="Q7" s="60" t="str">
        <f>IF(Q6="","",VLOOKUP(Q6,Data!Q:R,2,FALSE))</f>
        <v>Billing Authority</v>
      </c>
      <c r="R7" s="60" t="str">
        <f>IF(R6="","",VLOOKUP(R6,Data!Q:R,2,FALSE))</f>
        <v>Billing Authority</v>
      </c>
      <c r="S7" s="60" t="str">
        <f>IF(S6="","",VLOOKUP(S6,Data!Q:R,2,FALSE))</f>
        <v>Billing Authority</v>
      </c>
      <c r="T7" s="60" t="str">
        <f>IF(T6="","",VLOOKUP(T6,Data!Q:R,2,FALSE))</f>
        <v>Billing Authority</v>
      </c>
      <c r="U7" s="60" t="str">
        <f>IF(U6="","",VLOOKUP(U6,Data!Q:R,2,FALSE))</f>
        <v>Billing Authority</v>
      </c>
      <c r="V7" s="60" t="str">
        <f>IF(V6="","",VLOOKUP(V6,Data!Q:R,2,FALSE))</f>
        <v>Billing Authority</v>
      </c>
      <c r="W7" s="60" t="str">
        <f>IF(W6="","",VLOOKUP(W6,Data!Q:R,2,FALSE))</f>
        <v>Billing Authority</v>
      </c>
      <c r="X7" s="60" t="str">
        <f>IF(X6="","",VLOOKUP(X6,Data!Q:R,2,FALSE))</f>
        <v>Billing Authority</v>
      </c>
      <c r="Y7" s="60" t="str">
        <f>IF(Y6="","",VLOOKUP(Y6,Data!Q:R,2,FALSE))</f>
        <v>Billing Authority</v>
      </c>
      <c r="Z7" s="60" t="str">
        <f>IF(Z6="","",VLOOKUP(Z6,Data!Q:R,2,FALSE))</f>
        <v>Billing Authority</v>
      </c>
      <c r="AA7" s="60" t="str">
        <f>IF(AA6="","",VLOOKUP(AA6,Data!Q:R,2,FALSE))</f>
        <v>Billing Authority</v>
      </c>
      <c r="AB7" s="60" t="str">
        <f>IF(AB6="","",VLOOKUP(AB6,Data!Q:R,2,FALSE))</f>
        <v>Billing Authority</v>
      </c>
      <c r="AC7" s="60" t="str">
        <f>IF(AC6="","",VLOOKUP(AC6,Data!Q:R,2,FALSE))</f>
        <v>Billing Authority</v>
      </c>
      <c r="AD7" s="60" t="str">
        <f>IF(AD6="","",VLOOKUP(AD6,Data!Q:R,2,FALSE))</f>
        <v>Billing Authority</v>
      </c>
      <c r="AE7" s="60" t="str">
        <f>IF(AE6="","",VLOOKUP(AE6,Data!Q:R,2,FALSE))</f>
        <v>Billing Authority</v>
      </c>
      <c r="AF7" s="60" t="str">
        <f>IF(AF6="","",VLOOKUP(AF6,Data!Q:R,2,FALSE))</f>
        <v>Billing Authority</v>
      </c>
      <c r="AG7" s="60" t="str">
        <f>IF(AG6="","",VLOOKUP(AG6,Data!Q:R,2,FALSE))</f>
        <v>Billing Authority</v>
      </c>
      <c r="AH7" s="60" t="str">
        <f>IF(AH6="","",VLOOKUP(AH6,Data!Q:R,2,FALSE))</f>
        <v>Billing Authority</v>
      </c>
      <c r="AI7" s="60" t="str">
        <f>IF(AI6="","",VLOOKUP(AI6,Data!Q:R,2,FALSE))</f>
        <v>Billing Authority</v>
      </c>
      <c r="AJ7" s="60" t="str">
        <f>IF(AJ6="","",VLOOKUP(AJ6,Data!Q:R,2,FALSE))</f>
        <v>Billing Authority</v>
      </c>
      <c r="AK7" s="60" t="str">
        <f>IF(AK6="","",VLOOKUP(AK6,Data!Q:R,2,FALSE))</f>
        <v>Billing Authority</v>
      </c>
      <c r="AL7" s="60" t="str">
        <f>IF(AL6="","",VLOOKUP(AL6,Data!Q:R,2,FALSE))</f>
        <v>Billing Authority</v>
      </c>
      <c r="AM7" s="60" t="str">
        <f>IF(AM6="","",VLOOKUP(AM6,Data!Q:R,2,FALSE))</f>
        <v>Billing Authority</v>
      </c>
    </row>
    <row r="8" spans="1:39" ht="74.25" customHeight="1" x14ac:dyDescent="0.2">
      <c r="A8" t="str">
        <f>CONCATENATE("Row ",ROW())</f>
        <v>Row 8</v>
      </c>
      <c r="B8" s="34" t="s">
        <v>11</v>
      </c>
      <c r="C8" s="11"/>
      <c r="D8" s="35">
        <f>SUM(G8:AM8)</f>
        <v>0</v>
      </c>
      <c r="E8" s="36"/>
      <c r="F8" s="37" t="str">
        <f>IF(VLOOKUP(D5,Data!B:L,11,FALSE)="Pilot","Part 5, Line 1, Column 5 of the NNDR3 form",IF($E$5=0,"Part 5, Line 1, Column 2 of the NNDR3 form",IF($E$5="P","The sum of Part 5, Line 1, Column 3 of the NNDR3 form for all relevant billing authorities",IF($E$5="F","The sum of Part 5, Line 1, Column 4 of the NNDR3 form for all relevant billing authorities","The sum of all relevant: Part 5 Line 1, Column 2 for billing authorites + Part 5 Line 1, Column 3 for counties + Part 5 Line 1, Column 4 for fire authorities + Part 5 Line 1, Column 5 x 50% tier split for pilot authorities"))))</f>
        <v>Part 5, Line 1, Column 5 of the NNDR3 form</v>
      </c>
    </row>
    <row r="9" spans="1:39" ht="25.5" x14ac:dyDescent="0.2">
      <c r="A9" t="str">
        <f>CONCATENATE("Row ",ROW())</f>
        <v>Row 9</v>
      </c>
      <c r="B9" s="40" t="s">
        <v>12</v>
      </c>
      <c r="C9" s="187"/>
      <c r="D9" s="195"/>
      <c r="E9" s="189"/>
      <c r="F9" s="183" t="str">
        <f>IF($E$5=0,"Part 3, Line 6, Column 1 of the NNDR3 form",IF($E$5="BRP","The sum of Part 3, Line 6, Column 1 of the NNDR3 form multiplied by the tier split for all relevant billing authorities","The sum of Part 3, Line 6, Column 1 of the NNDR3 form for all relevant billing authorities"))</f>
        <v>The sum of Part 3, Line 6, Column 1 of the NNDR3 form for all relevant billing authorities</v>
      </c>
    </row>
    <row r="10" spans="1:39" ht="25.5" x14ac:dyDescent="0.2">
      <c r="A10" t="str">
        <f>CONCATENATE("Row ",ROW())</f>
        <v>Row 10</v>
      </c>
      <c r="B10" s="40" t="s">
        <v>12</v>
      </c>
      <c r="C10" s="187"/>
      <c r="D10" s="188">
        <f>SUM(G10:AM10)</f>
        <v>0</v>
      </c>
      <c r="E10" s="189"/>
      <c r="F10" s="183" t="str">
        <f>IF($E$5=0,"","The sum of Part 3, Line 6, Column 1 of the NNDR3 form for all relevant billing authorities x SBRR factor")</f>
        <v>The sum of Part 3, Line 6, Column 1 of the NNDR3 form for all relevant billing authorities x SBRR factor</v>
      </c>
      <c r="G10">
        <f>IFERROR(VLOOKUP(G6,Data!$C:$T,18,FALSE)*G9,"")</f>
        <v>0</v>
      </c>
      <c r="H10">
        <f>IFERROR(VLOOKUP(H6,Data!$C:$T,18,FALSE)*H9,"")</f>
        <v>0</v>
      </c>
      <c r="I10">
        <f>IFERROR(VLOOKUP(I6,Data!$C:$T,18,FALSE)*I9,"")</f>
        <v>0</v>
      </c>
      <c r="J10">
        <f>IFERROR(VLOOKUP(J6,Data!$C:$T,18,FALSE)*J9,"")</f>
        <v>0</v>
      </c>
      <c r="K10">
        <f>IFERROR(VLOOKUP(K6,Data!$C:$T,18,FALSE)*K9,"")</f>
        <v>0</v>
      </c>
      <c r="L10">
        <f>IFERROR(VLOOKUP(L6,Data!$C:$T,18,FALSE)*L9,"")</f>
        <v>0</v>
      </c>
      <c r="M10">
        <f>IFERROR(VLOOKUP(M6,Data!$C:$T,18,FALSE)*M9,"")</f>
        <v>0</v>
      </c>
      <c r="N10">
        <f>IFERROR(VLOOKUP(N6,Data!$C:$T,18,FALSE)*N9,"")</f>
        <v>0</v>
      </c>
      <c r="O10">
        <f>IFERROR(VLOOKUP(O6,Data!$C:$T,18,FALSE)*O9,"")</f>
        <v>0</v>
      </c>
      <c r="P10">
        <f>IFERROR(VLOOKUP(P6,Data!$C:$T,18,FALSE)*P9,"")</f>
        <v>0</v>
      </c>
      <c r="Q10">
        <f>IFERROR(VLOOKUP(Q6,Data!$C:$T,18,FALSE)*Q9,"")</f>
        <v>0</v>
      </c>
      <c r="R10">
        <f>IFERROR(VLOOKUP(R6,Data!$C:$T,18,FALSE)*R9,"")</f>
        <v>0</v>
      </c>
      <c r="S10">
        <f>IFERROR(VLOOKUP(S6,Data!$C:$T,18,FALSE)*S9,"")</f>
        <v>0</v>
      </c>
      <c r="T10">
        <f>IFERROR(VLOOKUP(T6,Data!$C:$T,18,FALSE)*T9,"")</f>
        <v>0</v>
      </c>
      <c r="U10">
        <f>IFERROR(VLOOKUP(U6,Data!$C:$T,18,FALSE)*U9,"")</f>
        <v>0</v>
      </c>
      <c r="V10">
        <f>IFERROR(VLOOKUP(V6,Data!$C:$T,18,FALSE)*V9,"")</f>
        <v>0</v>
      </c>
      <c r="W10">
        <f>IFERROR(VLOOKUP(W6,Data!$C:$T,18,FALSE)*W9,"")</f>
        <v>0</v>
      </c>
      <c r="X10">
        <f>IFERROR(VLOOKUP(X6,Data!$C:$T,18,FALSE)*X9,"")</f>
        <v>0</v>
      </c>
      <c r="Y10">
        <f>IFERROR(VLOOKUP(Y6,Data!$C:$T,18,FALSE)*Y9,"")</f>
        <v>0</v>
      </c>
      <c r="Z10">
        <f>IFERROR(VLOOKUP(Z6,Data!$C:$T,18,FALSE)*Z9,"")</f>
        <v>0</v>
      </c>
      <c r="AA10">
        <f>IFERROR(VLOOKUP(AA6,Data!$C:$T,18,FALSE)*AA9,"")</f>
        <v>0</v>
      </c>
      <c r="AB10">
        <f>IFERROR(VLOOKUP(AB6,Data!$C:$T,18,FALSE)*AB9,"")</f>
        <v>0</v>
      </c>
      <c r="AC10">
        <f>IFERROR(VLOOKUP(AC6,Data!$C:$T,18,FALSE)*AC9,"")</f>
        <v>0</v>
      </c>
      <c r="AD10">
        <f>IFERROR(VLOOKUP(AD6,Data!$C:$T,18,FALSE)*AD9,"")</f>
        <v>0</v>
      </c>
      <c r="AE10">
        <f>IFERROR(VLOOKUP(AE6,Data!$C:$T,18,FALSE)*AE9,"")</f>
        <v>0</v>
      </c>
      <c r="AF10">
        <f>IFERROR(VLOOKUP(AF6,Data!$C:$T,18,FALSE)*AF9,"")</f>
        <v>0</v>
      </c>
      <c r="AG10">
        <f>IFERROR(VLOOKUP(AG6,Data!$C:$T,18,FALSE)*AG9,"")</f>
        <v>0</v>
      </c>
      <c r="AH10">
        <f>IFERROR(VLOOKUP(AH6,Data!$C:$T,18,FALSE)*AH9,"")</f>
        <v>0</v>
      </c>
      <c r="AI10">
        <f>IFERROR(VLOOKUP(AI6,Data!$C:$T,18,FALSE)*AI9,"")</f>
        <v>0</v>
      </c>
      <c r="AJ10">
        <f>IFERROR(VLOOKUP(AJ6,Data!$C:$T,18,FALSE)*AJ9,"")</f>
        <v>0</v>
      </c>
      <c r="AK10">
        <f>IFERROR(VLOOKUP(AK6,Data!$C:$T,18,FALSE)*AK9,"")</f>
        <v>0</v>
      </c>
      <c r="AL10">
        <f>IFERROR(VLOOKUP(AL6,Data!$C:$T,18,FALSE)*AL9,"")</f>
        <v>0</v>
      </c>
      <c r="AM10">
        <f>IFERROR(VLOOKUP(AM6,Data!$C:$T,18,FALSE)*AM9,"")</f>
        <v>0</v>
      </c>
    </row>
    <row r="11" spans="1:39" ht="27.75" thickBot="1" x14ac:dyDescent="0.25">
      <c r="A11" t="str">
        <f>CONCATENATE("Row ",ROW())</f>
        <v>Row 11</v>
      </c>
      <c r="B11" s="197" t="s">
        <v>1314</v>
      </c>
      <c r="C11" s="29"/>
      <c r="D11" s="198">
        <f>SUM(G11:AM11)</f>
        <v>0</v>
      </c>
      <c r="E11" s="31"/>
      <c r="F11" s="199" t="str">
        <f>IF($E$5=0,"Part 3, Line 9, Column 1 of the NNDR3 form",IF($E$5="BRP","The sum of Part 3, Line 9, Column 1 of the NNDR3 form multiplied by the tier split for all relevant billing authorities","The sum of Part 3, Line 9, Column 1 of the NNDR3 form for all relevant billing authorities"))</f>
        <v>The sum of Part 3, Line 9, Column 1 of the NNDR3 form for all relevant billing authorities</v>
      </c>
    </row>
    <row r="13" spans="1:39" ht="14.25" x14ac:dyDescent="0.2">
      <c r="A13" s="193"/>
    </row>
  </sheetData>
  <mergeCells count="2">
    <mergeCell ref="B3:F3"/>
    <mergeCell ref="B4:F4"/>
  </mergeCells>
  <conditionalFormatting sqref="D5">
    <cfRule type="expression" dxfId="1" priority="109">
      <formula>LEFT($D$5,3)="BRP"</formula>
    </cfRule>
  </conditionalFormatting>
  <conditionalFormatting sqref="G8:AM9 G11:AM11">
    <cfRule type="expression" dxfId="0" priority="7">
      <formula>IF(G$7="",1,0)=0</formula>
    </cfRule>
  </conditionalFormatting>
  <dataValidations count="1">
    <dataValidation type="custom" allowBlank="1" showInputMessage="1" showErrorMessage="1" sqref="F8:F11 B8:B11 D12:F1048576">
      <formula1>$F$7="UNLOCK"</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count="1">
        <x14:dataValidation type="custom" allowBlank="1" showInputMessage="1" showErrorMessage="1">
          <x14:formula1>
            <xm:f>Calculator!$F$7="UNLOCK"</xm:f>
          </x14:formula1>
          <xm:sqref>A8:A11 C5:F7 A1:B7 G1:XFD7 C1:F2 C8:E11 A12:C1048576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O417"/>
  <sheetViews>
    <sheetView zoomScale="80" zoomScaleNormal="80" workbookViewId="0">
      <pane xSplit="3" ySplit="4" topLeftCell="D80" activePane="bottomRight" state="frozen"/>
      <selection activeCell="V7" sqref="V7"/>
      <selection pane="topRight" activeCell="V7" sqref="V7"/>
      <selection pane="bottomLeft" activeCell="V7" sqref="V7"/>
      <selection pane="bottomRight" activeCell="M200" sqref="M200"/>
    </sheetView>
  </sheetViews>
  <sheetFormatPr defaultRowHeight="15" x14ac:dyDescent="0.2"/>
  <cols>
    <col min="1" max="2" width="9.140625" style="66" customWidth="1"/>
    <col min="3" max="3" width="39.5703125" style="70" customWidth="1"/>
    <col min="4" max="9" width="13.85546875" style="68" customWidth="1"/>
    <col min="10" max="10" width="39.5703125" style="70" customWidth="1"/>
    <col min="11" max="11" width="4.7109375" style="70" bestFit="1" customWidth="1"/>
    <col min="12" max="16384" width="9.140625" style="66"/>
  </cols>
  <sheetData>
    <row r="1" spans="1:15" x14ac:dyDescent="0.2">
      <c r="C1" s="67" t="s">
        <v>821</v>
      </c>
      <c r="E1" s="69"/>
      <c r="F1" s="69"/>
      <c r="J1" s="67"/>
      <c r="K1" s="67"/>
      <c r="L1" s="70"/>
      <c r="M1" s="70"/>
      <c r="N1" s="70"/>
      <c r="O1" s="70"/>
    </row>
    <row r="2" spans="1:15" ht="15.75" thickBot="1" x14ac:dyDescent="0.25">
      <c r="C2" s="67"/>
      <c r="D2" s="71"/>
      <c r="E2" s="71"/>
      <c r="F2" s="71"/>
      <c r="G2" s="71"/>
      <c r="H2" s="71"/>
      <c r="I2" s="71"/>
      <c r="J2" s="67"/>
      <c r="K2" s="67"/>
    </row>
    <row r="3" spans="1:15" x14ac:dyDescent="0.2">
      <c r="A3" s="72"/>
      <c r="B3" s="72"/>
      <c r="C3" s="73"/>
      <c r="D3" s="74"/>
      <c r="E3" s="74"/>
      <c r="F3" s="74"/>
      <c r="G3" s="74"/>
      <c r="H3" s="74"/>
      <c r="I3" s="74"/>
      <c r="J3" s="73"/>
      <c r="K3" s="73"/>
    </row>
    <row r="4" spans="1:15" ht="61.5" customHeight="1" thickBot="1" x14ac:dyDescent="0.25">
      <c r="A4" s="75" t="s">
        <v>822</v>
      </c>
      <c r="B4" s="75" t="s">
        <v>1257</v>
      </c>
      <c r="C4" s="76" t="s">
        <v>25</v>
      </c>
      <c r="D4" s="77" t="s">
        <v>823</v>
      </c>
      <c r="E4" s="77" t="s">
        <v>824</v>
      </c>
      <c r="F4" s="77" t="s">
        <v>825</v>
      </c>
      <c r="G4" s="77" t="s">
        <v>826</v>
      </c>
      <c r="H4" s="77" t="s">
        <v>4</v>
      </c>
      <c r="I4" s="77" t="s">
        <v>5</v>
      </c>
      <c r="J4" s="76" t="s">
        <v>1328</v>
      </c>
      <c r="K4" s="76" t="s">
        <v>1272</v>
      </c>
    </row>
    <row r="5" spans="1:15" x14ac:dyDescent="0.2">
      <c r="A5" s="78"/>
      <c r="B5" s="78"/>
      <c r="C5" s="79"/>
      <c r="D5" s="80"/>
      <c r="E5" s="80"/>
      <c r="F5" s="80"/>
      <c r="G5" s="80"/>
      <c r="H5" s="80"/>
      <c r="I5" s="80"/>
      <c r="J5" s="79"/>
      <c r="K5" s="79"/>
    </row>
    <row r="6" spans="1:15" ht="14.25" customHeight="1" x14ac:dyDescent="0.2">
      <c r="A6" s="82" t="s">
        <v>827</v>
      </c>
      <c r="B6" s="82"/>
      <c r="C6" s="82" t="s">
        <v>828</v>
      </c>
      <c r="D6" s="83">
        <v>16632.427593608787</v>
      </c>
      <c r="E6" s="84">
        <v>4981.7937268207743</v>
      </c>
      <c r="F6" s="84">
        <v>11650.633866788008</v>
      </c>
      <c r="G6" s="84"/>
      <c r="H6" s="84"/>
      <c r="I6" s="81"/>
      <c r="J6" s="82"/>
      <c r="K6" s="82"/>
    </row>
    <row r="7" spans="1:15" hidden="1" x14ac:dyDescent="0.2">
      <c r="A7" s="82" t="s">
        <v>829</v>
      </c>
      <c r="B7" s="82" t="s">
        <v>34</v>
      </c>
      <c r="C7" s="82" t="s">
        <v>33</v>
      </c>
      <c r="D7" s="83">
        <v>1.9214826453600002</v>
      </c>
      <c r="E7" s="68">
        <v>0.27119510780300005</v>
      </c>
      <c r="F7" s="68">
        <v>1.6502875375570001</v>
      </c>
      <c r="G7" s="68">
        <v>-4.6410984584549997</v>
      </c>
      <c r="H7" s="68">
        <v>1.5265159722402253</v>
      </c>
      <c r="I7" s="81">
        <v>0.5</v>
      </c>
      <c r="J7" s="82" t="str">
        <f>VLOOKUP(B7,Data!B:K,10,FALSE)</f>
        <v>West Sussex Business Rates Pool</v>
      </c>
      <c r="K7" s="82">
        <f>VLOOKUP(B7,Data!B:L,11,FALSE)</f>
        <v>0</v>
      </c>
    </row>
    <row r="8" spans="1:15" hidden="1" x14ac:dyDescent="0.2">
      <c r="A8" s="82" t="s">
        <v>831</v>
      </c>
      <c r="B8" s="82" t="s">
        <v>39</v>
      </c>
      <c r="C8" s="82" t="s">
        <v>38</v>
      </c>
      <c r="D8" s="83">
        <v>4.4746297274630003</v>
      </c>
      <c r="E8" s="68">
        <v>1.060779909544</v>
      </c>
      <c r="F8" s="68">
        <v>3.413849817919</v>
      </c>
      <c r="G8" s="68">
        <v>-6.9310349672069993</v>
      </c>
      <c r="H8" s="68">
        <v>3.1578110815750753</v>
      </c>
      <c r="I8" s="81">
        <v>0.5</v>
      </c>
      <c r="J8" s="82" t="str">
        <f>VLOOKUP(B8,Data!B:K,10,FALSE)</f>
        <v>Cumbria Business Rates Pool</v>
      </c>
      <c r="K8" s="82">
        <f>VLOOKUP(B8,Data!B:L,11,FALSE)</f>
        <v>0</v>
      </c>
    </row>
    <row r="9" spans="1:15" hidden="1" x14ac:dyDescent="0.2">
      <c r="A9" s="82" t="s">
        <v>832</v>
      </c>
      <c r="B9" s="82" t="s">
        <v>43</v>
      </c>
      <c r="C9" s="82" t="s">
        <v>42</v>
      </c>
      <c r="D9" s="83">
        <v>3.8914291791200002</v>
      </c>
      <c r="E9" s="68">
        <v>0.88219126902400002</v>
      </c>
      <c r="F9" s="68">
        <v>3.0092379100960001</v>
      </c>
      <c r="G9" s="68">
        <v>-8.615882852036</v>
      </c>
      <c r="H9" s="68">
        <v>2.7835450668388</v>
      </c>
      <c r="I9" s="81">
        <v>0.5</v>
      </c>
      <c r="J9" s="82" t="str">
        <f>VLOOKUP(B9,Data!B:K,10,FALSE)</f>
        <v>Derbyshire Business Rates Pool</v>
      </c>
      <c r="K9" s="82">
        <f>VLOOKUP(B9,Data!B:L,11,FALSE)</f>
        <v>0</v>
      </c>
    </row>
    <row r="10" spans="1:15" hidden="1" x14ac:dyDescent="0.2">
      <c r="A10" s="82" t="s">
        <v>833</v>
      </c>
      <c r="B10" s="82" t="s">
        <v>47</v>
      </c>
      <c r="C10" s="82" t="s">
        <v>46</v>
      </c>
      <c r="D10" s="83">
        <v>4.1763255062189995</v>
      </c>
      <c r="E10" s="68">
        <v>0.75025280211500001</v>
      </c>
      <c r="F10" s="68">
        <v>3.4260727041039996</v>
      </c>
      <c r="G10" s="68">
        <v>-8.6875102905760002</v>
      </c>
      <c r="H10" s="68">
        <v>3.1691172512961998</v>
      </c>
      <c r="I10" s="81">
        <v>0.5</v>
      </c>
      <c r="J10" s="82" t="str">
        <f>VLOOKUP(B10,Data!B:K,10,FALSE)</f>
        <v>West Sussex Business Rates Pool</v>
      </c>
      <c r="K10" s="82">
        <f>VLOOKUP(B10,Data!B:L,11,FALSE)</f>
        <v>0</v>
      </c>
    </row>
    <row r="11" spans="1:15" hidden="1" x14ac:dyDescent="0.2">
      <c r="A11" s="82" t="s">
        <v>834</v>
      </c>
      <c r="B11" s="82" t="s">
        <v>49</v>
      </c>
      <c r="C11" s="82" t="s">
        <v>48</v>
      </c>
      <c r="D11" s="83">
        <v>4.7764829523440007</v>
      </c>
      <c r="E11" s="68">
        <v>1.1482061931410001</v>
      </c>
      <c r="F11" s="68">
        <v>3.6282767592030001</v>
      </c>
      <c r="G11" s="68">
        <v>-9.087050550519999</v>
      </c>
      <c r="H11" s="68">
        <v>3.3561560022627752</v>
      </c>
      <c r="I11" s="81">
        <v>0.5</v>
      </c>
      <c r="J11" s="82" t="str">
        <f>VLOOKUP(B11,Data!B:K,10,FALSE)</f>
        <v>Nottingham Business Rates Pool</v>
      </c>
      <c r="K11" s="82">
        <f>VLOOKUP(B11,Data!B:L,11,FALSE)</f>
        <v>0</v>
      </c>
    </row>
    <row r="12" spans="1:15" hidden="1" x14ac:dyDescent="0.2">
      <c r="A12" s="82" t="s">
        <v>836</v>
      </c>
      <c r="B12" s="82" t="s">
        <v>53</v>
      </c>
      <c r="C12" s="82" t="s">
        <v>52</v>
      </c>
      <c r="D12" s="83">
        <v>3.3026816942520001</v>
      </c>
      <c r="E12" s="68">
        <v>0.61535728043000004</v>
      </c>
      <c r="F12" s="68">
        <v>2.687324413822</v>
      </c>
      <c r="G12" s="68">
        <v>-15.262445222445001</v>
      </c>
      <c r="H12" s="68">
        <v>2.4857750827853504</v>
      </c>
      <c r="I12" s="81">
        <v>0.5</v>
      </c>
      <c r="J12" s="82" t="str">
        <f>VLOOKUP(B12,Data!B:K,10,FALSE)</f>
        <v>Kent Business Rates Pool</v>
      </c>
      <c r="K12" s="82">
        <f>VLOOKUP(B12,Data!B:L,11,FALSE)</f>
        <v>0</v>
      </c>
    </row>
    <row r="13" spans="1:15" hidden="1" x14ac:dyDescent="0.2">
      <c r="A13" s="82" t="s">
        <v>838</v>
      </c>
      <c r="B13" s="82" t="s">
        <v>89</v>
      </c>
      <c r="C13" s="82" t="s">
        <v>839</v>
      </c>
      <c r="D13" s="83">
        <v>16.895495390063999</v>
      </c>
      <c r="E13" s="68">
        <v>6.7094771258690002</v>
      </c>
      <c r="F13" s="68">
        <v>10.186018264195001</v>
      </c>
      <c r="G13" s="68">
        <v>5.7480137055660006</v>
      </c>
      <c r="H13" s="68">
        <v>9.4220668943803751</v>
      </c>
      <c r="I13" s="81">
        <v>0</v>
      </c>
      <c r="J13" s="82">
        <f>VLOOKUP(B13,Data!B:K,10,FALSE)</f>
        <v>0</v>
      </c>
      <c r="K13" s="82">
        <f>VLOOKUP(B13,Data!B:L,11,FALSE)</f>
        <v>0</v>
      </c>
    </row>
    <row r="14" spans="1:15" hidden="1" x14ac:dyDescent="0.2">
      <c r="A14" s="82" t="s">
        <v>840</v>
      </c>
      <c r="B14" s="82" t="s">
        <v>58</v>
      </c>
      <c r="C14" s="82" t="s">
        <v>57</v>
      </c>
      <c r="D14" s="83">
        <v>4.3027275781930001</v>
      </c>
      <c r="E14" s="68">
        <v>0.58316307335799999</v>
      </c>
      <c r="F14" s="68">
        <v>3.7195645048349997</v>
      </c>
      <c r="G14" s="68">
        <v>-15.488323478448001</v>
      </c>
      <c r="H14" s="68">
        <v>3.4405971669723749</v>
      </c>
      <c r="I14" s="81">
        <v>0.5</v>
      </c>
      <c r="J14" s="82" t="str">
        <f>VLOOKUP(B14,Data!B:K,10,FALSE)</f>
        <v>Buckinghamshire Business Rates Pool</v>
      </c>
      <c r="K14" s="82">
        <f>VLOOKUP(B14,Data!B:L,11,FALSE)</f>
        <v>0</v>
      </c>
    </row>
    <row r="15" spans="1:15" hidden="1" x14ac:dyDescent="0.2">
      <c r="A15" s="82" t="s">
        <v>842</v>
      </c>
      <c r="B15" s="82" t="s">
        <v>63</v>
      </c>
      <c r="C15" s="82" t="s">
        <v>62</v>
      </c>
      <c r="D15" s="83">
        <v>2.5011344062390002</v>
      </c>
      <c r="E15" s="68">
        <v>0.50387436919200002</v>
      </c>
      <c r="F15" s="68">
        <v>1.9972600370469999</v>
      </c>
      <c r="G15" s="68">
        <v>-6.7157075185729997</v>
      </c>
      <c r="H15" s="68">
        <v>1.8474655342684749</v>
      </c>
      <c r="I15" s="81">
        <v>0.5</v>
      </c>
      <c r="J15" s="82" t="str">
        <f>VLOOKUP(B15,Data!B:K,10,FALSE)</f>
        <v>Suffolk Business Rates Pool</v>
      </c>
      <c r="K15" s="82">
        <f>VLOOKUP(B15,Data!B:L,11,FALSE)</f>
        <v>0</v>
      </c>
    </row>
    <row r="16" spans="1:15" hidden="1" x14ac:dyDescent="0.2">
      <c r="A16" s="82" t="s">
        <v>843</v>
      </c>
      <c r="B16" s="82" t="s">
        <v>67</v>
      </c>
      <c r="C16" s="82" t="s">
        <v>66</v>
      </c>
      <c r="D16" s="83">
        <v>82.643118515856997</v>
      </c>
      <c r="E16" s="68">
        <v>28.760035368528001</v>
      </c>
      <c r="F16" s="68">
        <v>53.883083147329003</v>
      </c>
      <c r="G16" s="68">
        <v>36.433858708180004</v>
      </c>
      <c r="H16" s="68">
        <v>49.841851911279328</v>
      </c>
      <c r="I16" s="81">
        <v>0</v>
      </c>
      <c r="J16" s="82" t="str">
        <f>VLOOKUP(B16,Data!B:K,10,FALSE)</f>
        <v>East London / South Essex Business Rates Pool</v>
      </c>
      <c r="K16" s="82">
        <f>VLOOKUP(B16,Data!B:L,11,FALSE)</f>
        <v>0</v>
      </c>
    </row>
    <row r="17" spans="1:11" hidden="1" x14ac:dyDescent="0.2">
      <c r="A17" s="82" t="s">
        <v>844</v>
      </c>
      <c r="B17" s="82" t="s">
        <v>71</v>
      </c>
      <c r="C17" s="82" t="s">
        <v>70</v>
      </c>
      <c r="D17" s="83">
        <v>78.259847558700997</v>
      </c>
      <c r="E17" s="68">
        <v>23.412996342657998</v>
      </c>
      <c r="F17" s="68">
        <v>54.846851216043</v>
      </c>
      <c r="G17" s="68">
        <v>18.362361605554</v>
      </c>
      <c r="H17" s="68">
        <v>50.733337374839785</v>
      </c>
      <c r="I17" s="81">
        <v>0</v>
      </c>
      <c r="J17" s="82">
        <f>VLOOKUP(B17,Data!B:K,10,FALSE)</f>
        <v>0</v>
      </c>
      <c r="K17" s="82">
        <f>VLOOKUP(B17,Data!B:L,11,FALSE)</f>
        <v>0</v>
      </c>
    </row>
    <row r="18" spans="1:11" hidden="1" x14ac:dyDescent="0.2">
      <c r="A18" s="82" t="s">
        <v>845</v>
      </c>
      <c r="B18" s="82" t="s">
        <v>73</v>
      </c>
      <c r="C18" s="82" t="s">
        <v>72</v>
      </c>
      <c r="D18" s="83">
        <v>78.430197175784997</v>
      </c>
      <c r="E18" s="68">
        <v>25.260773536396002</v>
      </c>
      <c r="F18" s="68">
        <v>53.169423639389002</v>
      </c>
      <c r="G18" s="68">
        <v>30.341842504165999</v>
      </c>
      <c r="H18" s="68">
        <v>49.181716866434826</v>
      </c>
      <c r="I18" s="81">
        <v>0</v>
      </c>
      <c r="J18" s="82">
        <f>VLOOKUP(B18,Data!B:K,10,FALSE)</f>
        <v>0</v>
      </c>
      <c r="K18" s="82">
        <f>VLOOKUP(B18,Data!B:L,11,FALSE)</f>
        <v>0</v>
      </c>
    </row>
    <row r="19" spans="1:11" hidden="1" x14ac:dyDescent="0.2">
      <c r="A19" s="82" t="s">
        <v>846</v>
      </c>
      <c r="B19" s="82" t="s">
        <v>76</v>
      </c>
      <c r="C19" s="82" t="s">
        <v>75</v>
      </c>
      <c r="D19" s="83">
        <v>5.0017164359180004</v>
      </c>
      <c r="E19" s="68">
        <v>2.079201016052</v>
      </c>
      <c r="F19" s="68">
        <v>2.9225154198659999</v>
      </c>
      <c r="G19" s="68">
        <v>-4.8828950036260004</v>
      </c>
      <c r="H19" s="68">
        <v>2.70332676337605</v>
      </c>
      <c r="I19" s="81">
        <v>0.5</v>
      </c>
      <c r="J19" s="82" t="str">
        <f>VLOOKUP(B19,Data!B:K,10,FALSE)</f>
        <v>Cumbria Business Rates Pool</v>
      </c>
      <c r="K19" s="82">
        <f>VLOOKUP(B19,Data!B:L,11,FALSE)</f>
        <v>0</v>
      </c>
    </row>
    <row r="20" spans="1:11" hidden="1" x14ac:dyDescent="0.2">
      <c r="A20" s="82" t="s">
        <v>847</v>
      </c>
      <c r="B20" s="82" t="s">
        <v>78</v>
      </c>
      <c r="C20" s="82" t="s">
        <v>77</v>
      </c>
      <c r="D20" s="83">
        <v>6.4802105291809999</v>
      </c>
      <c r="E20" s="68">
        <v>1.155790973245</v>
      </c>
      <c r="F20" s="68">
        <v>5.3244195559360001</v>
      </c>
      <c r="G20" s="68">
        <v>-24.648953762933999</v>
      </c>
      <c r="H20" s="68">
        <v>4.9250880892408002</v>
      </c>
      <c r="I20" s="81">
        <v>0.5</v>
      </c>
      <c r="J20" s="82" t="str">
        <f>VLOOKUP(B20,Data!B:K,10,FALSE)</f>
        <v>East London / South Essex Business Rates Pool</v>
      </c>
      <c r="K20" s="82">
        <f>VLOOKUP(B20,Data!B:L,11,FALSE)</f>
        <v>0</v>
      </c>
    </row>
    <row r="21" spans="1:11" hidden="1" x14ac:dyDescent="0.2">
      <c r="A21" s="82" t="s">
        <v>848</v>
      </c>
      <c r="B21" s="82" t="s">
        <v>82</v>
      </c>
      <c r="C21" s="82" t="s">
        <v>849</v>
      </c>
      <c r="D21" s="83">
        <v>3.5812404641090003</v>
      </c>
      <c r="E21" s="68">
        <v>0.73091018018599996</v>
      </c>
      <c r="F21" s="68">
        <v>2.8503302839230003</v>
      </c>
      <c r="G21" s="68">
        <v>-25.465106418455999</v>
      </c>
      <c r="H21" s="68">
        <v>2.636555512628775</v>
      </c>
      <c r="I21" s="81">
        <v>0.5</v>
      </c>
      <c r="J21" s="82">
        <f>VLOOKUP(B21,Data!B:K,10,FALSE)</f>
        <v>0</v>
      </c>
      <c r="K21" s="82">
        <f>VLOOKUP(B21,Data!B:L,11,FALSE)</f>
        <v>0</v>
      </c>
    </row>
    <row r="22" spans="1:11" hidden="1" x14ac:dyDescent="0.2">
      <c r="A22" s="82" t="s">
        <v>850</v>
      </c>
      <c r="B22" s="82" t="s">
        <v>86</v>
      </c>
      <c r="C22" s="82" t="s">
        <v>85</v>
      </c>
      <c r="D22" s="83">
        <v>4.9786856737190002</v>
      </c>
      <c r="E22" s="68">
        <v>1.190702165584</v>
      </c>
      <c r="F22" s="68">
        <v>3.787983508135</v>
      </c>
      <c r="G22" s="68">
        <v>-12.390207940624</v>
      </c>
      <c r="H22" s="68">
        <v>3.5038847450248749</v>
      </c>
      <c r="I22" s="81">
        <v>0.5</v>
      </c>
      <c r="J22" s="82" t="str">
        <f>VLOOKUP(B22,Data!B:K,10,FALSE)</f>
        <v>Nottingham Business Rates Pool</v>
      </c>
      <c r="K22" s="82">
        <f>VLOOKUP(B22,Data!B:L,11,FALSE)</f>
        <v>0</v>
      </c>
    </row>
    <row r="23" spans="1:11" x14ac:dyDescent="0.2">
      <c r="A23" s="82" t="s">
        <v>851</v>
      </c>
      <c r="B23" s="82" t="s">
        <v>88</v>
      </c>
      <c r="C23" s="82" t="s">
        <v>87</v>
      </c>
      <c r="D23" s="83">
        <v>30.381122107503998</v>
      </c>
      <c r="E23" s="68">
        <v>8.2590277454159988</v>
      </c>
      <c r="F23" s="68">
        <v>22.122094362087999</v>
      </c>
      <c r="G23" s="68">
        <v>-8.904369286443</v>
      </c>
      <c r="H23" s="68">
        <v>20.4629372849314</v>
      </c>
      <c r="I23" s="81">
        <v>0</v>
      </c>
      <c r="J23" s="82">
        <f>VLOOKUP(B23,Data!B:K,10,FALSE)</f>
        <v>0</v>
      </c>
      <c r="K23" s="82" t="str">
        <f>VLOOKUP(B23,Data!B:L,11,FALSE)</f>
        <v>Pilot</v>
      </c>
    </row>
    <row r="24" spans="1:11" hidden="1" x14ac:dyDescent="0.2">
      <c r="A24" s="82" t="s">
        <v>852</v>
      </c>
      <c r="B24" s="82" t="s">
        <v>92</v>
      </c>
      <c r="C24" s="82" t="s">
        <v>853</v>
      </c>
      <c r="D24" s="83">
        <v>44.609088583856995</v>
      </c>
      <c r="E24" s="68">
        <v>14.595235116614999</v>
      </c>
      <c r="F24" s="68">
        <v>30.013853467241997</v>
      </c>
      <c r="G24" s="68">
        <v>2.1646170435480001</v>
      </c>
      <c r="H24" s="68">
        <v>27.76281445719885</v>
      </c>
      <c r="I24" s="81">
        <v>0</v>
      </c>
      <c r="J24" s="82">
        <f>VLOOKUP(B24,Data!B:K,10,FALSE)</f>
        <v>0</v>
      </c>
      <c r="K24" s="82">
        <f>VLOOKUP(B24,Data!B:L,11,FALSE)</f>
        <v>0</v>
      </c>
    </row>
    <row r="25" spans="1:11" hidden="1" x14ac:dyDescent="0.2">
      <c r="A25" s="82" t="s">
        <v>854</v>
      </c>
      <c r="B25" s="82" t="s">
        <v>93</v>
      </c>
      <c r="C25" s="82" t="s">
        <v>855</v>
      </c>
      <c r="D25" s="83">
        <v>9.0579516595649991</v>
      </c>
      <c r="E25" s="68">
        <v>3.5089420338030002</v>
      </c>
      <c r="F25" s="68">
        <v>5.5490096257619994</v>
      </c>
      <c r="G25" s="68">
        <v>3.5630753821550001</v>
      </c>
      <c r="H25" s="68">
        <v>5.1328339038298498</v>
      </c>
      <c r="I25" s="81">
        <v>0</v>
      </c>
      <c r="J25" s="82">
        <f>VLOOKUP(B25,Data!B:K,10,FALSE)</f>
        <v>0</v>
      </c>
      <c r="K25" s="82">
        <f>VLOOKUP(B25,Data!B:L,11,FALSE)</f>
        <v>0</v>
      </c>
    </row>
    <row r="26" spans="1:11" hidden="1" x14ac:dyDescent="0.2">
      <c r="A26" s="82" t="s">
        <v>856</v>
      </c>
      <c r="B26" s="82" t="s">
        <v>122</v>
      </c>
      <c r="C26" s="82" t="s">
        <v>762</v>
      </c>
      <c r="D26" s="83">
        <v>10.897967970490999</v>
      </c>
      <c r="E26" s="68">
        <v>4.242120189055</v>
      </c>
      <c r="F26" s="68">
        <v>6.655847781436</v>
      </c>
      <c r="G26" s="68">
        <v>1.78739493479</v>
      </c>
      <c r="H26" s="68">
        <v>6.1566591978283007</v>
      </c>
      <c r="I26" s="81">
        <v>0</v>
      </c>
      <c r="J26" s="82">
        <f>VLOOKUP(B26,Data!B:K,10,FALSE)</f>
        <v>0</v>
      </c>
      <c r="K26" s="82">
        <f>VLOOKUP(B26,Data!B:L,11,FALSE)</f>
        <v>0</v>
      </c>
    </row>
    <row r="27" spans="1:11" hidden="1" x14ac:dyDescent="0.2">
      <c r="A27" s="82" t="s">
        <v>857</v>
      </c>
      <c r="B27" s="82" t="s">
        <v>95</v>
      </c>
      <c r="C27" s="82" t="s">
        <v>94</v>
      </c>
      <c r="D27" s="83">
        <v>47.978595939732998</v>
      </c>
      <c r="E27" s="68">
        <v>13.750632228837</v>
      </c>
      <c r="F27" s="68">
        <v>34.227963710895999</v>
      </c>
      <c r="G27" s="68">
        <v>15.727792957745999</v>
      </c>
      <c r="H27" s="68">
        <v>31.660866432578803</v>
      </c>
      <c r="I27" s="81">
        <v>0</v>
      </c>
      <c r="J27" s="82">
        <f>VLOOKUP(B27,Data!B:K,10,FALSE)</f>
        <v>0</v>
      </c>
      <c r="K27" s="82">
        <f>VLOOKUP(B27,Data!B:L,11,FALSE)</f>
        <v>0</v>
      </c>
    </row>
    <row r="28" spans="1:11" x14ac:dyDescent="0.2">
      <c r="A28" s="82" t="s">
        <v>858</v>
      </c>
      <c r="B28" s="82" t="s">
        <v>97</v>
      </c>
      <c r="C28" s="82" t="s">
        <v>96</v>
      </c>
      <c r="D28" s="83">
        <v>512.27555171733206</v>
      </c>
      <c r="E28" s="68">
        <v>177.75253647410102</v>
      </c>
      <c r="F28" s="68">
        <v>334.52301524323099</v>
      </c>
      <c r="G28" s="68">
        <v>142.08054677089299</v>
      </c>
      <c r="H28" s="68">
        <v>309.4337890999887</v>
      </c>
      <c r="I28" s="81">
        <v>0</v>
      </c>
      <c r="J28" s="82" t="str">
        <f>VLOOKUP(B28,Data!B:K,10,FALSE)</f>
        <v>Greater Birmingham &amp; Solihull Business Rates Pool</v>
      </c>
      <c r="K28" s="82" t="str">
        <f>VLOOKUP(B28,Data!B:L,11,FALSE)</f>
        <v>Pilot</v>
      </c>
    </row>
    <row r="29" spans="1:11" hidden="1" x14ac:dyDescent="0.2">
      <c r="A29" s="82" t="s">
        <v>860</v>
      </c>
      <c r="B29" s="82" t="s">
        <v>100</v>
      </c>
      <c r="C29" s="82" t="s">
        <v>99</v>
      </c>
      <c r="D29" s="83">
        <v>2.549906877867</v>
      </c>
      <c r="E29" s="68">
        <v>0.46715886562499997</v>
      </c>
      <c r="F29" s="68">
        <v>2.0827480122419999</v>
      </c>
      <c r="G29" s="68">
        <v>-13.681339240156001</v>
      </c>
      <c r="H29" s="68">
        <v>1.9265419113238502</v>
      </c>
      <c r="I29" s="81">
        <v>0.5</v>
      </c>
      <c r="J29" s="82" t="str">
        <f>VLOOKUP(B29,Data!B:K,10,FALSE)</f>
        <v>Leicestershire Business Rates Pool</v>
      </c>
      <c r="K29" s="82">
        <f>VLOOKUP(B29,Data!B:L,11,FALSE)</f>
        <v>0</v>
      </c>
    </row>
    <row r="30" spans="1:11" hidden="1" x14ac:dyDescent="0.2">
      <c r="A30" s="82" t="s">
        <v>861</v>
      </c>
      <c r="B30" s="82" t="s">
        <v>105</v>
      </c>
      <c r="C30" s="82" t="s">
        <v>104</v>
      </c>
      <c r="D30" s="83">
        <v>63.920183858561003</v>
      </c>
      <c r="E30" s="68">
        <v>22.301266265614</v>
      </c>
      <c r="F30" s="68">
        <v>41.618917592947</v>
      </c>
      <c r="G30" s="68">
        <v>22.521790253711998</v>
      </c>
      <c r="H30" s="68">
        <v>38.497498773475975</v>
      </c>
      <c r="I30" s="81">
        <v>0</v>
      </c>
      <c r="J30" s="82">
        <f>VLOOKUP(B30,Data!B:K,10,FALSE)</f>
        <v>0</v>
      </c>
      <c r="K30" s="82">
        <f>VLOOKUP(B30,Data!B:L,11,FALSE)</f>
        <v>0</v>
      </c>
    </row>
    <row r="31" spans="1:11" hidden="1" x14ac:dyDescent="0.2">
      <c r="A31" s="82" t="s">
        <v>862</v>
      </c>
      <c r="B31" s="82" t="s">
        <v>108</v>
      </c>
      <c r="C31" s="82" t="s">
        <v>107</v>
      </c>
      <c r="D31" s="83">
        <v>69.646408391761</v>
      </c>
      <c r="E31" s="68">
        <v>24.534364293886</v>
      </c>
      <c r="F31" s="68">
        <v>45.112044097875</v>
      </c>
      <c r="G31" s="68">
        <v>22.858104022222001</v>
      </c>
      <c r="H31" s="68">
        <v>41.728640790534378</v>
      </c>
      <c r="I31" s="81">
        <v>0</v>
      </c>
      <c r="J31" s="82">
        <f>VLOOKUP(B31,Data!B:K,10,FALSE)</f>
        <v>0</v>
      </c>
      <c r="K31" s="82">
        <f>VLOOKUP(B31,Data!B:L,11,FALSE)</f>
        <v>0</v>
      </c>
    </row>
    <row r="32" spans="1:11" hidden="1" x14ac:dyDescent="0.2">
      <c r="A32" s="82" t="s">
        <v>863</v>
      </c>
      <c r="B32" s="82" t="s">
        <v>110</v>
      </c>
      <c r="C32" s="82" t="s">
        <v>109</v>
      </c>
      <c r="D32" s="83">
        <v>4.6386922982790004</v>
      </c>
      <c r="E32" s="68">
        <v>1.9058130372069999</v>
      </c>
      <c r="F32" s="68">
        <v>2.7328792610720001</v>
      </c>
      <c r="G32" s="68">
        <v>-5.3543558989669995</v>
      </c>
      <c r="H32" s="68">
        <v>2.5279133164916003</v>
      </c>
      <c r="I32" s="81">
        <v>0.5</v>
      </c>
      <c r="J32" s="82" t="str">
        <f>VLOOKUP(B32,Data!B:K,10,FALSE)</f>
        <v>Derbyshire Business Rates Pool</v>
      </c>
      <c r="K32" s="82">
        <f>VLOOKUP(B32,Data!B:L,11,FALSE)</f>
        <v>0</v>
      </c>
    </row>
    <row r="33" spans="1:11" x14ac:dyDescent="0.2">
      <c r="A33" s="82" t="s">
        <v>864</v>
      </c>
      <c r="B33" s="82" t="s">
        <v>112</v>
      </c>
      <c r="C33" s="82" t="s">
        <v>111</v>
      </c>
      <c r="D33" s="83">
        <v>94.463259628792002</v>
      </c>
      <c r="E33" s="68">
        <v>30.812393543533002</v>
      </c>
      <c r="F33" s="68">
        <v>63.650866085258997</v>
      </c>
      <c r="G33" s="68">
        <v>24.698833556968999</v>
      </c>
      <c r="H33" s="68">
        <v>58.877051128864579</v>
      </c>
      <c r="I33" s="81">
        <v>0</v>
      </c>
      <c r="J33" s="82" t="str">
        <f>VLOOKUP(B33,Data!B:K,10,FALSE)</f>
        <v>Greater Manchester &amp; Cheshire Business Rates Pool</v>
      </c>
      <c r="K33" s="82" t="str">
        <f>VLOOKUP(B33,Data!B:L,11,FALSE)</f>
        <v>Pilot</v>
      </c>
    </row>
    <row r="34" spans="1:11" hidden="1" x14ac:dyDescent="0.2">
      <c r="A34" s="82" t="s">
        <v>866</v>
      </c>
      <c r="B34" s="82" t="s">
        <v>115</v>
      </c>
      <c r="C34" s="82" t="s">
        <v>114</v>
      </c>
      <c r="D34" s="83">
        <v>3.4931347174990002</v>
      </c>
      <c r="E34" s="68">
        <v>0.96891084406499994</v>
      </c>
      <c r="F34" s="68">
        <v>2.5242238734340003</v>
      </c>
      <c r="G34" s="68">
        <v>-4.8300726014349999</v>
      </c>
      <c r="H34" s="68">
        <v>2.3349070829264504</v>
      </c>
      <c r="I34" s="81">
        <v>0.5</v>
      </c>
      <c r="J34" s="82" t="str">
        <f>VLOOKUP(B34,Data!B:K,10,FALSE)</f>
        <v>Lincolnshire Business Rates Pool</v>
      </c>
      <c r="K34" s="82">
        <f>VLOOKUP(B34,Data!B:L,11,FALSE)</f>
        <v>0</v>
      </c>
    </row>
    <row r="35" spans="1:11" hidden="1" x14ac:dyDescent="0.2">
      <c r="A35" s="82" t="s">
        <v>867</v>
      </c>
      <c r="B35" s="82" t="s">
        <v>119</v>
      </c>
      <c r="C35" s="82" t="s">
        <v>118</v>
      </c>
      <c r="D35" s="83">
        <v>41.360524713827999</v>
      </c>
      <c r="E35" s="68">
        <v>11.843761336102</v>
      </c>
      <c r="F35" s="68">
        <v>29.516763377726001</v>
      </c>
      <c r="G35" s="68">
        <v>-0.92941363543599997</v>
      </c>
      <c r="H35" s="68">
        <v>27.30300612439655</v>
      </c>
      <c r="I35" s="81">
        <v>3.2822329517844029E-2</v>
      </c>
      <c r="J35" s="82">
        <f>VLOOKUP(B35,Data!B:K,10,FALSE)</f>
        <v>0</v>
      </c>
      <c r="K35" s="82">
        <f>VLOOKUP(B35,Data!B:L,11,FALSE)</f>
        <v>0</v>
      </c>
    </row>
    <row r="36" spans="1:11" hidden="1" x14ac:dyDescent="0.2">
      <c r="A36" s="82" t="s">
        <v>869</v>
      </c>
      <c r="B36" s="82" t="s">
        <v>121</v>
      </c>
      <c r="C36" s="82" t="s">
        <v>120</v>
      </c>
      <c r="D36" s="83">
        <v>22.799713320555</v>
      </c>
      <c r="E36" s="68">
        <v>7.0809455548879994</v>
      </c>
      <c r="F36" s="68">
        <v>15.718767765667002</v>
      </c>
      <c r="G36" s="68">
        <v>-8.8993958792029986</v>
      </c>
      <c r="H36" s="68">
        <v>14.539860183241977</v>
      </c>
      <c r="I36" s="81">
        <v>0.3608264135335425</v>
      </c>
      <c r="J36" s="82">
        <f>VLOOKUP(B36,Data!B:K,10,FALSE)</f>
        <v>0</v>
      </c>
      <c r="K36" s="82">
        <f>VLOOKUP(B36,Data!B:L,11,FALSE)</f>
        <v>0</v>
      </c>
    </row>
    <row r="37" spans="1:11" hidden="1" x14ac:dyDescent="0.2">
      <c r="A37" s="82" t="s">
        <v>870</v>
      </c>
      <c r="B37" s="82" t="s">
        <v>124</v>
      </c>
      <c r="C37" s="82" t="s">
        <v>123</v>
      </c>
      <c r="D37" s="83">
        <v>192.89722331014701</v>
      </c>
      <c r="E37" s="68">
        <v>62.849044090859003</v>
      </c>
      <c r="F37" s="68">
        <v>130.04817921928802</v>
      </c>
      <c r="G37" s="68">
        <v>64.511967437050998</v>
      </c>
      <c r="H37" s="68">
        <v>120.29456577784141</v>
      </c>
      <c r="I37" s="81">
        <v>0</v>
      </c>
      <c r="J37" s="82" t="str">
        <f>VLOOKUP(B37,Data!B:K,10,FALSE)</f>
        <v>Leeds City Region Business Rates Pool</v>
      </c>
      <c r="K37" s="82">
        <f>VLOOKUP(B37,Data!B:L,11,FALSE)</f>
        <v>0</v>
      </c>
    </row>
    <row r="38" spans="1:11" hidden="1" x14ac:dyDescent="0.2">
      <c r="A38" s="82" t="s">
        <v>871</v>
      </c>
      <c r="B38" s="82" t="s">
        <v>128</v>
      </c>
      <c r="C38" s="82" t="s">
        <v>127</v>
      </c>
      <c r="D38" s="83">
        <v>4.0336777870929996</v>
      </c>
      <c r="E38" s="68">
        <v>0.77734722950699997</v>
      </c>
      <c r="F38" s="68">
        <v>3.2563305575859998</v>
      </c>
      <c r="G38" s="68">
        <v>-12.267607429300002</v>
      </c>
      <c r="H38" s="68">
        <v>3.0121057657670498</v>
      </c>
      <c r="I38" s="81">
        <v>0.5</v>
      </c>
      <c r="J38" s="82" t="str">
        <f>VLOOKUP(B38,Data!B:K,10,FALSE)</f>
        <v>Essex Business Rates Pool</v>
      </c>
      <c r="K38" s="82">
        <f>VLOOKUP(B38,Data!B:L,11,FALSE)</f>
        <v>0</v>
      </c>
    </row>
    <row r="39" spans="1:11" hidden="1" x14ac:dyDescent="0.2">
      <c r="A39" s="82" t="s">
        <v>872</v>
      </c>
      <c r="B39" s="82" t="s">
        <v>131</v>
      </c>
      <c r="C39" s="82" t="s">
        <v>130</v>
      </c>
      <c r="D39" s="83">
        <v>5.1487698701360003</v>
      </c>
      <c r="E39" s="68">
        <v>1.4512014622689999</v>
      </c>
      <c r="F39" s="68">
        <v>3.6975684078670001</v>
      </c>
      <c r="G39" s="68">
        <v>-7.9748413928460007</v>
      </c>
      <c r="H39" s="68">
        <v>3.420250777276975</v>
      </c>
      <c r="I39" s="81">
        <v>0.5</v>
      </c>
      <c r="J39" s="82" t="str">
        <f>VLOOKUP(B39,Data!B:K,10,FALSE)</f>
        <v>Norfolk Business Rates Pool</v>
      </c>
      <c r="K39" s="82">
        <f>VLOOKUP(B39,Data!B:L,11,FALSE)</f>
        <v>0</v>
      </c>
    </row>
    <row r="40" spans="1:11" hidden="1" x14ac:dyDescent="0.2">
      <c r="A40" s="82" t="s">
        <v>873</v>
      </c>
      <c r="B40" s="82" t="s">
        <v>135</v>
      </c>
      <c r="C40" s="82" t="s">
        <v>134</v>
      </c>
      <c r="D40" s="83">
        <v>125.18152257551</v>
      </c>
      <c r="E40" s="68">
        <v>42.701421881853996</v>
      </c>
      <c r="F40" s="68">
        <v>82.480100693655999</v>
      </c>
      <c r="G40" s="68">
        <v>49.451034533102998</v>
      </c>
      <c r="H40" s="68">
        <v>76.294093141631791</v>
      </c>
      <c r="I40" s="81">
        <v>0</v>
      </c>
      <c r="J40" s="82">
        <f>VLOOKUP(B40,Data!B:K,10,FALSE)</f>
        <v>0</v>
      </c>
      <c r="K40" s="82">
        <f>VLOOKUP(B40,Data!B:L,11,FALSE)</f>
        <v>0</v>
      </c>
    </row>
    <row r="41" spans="1:11" hidden="1" x14ac:dyDescent="0.2">
      <c r="A41" s="82" t="s">
        <v>874</v>
      </c>
      <c r="B41" s="82" t="s">
        <v>137</v>
      </c>
      <c r="C41" s="82" t="s">
        <v>136</v>
      </c>
      <c r="D41" s="83">
        <v>1.7826333936100001</v>
      </c>
      <c r="E41" s="68">
        <v>0.233122471857</v>
      </c>
      <c r="F41" s="68">
        <v>1.5495109217530001</v>
      </c>
      <c r="G41" s="68">
        <v>-9.5075709212239996</v>
      </c>
      <c r="H41" s="68">
        <v>1.4332976026215252</v>
      </c>
      <c r="I41" s="81">
        <v>0.5</v>
      </c>
      <c r="J41" s="82" t="str">
        <f>VLOOKUP(B41,Data!B:K,10,FALSE)</f>
        <v>Essex Business Rates Pool</v>
      </c>
      <c r="K41" s="82">
        <f>VLOOKUP(B41,Data!B:L,11,FALSE)</f>
        <v>0</v>
      </c>
    </row>
    <row r="42" spans="1:11" hidden="1" x14ac:dyDescent="0.2">
      <c r="A42" s="82" t="s">
        <v>875</v>
      </c>
      <c r="B42" s="82" t="s">
        <v>139</v>
      </c>
      <c r="C42" s="82" t="s">
        <v>138</v>
      </c>
      <c r="D42" s="83">
        <v>76.842817768328999</v>
      </c>
      <c r="E42" s="68">
        <v>21.618353179320998</v>
      </c>
      <c r="F42" s="68">
        <v>55.224464589008001</v>
      </c>
      <c r="G42" s="68">
        <v>-1.499756815492</v>
      </c>
      <c r="H42" s="68">
        <v>51.082629744832403</v>
      </c>
      <c r="I42" s="81">
        <v>1.9630105399916165E-2</v>
      </c>
      <c r="J42" s="82">
        <f>VLOOKUP(B42,Data!B:K,10,FALSE)</f>
        <v>0</v>
      </c>
      <c r="K42" s="82">
        <f>VLOOKUP(B42,Data!B:L,11,FALSE)</f>
        <v>0</v>
      </c>
    </row>
    <row r="43" spans="1:11" x14ac:dyDescent="0.2">
      <c r="A43" s="82" t="s">
        <v>876</v>
      </c>
      <c r="B43" s="82" t="s">
        <v>142</v>
      </c>
      <c r="C43" s="82" t="s">
        <v>141</v>
      </c>
      <c r="D43" s="83">
        <v>137.09684432288299</v>
      </c>
      <c r="E43" s="68">
        <v>41.843610096808</v>
      </c>
      <c r="F43" s="68">
        <v>95.253234226074994</v>
      </c>
      <c r="G43" s="68">
        <v>-4.0773684347890002</v>
      </c>
      <c r="H43" s="68">
        <v>88.109241659119363</v>
      </c>
      <c r="I43" s="81">
        <v>0</v>
      </c>
      <c r="J43" s="82">
        <f>VLOOKUP(B43,Data!B:K,10,FALSE)</f>
        <v>0</v>
      </c>
      <c r="K43" s="82" t="str">
        <f>VLOOKUP(B43,Data!B:L,11,FALSE)</f>
        <v>Pilot</v>
      </c>
    </row>
    <row r="44" spans="1:11" hidden="1" x14ac:dyDescent="0.2">
      <c r="A44" s="82" t="s">
        <v>877</v>
      </c>
      <c r="B44" s="82" t="s">
        <v>144</v>
      </c>
      <c r="C44" s="82" t="s">
        <v>143</v>
      </c>
      <c r="D44" s="83">
        <v>3.4891231696829998</v>
      </c>
      <c r="E44" s="68">
        <v>0.8037407900339999</v>
      </c>
      <c r="F44" s="68">
        <v>2.685382379649</v>
      </c>
      <c r="G44" s="68">
        <v>-8.4713617112540014</v>
      </c>
      <c r="H44" s="68">
        <v>2.4839787011753249</v>
      </c>
      <c r="I44" s="81">
        <v>0.5</v>
      </c>
      <c r="J44" s="82" t="str">
        <f>VLOOKUP(B44,Data!B:K,10,FALSE)</f>
        <v>Norfolk Business Rates Pool</v>
      </c>
      <c r="K44" s="82">
        <f>VLOOKUP(B44,Data!B:L,11,FALSE)</f>
        <v>0</v>
      </c>
    </row>
    <row r="45" spans="1:11" hidden="1" x14ac:dyDescent="0.2">
      <c r="A45" s="82" t="s">
        <v>878</v>
      </c>
      <c r="B45" s="82" t="s">
        <v>146</v>
      </c>
      <c r="C45" s="82" t="s">
        <v>145</v>
      </c>
      <c r="D45" s="83">
        <v>46.784148315875996</v>
      </c>
      <c r="E45" s="68">
        <v>10.855091449624</v>
      </c>
      <c r="F45" s="68">
        <v>35.929056866251997</v>
      </c>
      <c r="G45" s="68">
        <v>8.829998992618</v>
      </c>
      <c r="H45" s="68">
        <v>33.2343776012831</v>
      </c>
      <c r="I45" s="81">
        <v>0</v>
      </c>
      <c r="J45" s="82">
        <f>VLOOKUP(B45,Data!B:K,10,FALSE)</f>
        <v>0</v>
      </c>
      <c r="K45" s="82">
        <f>VLOOKUP(B45,Data!B:L,11,FALSE)</f>
        <v>0</v>
      </c>
    </row>
    <row r="46" spans="1:11" hidden="1" x14ac:dyDescent="0.2">
      <c r="A46" s="82" t="s">
        <v>879</v>
      </c>
      <c r="B46" s="82" t="s">
        <v>148</v>
      </c>
      <c r="C46" s="82" t="s">
        <v>147</v>
      </c>
      <c r="D46" s="83">
        <v>1.630695589481</v>
      </c>
      <c r="E46" s="68" t="s">
        <v>61</v>
      </c>
      <c r="F46" s="68">
        <v>1.630695589481</v>
      </c>
      <c r="G46" s="68">
        <v>-7.6396396769239994</v>
      </c>
      <c r="H46" s="68">
        <v>1.5083934202699252</v>
      </c>
      <c r="I46" s="81">
        <v>0.5</v>
      </c>
      <c r="J46" s="82" t="str">
        <f>VLOOKUP(B46,Data!B:K,10,FALSE)</f>
        <v>Greater Birmingham &amp; Solihull Business Rates Pool</v>
      </c>
      <c r="K46" s="82">
        <f>VLOOKUP(B46,Data!B:L,11,FALSE)</f>
        <v>0</v>
      </c>
    </row>
    <row r="47" spans="1:11" hidden="1" x14ac:dyDescent="0.2">
      <c r="A47" s="82" t="s">
        <v>880</v>
      </c>
      <c r="B47" s="82" t="s">
        <v>152</v>
      </c>
      <c r="C47" s="82" t="s">
        <v>151</v>
      </c>
      <c r="D47" s="83">
        <v>2.8731012820550004</v>
      </c>
      <c r="E47" s="68">
        <v>0.67466270410399998</v>
      </c>
      <c r="F47" s="68">
        <v>2.1984385779510003</v>
      </c>
      <c r="G47" s="68">
        <v>-12.403047284322</v>
      </c>
      <c r="H47" s="68">
        <v>2.0335556846046754</v>
      </c>
      <c r="I47" s="81">
        <v>0.5</v>
      </c>
      <c r="J47" s="82">
        <f>VLOOKUP(B47,Data!B:K,10,FALSE)</f>
        <v>0</v>
      </c>
      <c r="K47" s="82">
        <f>VLOOKUP(B47,Data!B:L,11,FALSE)</f>
        <v>0</v>
      </c>
    </row>
    <row r="48" spans="1:11" hidden="1" x14ac:dyDescent="0.2">
      <c r="A48" s="82" t="s">
        <v>881</v>
      </c>
      <c r="B48" s="82" t="s">
        <v>155</v>
      </c>
      <c r="C48" s="82" t="s">
        <v>154</v>
      </c>
      <c r="D48" s="83">
        <v>3.5081957554679999</v>
      </c>
      <c r="E48" s="68">
        <v>0.80233606963799997</v>
      </c>
      <c r="F48" s="68">
        <v>2.7058596858299997</v>
      </c>
      <c r="G48" s="68">
        <v>-7.2899654445120001</v>
      </c>
      <c r="H48" s="68">
        <v>2.5029202093927503</v>
      </c>
      <c r="I48" s="81">
        <v>0.5</v>
      </c>
      <c r="J48" s="82" t="str">
        <f>VLOOKUP(B48,Data!B:K,10,FALSE)</f>
        <v>Nottingham Business Rates Pool</v>
      </c>
      <c r="K48" s="82">
        <f>VLOOKUP(B48,Data!B:L,11,FALSE)</f>
        <v>0</v>
      </c>
    </row>
    <row r="49" spans="1:11" hidden="1" x14ac:dyDescent="0.2">
      <c r="A49" s="82" t="s">
        <v>882</v>
      </c>
      <c r="B49" s="82" t="s">
        <v>59</v>
      </c>
      <c r="C49" s="82" t="s">
        <v>791</v>
      </c>
      <c r="D49" s="83">
        <v>49.640197993748998</v>
      </c>
      <c r="E49" s="68">
        <v>8.076342860095</v>
      </c>
      <c r="F49" s="68">
        <v>41.563855133654002</v>
      </c>
      <c r="G49" s="68">
        <v>26.701937769003997</v>
      </c>
      <c r="H49" s="68">
        <v>38.44656599862995</v>
      </c>
      <c r="I49" s="81">
        <v>0</v>
      </c>
      <c r="J49" s="82" t="str">
        <f>VLOOKUP(B49,Data!B:K,10,FALSE)</f>
        <v>Buckinghamshire Business Rates Pool</v>
      </c>
      <c r="K49" s="82">
        <f>VLOOKUP(B49,Data!B:L,11,FALSE)</f>
        <v>0</v>
      </c>
    </row>
    <row r="50" spans="1:11" hidden="1" x14ac:dyDescent="0.2">
      <c r="A50" s="82" t="s">
        <v>883</v>
      </c>
      <c r="B50" s="82" t="s">
        <v>60</v>
      </c>
      <c r="C50" s="82" t="s">
        <v>884</v>
      </c>
      <c r="D50" s="83">
        <v>8.0417506990530008</v>
      </c>
      <c r="E50" s="68">
        <v>3.2364422381429998</v>
      </c>
      <c r="F50" s="68">
        <v>4.8053084609100001</v>
      </c>
      <c r="G50" s="68">
        <v>1.7261384712579999</v>
      </c>
      <c r="H50" s="68">
        <v>4.4449103263417502</v>
      </c>
      <c r="I50" s="81">
        <v>0</v>
      </c>
      <c r="J50" s="82" t="str">
        <f>VLOOKUP(B50,Data!B:K,10,FALSE)</f>
        <v>Buckinghamshire Business Rates Pool</v>
      </c>
      <c r="K50" s="82">
        <f>VLOOKUP(B50,Data!B:L,11,FALSE)</f>
        <v>0</v>
      </c>
    </row>
    <row r="51" spans="1:11" hidden="1" x14ac:dyDescent="0.2">
      <c r="A51" s="82" t="s">
        <v>885</v>
      </c>
      <c r="B51" s="82" t="s">
        <v>157</v>
      </c>
      <c r="C51" s="82" t="s">
        <v>156</v>
      </c>
      <c r="D51" s="83">
        <v>6.7599501639589992</v>
      </c>
      <c r="E51" s="68">
        <v>2.7774756074259996</v>
      </c>
      <c r="F51" s="68">
        <v>3.982474556533</v>
      </c>
      <c r="G51" s="68">
        <v>-5.7221276953700002</v>
      </c>
      <c r="H51" s="68">
        <v>3.6837889647930249</v>
      </c>
      <c r="I51" s="81">
        <v>0.5</v>
      </c>
      <c r="J51" s="82">
        <f>VLOOKUP(B51,Data!B:K,10,FALSE)</f>
        <v>0</v>
      </c>
      <c r="K51" s="82">
        <f>VLOOKUP(B51,Data!B:L,11,FALSE)</f>
        <v>0</v>
      </c>
    </row>
    <row r="52" spans="1:11" x14ac:dyDescent="0.2">
      <c r="A52" s="82" t="s">
        <v>886</v>
      </c>
      <c r="B52" s="82" t="s">
        <v>160</v>
      </c>
      <c r="C52" s="82" t="s">
        <v>159</v>
      </c>
      <c r="D52" s="83">
        <v>48.93899015945</v>
      </c>
      <c r="E52" s="68">
        <v>15.311400705499999</v>
      </c>
      <c r="F52" s="68">
        <v>33.627589453950002</v>
      </c>
      <c r="G52" s="68">
        <v>10.150518082694999</v>
      </c>
      <c r="H52" s="68">
        <v>31.105520244903754</v>
      </c>
      <c r="I52" s="81">
        <v>0</v>
      </c>
      <c r="J52" s="82" t="str">
        <f>VLOOKUP(B52,Data!B:K,10,FALSE)</f>
        <v>Greater Manchester &amp; Cheshire Business Rates Pool</v>
      </c>
      <c r="K52" s="82" t="str">
        <f>VLOOKUP(B52,Data!B:L,11,FALSE)</f>
        <v>Pilot</v>
      </c>
    </row>
    <row r="53" spans="1:11" hidden="1" x14ac:dyDescent="0.2">
      <c r="A53" s="82" t="s">
        <v>887</v>
      </c>
      <c r="B53" s="82" t="s">
        <v>162</v>
      </c>
      <c r="C53" s="82" t="s">
        <v>161</v>
      </c>
      <c r="D53" s="83">
        <v>56.927463032094998</v>
      </c>
      <c r="E53" s="68">
        <v>17.491605246380999</v>
      </c>
      <c r="F53" s="68">
        <v>39.435857785713999</v>
      </c>
      <c r="G53" s="68">
        <v>12.859236588431001</v>
      </c>
      <c r="H53" s="68">
        <v>36.47816845178545</v>
      </c>
      <c r="I53" s="81">
        <v>0</v>
      </c>
      <c r="J53" s="82" t="str">
        <f>VLOOKUP(B53,Data!B:K,10,FALSE)</f>
        <v>Leeds City Region Business Rates Pool</v>
      </c>
      <c r="K53" s="82">
        <f>VLOOKUP(B53,Data!B:L,11,FALSE)</f>
        <v>0</v>
      </c>
    </row>
    <row r="54" spans="1:11" hidden="1" x14ac:dyDescent="0.2">
      <c r="A54" s="82" t="s">
        <v>888</v>
      </c>
      <c r="B54" s="82" t="s">
        <v>164</v>
      </c>
      <c r="C54" s="82" t="s">
        <v>163</v>
      </c>
      <c r="D54" s="83">
        <v>5.0928533595059999</v>
      </c>
      <c r="E54" s="68">
        <v>1.103575448887</v>
      </c>
      <c r="F54" s="68">
        <v>3.9892779106190002</v>
      </c>
      <c r="G54" s="68">
        <v>-35.212923889814</v>
      </c>
      <c r="H54" s="68">
        <v>3.6900820673225749</v>
      </c>
      <c r="I54" s="81">
        <v>0.5</v>
      </c>
      <c r="J54" s="82">
        <f>VLOOKUP(B54,Data!B:K,10,FALSE)</f>
        <v>0</v>
      </c>
      <c r="K54" s="82">
        <f>VLOOKUP(B54,Data!B:L,11,FALSE)</f>
        <v>0</v>
      </c>
    </row>
    <row r="55" spans="1:11" hidden="1" x14ac:dyDescent="0.2">
      <c r="A55" s="82" t="s">
        <v>889</v>
      </c>
      <c r="B55" s="82" t="s">
        <v>165</v>
      </c>
      <c r="C55" s="82" t="s">
        <v>792</v>
      </c>
      <c r="D55" s="83">
        <v>76.380190331918996</v>
      </c>
      <c r="E55" s="68">
        <v>15.312100283595999</v>
      </c>
      <c r="F55" s="68">
        <v>61.068090048323</v>
      </c>
      <c r="G55" s="68">
        <v>37.541490721628001</v>
      </c>
      <c r="H55" s="68">
        <v>56.487983294698772</v>
      </c>
      <c r="I55" s="81">
        <v>0</v>
      </c>
      <c r="J55" s="82">
        <f>VLOOKUP(B55,Data!B:K,10,FALSE)</f>
        <v>0</v>
      </c>
      <c r="K55" s="82">
        <f>VLOOKUP(B55,Data!B:L,11,FALSE)</f>
        <v>0</v>
      </c>
    </row>
    <row r="56" spans="1:11" hidden="1" x14ac:dyDescent="0.2">
      <c r="A56" s="82" t="s">
        <v>890</v>
      </c>
      <c r="B56" s="82" t="s">
        <v>166</v>
      </c>
      <c r="C56" s="82" t="s">
        <v>891</v>
      </c>
      <c r="D56" s="83">
        <v>9.5143068950469996</v>
      </c>
      <c r="E56" s="68">
        <v>3.803213037091</v>
      </c>
      <c r="F56" s="68">
        <v>5.7110938579559996</v>
      </c>
      <c r="G56" s="68">
        <v>2.2474569645679998</v>
      </c>
      <c r="H56" s="68">
        <v>5.2827618186093002</v>
      </c>
      <c r="I56" s="81">
        <v>0</v>
      </c>
      <c r="J56" s="82">
        <f>VLOOKUP(B56,Data!B:K,10,FALSE)</f>
        <v>0</v>
      </c>
      <c r="K56" s="82">
        <f>VLOOKUP(B56,Data!B:L,11,FALSE)</f>
        <v>0</v>
      </c>
    </row>
    <row r="57" spans="1:11" hidden="1" x14ac:dyDescent="0.2">
      <c r="A57" s="82" t="s">
        <v>892</v>
      </c>
      <c r="B57" s="82" t="s">
        <v>168</v>
      </c>
      <c r="C57" s="82" t="s">
        <v>167</v>
      </c>
      <c r="D57" s="83">
        <v>126.55084554755399</v>
      </c>
      <c r="E57" s="68">
        <v>41.114470295175003</v>
      </c>
      <c r="F57" s="68">
        <v>85.436375252378994</v>
      </c>
      <c r="G57" s="68">
        <v>-93.806168286965004</v>
      </c>
      <c r="H57" s="68">
        <v>79.028647108450571</v>
      </c>
      <c r="I57" s="81">
        <v>0.5</v>
      </c>
      <c r="J57" s="82">
        <f>VLOOKUP(B57,Data!B:K,10,FALSE)</f>
        <v>0</v>
      </c>
      <c r="K57" s="82">
        <f>VLOOKUP(B57,Data!B:L,11,FALSE)</f>
        <v>0</v>
      </c>
    </row>
    <row r="58" spans="1:11" hidden="1" x14ac:dyDescent="0.2">
      <c r="A58" s="82" t="s">
        <v>893</v>
      </c>
      <c r="B58" s="82" t="s">
        <v>170</v>
      </c>
      <c r="C58" s="82" t="s">
        <v>169</v>
      </c>
      <c r="D58" s="83">
        <v>3.620268710081</v>
      </c>
      <c r="E58" s="68">
        <v>0.77611135371000006</v>
      </c>
      <c r="F58" s="68">
        <v>2.8441573563709999</v>
      </c>
      <c r="G58" s="68">
        <v>-8.8038305844919993</v>
      </c>
      <c r="H58" s="68">
        <v>2.6308455546431753</v>
      </c>
      <c r="I58" s="81">
        <v>0.5</v>
      </c>
      <c r="J58" s="82" t="str">
        <f>VLOOKUP(B58,Data!B:K,10,FALSE)</f>
        <v>Greater Birmingham &amp; Solihull Business Rates Pool</v>
      </c>
      <c r="K58" s="82">
        <f>VLOOKUP(B58,Data!B:L,11,FALSE)</f>
        <v>0</v>
      </c>
    </row>
    <row r="59" spans="1:11" hidden="1" x14ac:dyDescent="0.2">
      <c r="A59" s="82" t="s">
        <v>894</v>
      </c>
      <c r="B59" s="82" t="s">
        <v>174</v>
      </c>
      <c r="C59" s="82" t="s">
        <v>173</v>
      </c>
      <c r="D59" s="83">
        <v>5.3755159807370001</v>
      </c>
      <c r="E59" s="68">
        <v>0.99815205864400003</v>
      </c>
      <c r="F59" s="68">
        <v>4.3773639220930001</v>
      </c>
      <c r="G59" s="68">
        <v>-15.688280299549</v>
      </c>
      <c r="H59" s="68">
        <v>4.0490616279360259</v>
      </c>
      <c r="I59" s="81">
        <v>0.5</v>
      </c>
      <c r="J59" s="82" t="str">
        <f>VLOOKUP(B59,Data!B:K,10,FALSE)</f>
        <v>Kent Business Rates Pool</v>
      </c>
      <c r="K59" s="82">
        <f>VLOOKUP(B59,Data!B:L,11,FALSE)</f>
        <v>0</v>
      </c>
    </row>
    <row r="60" spans="1:11" hidden="1" x14ac:dyDescent="0.2">
      <c r="A60" s="82" t="s">
        <v>895</v>
      </c>
      <c r="B60" s="82" t="s">
        <v>176</v>
      </c>
      <c r="C60" s="82" t="s">
        <v>175</v>
      </c>
      <c r="D60" s="83">
        <v>4.0002705613579996</v>
      </c>
      <c r="E60" s="68">
        <v>0.88565528535899996</v>
      </c>
      <c r="F60" s="68">
        <v>3.1146152759989998</v>
      </c>
      <c r="G60" s="68">
        <v>-11.720641514125001</v>
      </c>
      <c r="H60" s="68">
        <v>2.8810191302990749</v>
      </c>
      <c r="I60" s="81">
        <v>0.5</v>
      </c>
      <c r="J60" s="82" t="str">
        <f>VLOOKUP(B60,Data!B:K,10,FALSE)</f>
        <v>Cumbria Business Rates Pool</v>
      </c>
      <c r="K60" s="82">
        <f>VLOOKUP(B60,Data!B:L,11,FALSE)</f>
        <v>0</v>
      </c>
    </row>
    <row r="61" spans="1:11" hidden="1" x14ac:dyDescent="0.2">
      <c r="A61" s="82" t="s">
        <v>896</v>
      </c>
      <c r="B61" s="82" t="s">
        <v>178</v>
      </c>
      <c r="C61" s="82" t="s">
        <v>177</v>
      </c>
      <c r="D61" s="83">
        <v>2.4004377878100001</v>
      </c>
      <c r="E61" s="68">
        <v>0.28687499691099999</v>
      </c>
      <c r="F61" s="68">
        <v>2.113562790899</v>
      </c>
      <c r="G61" s="68">
        <v>-3.5575459967500001</v>
      </c>
      <c r="H61" s="68">
        <v>1.9550455815815753</v>
      </c>
      <c r="I61" s="81">
        <v>0.5</v>
      </c>
      <c r="J61" s="82" t="str">
        <f>VLOOKUP(B61,Data!B:K,10,FALSE)</f>
        <v>Essex Business Rates Pool</v>
      </c>
      <c r="K61" s="82">
        <f>VLOOKUP(B61,Data!B:L,11,FALSE)</f>
        <v>0</v>
      </c>
    </row>
    <row r="62" spans="1:11" hidden="1" x14ac:dyDescent="0.2">
      <c r="A62" s="82" t="s">
        <v>897</v>
      </c>
      <c r="B62" s="82" t="s">
        <v>180</v>
      </c>
      <c r="C62" s="82" t="s">
        <v>898</v>
      </c>
      <c r="D62" s="83">
        <v>40.644517547141</v>
      </c>
      <c r="E62" s="68">
        <v>10.599114189589999</v>
      </c>
      <c r="F62" s="68">
        <v>30.045403357551002</v>
      </c>
      <c r="G62" s="68">
        <v>-6.6554315069359999</v>
      </c>
      <c r="H62" s="68">
        <v>27.791998105734677</v>
      </c>
      <c r="I62" s="81">
        <v>0.17658417835754459</v>
      </c>
      <c r="J62" s="82">
        <f>VLOOKUP(B62,Data!B:K,10,FALSE)</f>
        <v>0</v>
      </c>
      <c r="K62" s="82">
        <f>VLOOKUP(B62,Data!B:L,11,FALSE)</f>
        <v>0</v>
      </c>
    </row>
    <row r="63" spans="1:11" hidden="1" x14ac:dyDescent="0.2">
      <c r="A63" s="82" t="s">
        <v>899</v>
      </c>
      <c r="B63" s="82" t="s">
        <v>182</v>
      </c>
      <c r="C63" s="82" t="s">
        <v>181</v>
      </c>
      <c r="D63" s="83">
        <v>5.273537452986</v>
      </c>
      <c r="E63" s="68">
        <v>1.2646660840570001</v>
      </c>
      <c r="F63" s="68">
        <v>4.0088713689290003</v>
      </c>
      <c r="G63" s="68">
        <v>-14.614949526324001</v>
      </c>
      <c r="H63" s="68">
        <v>3.7082060162593251</v>
      </c>
      <c r="I63" s="81">
        <v>0.5</v>
      </c>
      <c r="J63" s="82" t="str">
        <f>VLOOKUP(B63,Data!B:K,10,FALSE)</f>
        <v>Leicestershire Business Rates Pool</v>
      </c>
      <c r="K63" s="82">
        <f>VLOOKUP(B63,Data!B:L,11,FALSE)</f>
        <v>0</v>
      </c>
    </row>
    <row r="64" spans="1:11" hidden="1" x14ac:dyDescent="0.2">
      <c r="A64" s="82" t="s">
        <v>900</v>
      </c>
      <c r="B64" s="82" t="s">
        <v>184</v>
      </c>
      <c r="C64" s="82" t="s">
        <v>183</v>
      </c>
      <c r="D64" s="83">
        <v>3.4324953616379998</v>
      </c>
      <c r="E64" s="68">
        <v>0.24974782201999998</v>
      </c>
      <c r="F64" s="68">
        <v>3.1827475396180001</v>
      </c>
      <c r="G64" s="68">
        <v>-25.670397525833</v>
      </c>
      <c r="H64" s="68">
        <v>2.9440414741466503</v>
      </c>
      <c r="I64" s="81">
        <v>0.5</v>
      </c>
      <c r="J64" s="82">
        <f>VLOOKUP(B64,Data!B:K,10,FALSE)</f>
        <v>0</v>
      </c>
      <c r="K64" s="82">
        <f>VLOOKUP(B64,Data!B:L,11,FALSE)</f>
        <v>0</v>
      </c>
    </row>
    <row r="65" spans="1:11" hidden="1" x14ac:dyDescent="0.2">
      <c r="A65" s="82" t="s">
        <v>901</v>
      </c>
      <c r="B65" s="82" t="s">
        <v>186</v>
      </c>
      <c r="C65" s="82" t="s">
        <v>185</v>
      </c>
      <c r="D65" s="83">
        <v>3.1975591378849999</v>
      </c>
      <c r="E65" s="68">
        <v>0.54402684080500008</v>
      </c>
      <c r="F65" s="68">
        <v>2.6535322970799999</v>
      </c>
      <c r="G65" s="68">
        <v>-17.818354954370001</v>
      </c>
      <c r="H65" s="68">
        <v>2.4545173747989999</v>
      </c>
      <c r="I65" s="81">
        <v>0.5</v>
      </c>
      <c r="J65" s="82" t="str">
        <f>VLOOKUP(B65,Data!B:K,10,FALSE)</f>
        <v>Gloucestershire Business Rates Pool</v>
      </c>
      <c r="K65" s="82">
        <f>VLOOKUP(B65,Data!B:L,11,FALSE)</f>
        <v>0</v>
      </c>
    </row>
    <row r="66" spans="1:11" hidden="1" x14ac:dyDescent="0.2">
      <c r="A66" s="82" t="s">
        <v>902</v>
      </c>
      <c r="B66" s="82" t="s">
        <v>190</v>
      </c>
      <c r="C66" s="82" t="s">
        <v>189</v>
      </c>
      <c r="D66" s="83">
        <v>4.6717250627199993</v>
      </c>
      <c r="E66" s="68">
        <v>1.1054333773589999</v>
      </c>
      <c r="F66" s="68">
        <v>3.5662916853609996</v>
      </c>
      <c r="G66" s="68">
        <v>-27.093098122182997</v>
      </c>
      <c r="H66" s="68">
        <v>3.2988198089589247</v>
      </c>
      <c r="I66" s="81">
        <v>0.5</v>
      </c>
      <c r="J66" s="82" t="str">
        <f>VLOOKUP(B66,Data!B:K,10,FALSE)</f>
        <v>North Oxfordshire Business Rates Pool</v>
      </c>
      <c r="K66" s="82">
        <f>VLOOKUP(B66,Data!B:L,11,FALSE)</f>
        <v>0</v>
      </c>
    </row>
    <row r="67" spans="1:11" hidden="1" x14ac:dyDescent="0.2">
      <c r="A67" s="82" t="s">
        <v>904</v>
      </c>
      <c r="B67" s="82" t="s">
        <v>193</v>
      </c>
      <c r="C67" s="82" t="s">
        <v>905</v>
      </c>
      <c r="D67" s="83">
        <v>53.138654799591002</v>
      </c>
      <c r="E67" s="68">
        <v>13.415285307352001</v>
      </c>
      <c r="F67" s="68">
        <v>39.723369492239001</v>
      </c>
      <c r="G67" s="68">
        <v>-23.414468543123</v>
      </c>
      <c r="H67" s="68">
        <v>36.744116780321079</v>
      </c>
      <c r="I67" s="81">
        <v>0.36690564017012395</v>
      </c>
      <c r="J67" s="82" t="str">
        <f>VLOOKUP(B67,Data!B:K,10,FALSE)</f>
        <v>Greater Manchester &amp; Cheshire Business Rates Pool</v>
      </c>
      <c r="K67" s="82">
        <f>VLOOKUP(B67,Data!B:L,11,FALSE)</f>
        <v>0</v>
      </c>
    </row>
    <row r="68" spans="1:11" hidden="1" x14ac:dyDescent="0.2">
      <c r="A68" s="82" t="s">
        <v>906</v>
      </c>
      <c r="B68" s="82" t="s">
        <v>194</v>
      </c>
      <c r="C68" s="82" t="s">
        <v>907</v>
      </c>
      <c r="D68" s="83">
        <v>14.339190628809</v>
      </c>
      <c r="E68" s="68">
        <v>5.4962867645889997</v>
      </c>
      <c r="F68" s="68">
        <v>8.8429038642200002</v>
      </c>
      <c r="G68" s="68">
        <v>4.8186669697570004</v>
      </c>
      <c r="H68" s="68">
        <v>8.1796860744035005</v>
      </c>
      <c r="I68" s="81">
        <v>0</v>
      </c>
      <c r="J68" s="82">
        <f>VLOOKUP(B68,Data!B:K,10,FALSE)</f>
        <v>0</v>
      </c>
      <c r="K68" s="82">
        <f>VLOOKUP(B68,Data!B:L,11,FALSE)</f>
        <v>0</v>
      </c>
    </row>
    <row r="69" spans="1:11" hidden="1" x14ac:dyDescent="0.2">
      <c r="A69" s="82" t="s">
        <v>908</v>
      </c>
      <c r="B69" s="82" t="s">
        <v>195</v>
      </c>
      <c r="C69" s="82" t="s">
        <v>909</v>
      </c>
      <c r="D69" s="83">
        <v>68.686543205432002</v>
      </c>
      <c r="E69" s="68">
        <v>19.235682160661</v>
      </c>
      <c r="F69" s="68">
        <v>49.450861044771003</v>
      </c>
      <c r="G69" s="68">
        <v>-17.359069357983</v>
      </c>
      <c r="H69" s="68">
        <v>45.742046466413179</v>
      </c>
      <c r="I69" s="81">
        <v>0.25354501384417116</v>
      </c>
      <c r="J69" s="82" t="str">
        <f>VLOOKUP(B69,Data!B:K,10,FALSE)</f>
        <v>Greater Manchester &amp; Cheshire Business Rates Pool</v>
      </c>
      <c r="K69" s="82">
        <f>VLOOKUP(B69,Data!B:L,11,FALSE)</f>
        <v>0</v>
      </c>
    </row>
    <row r="70" spans="1:11" hidden="1" x14ac:dyDescent="0.2">
      <c r="A70" s="82" t="s">
        <v>910</v>
      </c>
      <c r="B70" s="82" t="s">
        <v>197</v>
      </c>
      <c r="C70" s="82" t="s">
        <v>196</v>
      </c>
      <c r="D70" s="83">
        <v>4.3898870658939995</v>
      </c>
      <c r="E70" s="68">
        <v>1.2394651017829998</v>
      </c>
      <c r="F70" s="68">
        <v>3.1504219641109996</v>
      </c>
      <c r="G70" s="68">
        <v>-10.887543049426</v>
      </c>
      <c r="H70" s="68">
        <v>2.9141403168026749</v>
      </c>
      <c r="I70" s="81">
        <v>0.5</v>
      </c>
      <c r="J70" s="82" t="str">
        <f>VLOOKUP(B70,Data!B:K,10,FALSE)</f>
        <v>Derbyshire Business Rates Pool</v>
      </c>
      <c r="K70" s="82">
        <f>VLOOKUP(B70,Data!B:L,11,FALSE)</f>
        <v>0</v>
      </c>
    </row>
    <row r="71" spans="1:11" hidden="1" x14ac:dyDescent="0.2">
      <c r="A71" s="82" t="s">
        <v>911</v>
      </c>
      <c r="B71" s="82" t="s">
        <v>199</v>
      </c>
      <c r="C71" s="82" t="s">
        <v>198</v>
      </c>
      <c r="D71" s="83">
        <v>2.2925761928799999</v>
      </c>
      <c r="E71" s="68">
        <v>0.18959582693800001</v>
      </c>
      <c r="F71" s="68">
        <v>2.1029803659419999</v>
      </c>
      <c r="G71" s="68">
        <v>-16.243824910309002</v>
      </c>
      <c r="H71" s="68">
        <v>1.94525683849635</v>
      </c>
      <c r="I71" s="81">
        <v>0.5</v>
      </c>
      <c r="J71" s="82" t="str">
        <f>VLOOKUP(B71,Data!B:K,10,FALSE)</f>
        <v>West Sussex Business Rates Pool</v>
      </c>
      <c r="K71" s="82">
        <f>VLOOKUP(B71,Data!B:L,11,FALSE)</f>
        <v>0</v>
      </c>
    </row>
    <row r="72" spans="1:11" hidden="1" x14ac:dyDescent="0.2">
      <c r="A72" s="82" t="s">
        <v>912</v>
      </c>
      <c r="B72" s="82" t="s">
        <v>201</v>
      </c>
      <c r="C72" s="82" t="s">
        <v>200</v>
      </c>
      <c r="D72" s="83">
        <v>1.394454875636</v>
      </c>
      <c r="E72" s="68" t="s">
        <v>61</v>
      </c>
      <c r="F72" s="68">
        <v>1.394454875636</v>
      </c>
      <c r="G72" s="68">
        <v>-6.9582279068400004</v>
      </c>
      <c r="H72" s="68">
        <v>1.2898707599633001</v>
      </c>
      <c r="I72" s="81">
        <v>0.5</v>
      </c>
      <c r="J72" s="82" t="str">
        <f>VLOOKUP(B72,Data!B:K,10,FALSE)</f>
        <v>Buckinghamshire Business Rates Pool</v>
      </c>
      <c r="K72" s="82">
        <f>VLOOKUP(B72,Data!B:L,11,FALSE)</f>
        <v>0</v>
      </c>
    </row>
    <row r="73" spans="1:11" hidden="1" x14ac:dyDescent="0.2">
      <c r="A73" s="82" t="s">
        <v>913</v>
      </c>
      <c r="B73" s="82" t="s">
        <v>203</v>
      </c>
      <c r="C73" s="82" t="s">
        <v>202</v>
      </c>
      <c r="D73" s="83">
        <v>3.4539935253379999</v>
      </c>
      <c r="E73" s="68">
        <v>0.70744201735900003</v>
      </c>
      <c r="F73" s="68">
        <v>2.7465515079789999</v>
      </c>
      <c r="G73" s="68">
        <v>-6.2031402349319995</v>
      </c>
      <c r="H73" s="68">
        <v>2.5405601448805752</v>
      </c>
      <c r="I73" s="81">
        <v>0.5</v>
      </c>
      <c r="J73" s="82" t="str">
        <f>VLOOKUP(B73,Data!B:K,10,FALSE)</f>
        <v>Lancashire Business Rates Pool</v>
      </c>
      <c r="K73" s="82">
        <f>VLOOKUP(B73,Data!B:L,11,FALSE)</f>
        <v>0</v>
      </c>
    </row>
    <row r="74" spans="1:11" hidden="1" x14ac:dyDescent="0.2">
      <c r="A74" s="82" t="s">
        <v>915</v>
      </c>
      <c r="B74" s="82" t="s">
        <v>205</v>
      </c>
      <c r="C74" s="82" t="s">
        <v>204</v>
      </c>
      <c r="D74" s="83">
        <v>0.93802042172199995</v>
      </c>
      <c r="E74" s="68">
        <v>8.3813233450000003E-3</v>
      </c>
      <c r="F74" s="68">
        <v>0.92963909837699998</v>
      </c>
      <c r="G74" s="68">
        <v>-6.3559689742400005</v>
      </c>
      <c r="H74" s="68">
        <v>0.859916165998725</v>
      </c>
      <c r="I74" s="81">
        <v>0.5</v>
      </c>
      <c r="J74" s="82">
        <f>VLOOKUP(B74,Data!B:K,10,FALSE)</f>
        <v>0</v>
      </c>
      <c r="K74" s="82">
        <f>VLOOKUP(B74,Data!B:L,11,FALSE)</f>
        <v>0</v>
      </c>
    </row>
    <row r="75" spans="1:11" s="88" customFormat="1" hidden="1" x14ac:dyDescent="0.2">
      <c r="A75" s="85" t="s">
        <v>916</v>
      </c>
      <c r="B75" s="82" t="s">
        <v>208</v>
      </c>
      <c r="C75" s="85" t="s">
        <v>207</v>
      </c>
      <c r="D75" s="86">
        <v>24.404548210713997</v>
      </c>
      <c r="E75" s="87">
        <v>8.8334002020059987</v>
      </c>
      <c r="F75" s="87">
        <v>15.571148008708001</v>
      </c>
      <c r="G75" s="87">
        <v>-259.48367231731402</v>
      </c>
      <c r="H75" s="87">
        <v>14.403311908054901</v>
      </c>
      <c r="I75" s="81">
        <v>0.5</v>
      </c>
      <c r="J75" s="82">
        <f>VLOOKUP(B75,Data!B:K,10,FALSE)</f>
        <v>0</v>
      </c>
      <c r="K75" s="82">
        <f>VLOOKUP(B75,Data!B:L,11,FALSE)</f>
        <v>0</v>
      </c>
    </row>
    <row r="76" spans="1:11" hidden="1" x14ac:dyDescent="0.2">
      <c r="A76" s="82" t="s">
        <v>917</v>
      </c>
      <c r="B76" s="82" t="s">
        <v>347</v>
      </c>
      <c r="C76" s="82" t="s">
        <v>918</v>
      </c>
      <c r="D76" s="83">
        <v>15.190678552626999</v>
      </c>
      <c r="E76" s="68">
        <v>6.4449270185319998</v>
      </c>
      <c r="F76" s="68">
        <v>8.7457515340949996</v>
      </c>
      <c r="G76" s="68">
        <v>6.8867723603809994</v>
      </c>
      <c r="H76" s="68">
        <v>8.0898201690378766</v>
      </c>
      <c r="I76" s="81">
        <v>0</v>
      </c>
      <c r="J76" s="82">
        <f>VLOOKUP(B76,Data!B:K,10,FALSE)</f>
        <v>0</v>
      </c>
      <c r="K76" s="82">
        <f>VLOOKUP(B76,Data!B:L,11,FALSE)</f>
        <v>0</v>
      </c>
    </row>
    <row r="77" spans="1:11" hidden="1" x14ac:dyDescent="0.2">
      <c r="A77" s="82" t="s">
        <v>919</v>
      </c>
      <c r="B77" s="82" t="s">
        <v>210</v>
      </c>
      <c r="C77" s="82" t="s">
        <v>209</v>
      </c>
      <c r="D77" s="83">
        <v>4.9608752150919999</v>
      </c>
      <c r="E77" s="68">
        <v>0.92011396679400004</v>
      </c>
      <c r="F77" s="68">
        <v>4.0407612482979998</v>
      </c>
      <c r="G77" s="68">
        <v>-19.055091581943003</v>
      </c>
      <c r="H77" s="68">
        <v>3.7377041546756504</v>
      </c>
      <c r="I77" s="81">
        <v>0.5</v>
      </c>
      <c r="J77" s="82" t="str">
        <f>VLOOKUP(B77,Data!B:K,10,FALSE)</f>
        <v>Essex Business Rates Pool</v>
      </c>
      <c r="K77" s="82">
        <f>VLOOKUP(B77,Data!B:L,11,FALSE)</f>
        <v>0</v>
      </c>
    </row>
    <row r="78" spans="1:11" hidden="1" x14ac:dyDescent="0.2">
      <c r="A78" s="82" t="s">
        <v>920</v>
      </c>
      <c r="B78" s="82" t="s">
        <v>212</v>
      </c>
      <c r="C78" s="82" t="s">
        <v>211</v>
      </c>
      <c r="D78" s="83">
        <v>3.0343533914789997</v>
      </c>
      <c r="E78" s="68">
        <v>0.67928754398800006</v>
      </c>
      <c r="F78" s="68">
        <v>2.3550658474909998</v>
      </c>
      <c r="G78" s="68">
        <v>-10.707263903524</v>
      </c>
      <c r="H78" s="68">
        <v>2.1784359089291749</v>
      </c>
      <c r="I78" s="81">
        <v>0.5</v>
      </c>
      <c r="J78" s="82">
        <f>VLOOKUP(B78,Data!B:K,10,FALSE)</f>
        <v>0</v>
      </c>
      <c r="K78" s="82">
        <f>VLOOKUP(B78,Data!B:L,11,FALSE)</f>
        <v>0</v>
      </c>
    </row>
    <row r="79" spans="1:11" hidden="1" x14ac:dyDescent="0.2">
      <c r="A79" s="82" t="s">
        <v>921</v>
      </c>
      <c r="B79" s="82" t="s">
        <v>214</v>
      </c>
      <c r="C79" s="82" t="s">
        <v>213</v>
      </c>
      <c r="D79" s="83">
        <v>2.616756600829</v>
      </c>
      <c r="E79" s="68">
        <v>0.64206607146899997</v>
      </c>
      <c r="F79" s="68">
        <v>1.9746905293600001</v>
      </c>
      <c r="G79" s="68">
        <v>-9.4947811257049999</v>
      </c>
      <c r="H79" s="68">
        <v>1.8265887396580003</v>
      </c>
      <c r="I79" s="81">
        <v>0.5</v>
      </c>
      <c r="J79" s="82" t="str">
        <f>VLOOKUP(B79,Data!B:K,10,FALSE)</f>
        <v>Northamptonshire Business Rates Pool</v>
      </c>
      <c r="K79" s="82">
        <f>VLOOKUP(B79,Data!B:L,11,FALSE)</f>
        <v>0</v>
      </c>
    </row>
    <row r="80" spans="1:11" x14ac:dyDescent="0.2">
      <c r="A80" s="82" t="s">
        <v>922</v>
      </c>
      <c r="B80" s="82" t="s">
        <v>218</v>
      </c>
      <c r="C80" s="82" t="s">
        <v>923</v>
      </c>
      <c r="D80" s="83">
        <v>147.69667626139301</v>
      </c>
      <c r="E80" s="68">
        <v>42.976679896747001</v>
      </c>
      <c r="F80" s="68">
        <v>104.71999636464601</v>
      </c>
      <c r="G80" s="68">
        <v>25.570225554333998</v>
      </c>
      <c r="H80" s="68">
        <v>96.865996637297556</v>
      </c>
      <c r="I80" s="81">
        <v>0</v>
      </c>
      <c r="J80" s="82">
        <f>VLOOKUP(B80,Data!B:K,10,FALSE)</f>
        <v>0</v>
      </c>
      <c r="K80" s="82" t="str">
        <f>VLOOKUP(B80,Data!B:L,11,FALSE)</f>
        <v>Pilot</v>
      </c>
    </row>
    <row r="81" spans="1:11" hidden="1" x14ac:dyDescent="0.2">
      <c r="A81" s="82" t="s">
        <v>924</v>
      </c>
      <c r="B81" s="82" t="s">
        <v>220</v>
      </c>
      <c r="C81" s="82" t="s">
        <v>219</v>
      </c>
      <c r="D81" s="83">
        <v>2.140460372962</v>
      </c>
      <c r="E81" s="68">
        <v>0.38636180038700002</v>
      </c>
      <c r="F81" s="68">
        <v>1.754098572575</v>
      </c>
      <c r="G81" s="68">
        <v>-10.721494127033999</v>
      </c>
      <c r="H81" s="68">
        <v>1.6225411796318752</v>
      </c>
      <c r="I81" s="81">
        <v>0.5</v>
      </c>
      <c r="J81" s="82" t="str">
        <f>VLOOKUP(B81,Data!B:K,10,FALSE)</f>
        <v>Gloucestershire Business Rates Pool</v>
      </c>
      <c r="K81" s="82">
        <f>VLOOKUP(B81,Data!B:L,11,FALSE)</f>
        <v>0</v>
      </c>
    </row>
    <row r="82" spans="1:11" x14ac:dyDescent="0.2">
      <c r="A82" s="82" t="s">
        <v>925</v>
      </c>
      <c r="B82" s="82" t="s">
        <v>222</v>
      </c>
      <c r="C82" s="82" t="s">
        <v>221</v>
      </c>
      <c r="D82" s="83">
        <v>110.16112038749</v>
      </c>
      <c r="E82" s="68">
        <v>34.645710263472999</v>
      </c>
      <c r="F82" s="68">
        <v>75.515410124016995</v>
      </c>
      <c r="G82" s="68">
        <v>20.626484906921</v>
      </c>
      <c r="H82" s="68">
        <v>69.851754364715731</v>
      </c>
      <c r="I82" s="81">
        <v>0</v>
      </c>
      <c r="J82" s="82" t="str">
        <f>VLOOKUP(B82,Data!B:K,10,FALSE)</f>
        <v>Coventry &amp; Warwickshire Business Rates Pool</v>
      </c>
      <c r="K82" s="82" t="str">
        <f>VLOOKUP(B82,Data!B:L,11,FALSE)</f>
        <v>Pilot</v>
      </c>
    </row>
    <row r="83" spans="1:11" hidden="1" x14ac:dyDescent="0.2">
      <c r="A83" s="82" t="s">
        <v>926</v>
      </c>
      <c r="B83" s="82" t="s">
        <v>225</v>
      </c>
      <c r="C83" s="82" t="s">
        <v>224</v>
      </c>
      <c r="D83" s="83">
        <v>1.7399678524509998</v>
      </c>
      <c r="E83" s="68">
        <v>0.35267587047499999</v>
      </c>
      <c r="F83" s="68">
        <v>1.3872919819759999</v>
      </c>
      <c r="G83" s="68">
        <v>-5.637549031821</v>
      </c>
      <c r="H83" s="68">
        <v>1.2832450833278</v>
      </c>
      <c r="I83" s="81">
        <v>0.5</v>
      </c>
      <c r="J83" s="82" t="str">
        <f>VLOOKUP(B83,Data!B:K,10,FALSE)</f>
        <v>North Yorkshire Business Rates Pool</v>
      </c>
      <c r="K83" s="82">
        <f>VLOOKUP(B83,Data!B:L,11,FALSE)</f>
        <v>0</v>
      </c>
    </row>
    <row r="84" spans="1:11" hidden="1" x14ac:dyDescent="0.2">
      <c r="A84" s="82" t="s">
        <v>927</v>
      </c>
      <c r="B84" s="82" t="s">
        <v>230</v>
      </c>
      <c r="C84" s="82" t="s">
        <v>229</v>
      </c>
      <c r="D84" s="83">
        <v>4.4384026342069998</v>
      </c>
      <c r="E84" s="68">
        <v>1.036391166235</v>
      </c>
      <c r="F84" s="68">
        <v>3.4020114679720002</v>
      </c>
      <c r="G84" s="68">
        <v>-40.108454967203002</v>
      </c>
      <c r="H84" s="68">
        <v>3.1468606078741002</v>
      </c>
      <c r="I84" s="81">
        <v>0.5</v>
      </c>
      <c r="J84" s="82">
        <f>VLOOKUP(B84,Data!B:K,10,FALSE)</f>
        <v>0</v>
      </c>
      <c r="K84" s="82">
        <f>VLOOKUP(B84,Data!B:L,11,FALSE)</f>
        <v>0</v>
      </c>
    </row>
    <row r="85" spans="1:11" hidden="1" x14ac:dyDescent="0.2">
      <c r="A85" s="82" t="s">
        <v>928</v>
      </c>
      <c r="B85" s="82" t="s">
        <v>232</v>
      </c>
      <c r="C85" s="82" t="s">
        <v>231</v>
      </c>
      <c r="D85" s="83">
        <v>101.724625539375</v>
      </c>
      <c r="E85" s="68">
        <v>32.577104683442002</v>
      </c>
      <c r="F85" s="68">
        <v>69.147520855932996</v>
      </c>
      <c r="G85" s="68">
        <v>31.956439599075999</v>
      </c>
      <c r="H85" s="68">
        <v>63.961456791738023</v>
      </c>
      <c r="I85" s="81">
        <v>0</v>
      </c>
      <c r="J85" s="82" t="str">
        <f>VLOOKUP(B85,Data!B:K,10,FALSE)</f>
        <v>Surrey-Croydon Business Rates Pool</v>
      </c>
      <c r="K85" s="82">
        <f>VLOOKUP(B85,Data!B:L,11,FALSE)</f>
        <v>0</v>
      </c>
    </row>
    <row r="86" spans="1:11" hidden="1" x14ac:dyDescent="0.2">
      <c r="A86" s="82" t="s">
        <v>930</v>
      </c>
      <c r="B86" s="82" t="s">
        <v>40</v>
      </c>
      <c r="C86" s="82" t="s">
        <v>793</v>
      </c>
      <c r="D86" s="83">
        <v>123.54555967406999</v>
      </c>
      <c r="E86" s="68">
        <v>40.572192205177998</v>
      </c>
      <c r="F86" s="68">
        <v>82.973367468891993</v>
      </c>
      <c r="G86" s="68">
        <v>65.272748331133997</v>
      </c>
      <c r="H86" s="68">
        <v>76.750364908725103</v>
      </c>
      <c r="I86" s="81">
        <v>0</v>
      </c>
      <c r="J86" s="82" t="str">
        <f>VLOOKUP(B86,Data!B:K,10,FALSE)</f>
        <v>Cumbria Business Rates Pool</v>
      </c>
      <c r="K86" s="82">
        <f>VLOOKUP(B86,Data!B:L,11,FALSE)</f>
        <v>0</v>
      </c>
    </row>
    <row r="87" spans="1:11" hidden="1" x14ac:dyDescent="0.2">
      <c r="A87" s="82" t="s">
        <v>931</v>
      </c>
      <c r="B87" s="82" t="s">
        <v>234</v>
      </c>
      <c r="C87" s="82" t="s">
        <v>233</v>
      </c>
      <c r="D87" s="83">
        <v>2.9221541896610002</v>
      </c>
      <c r="E87" s="68">
        <v>0.104548822311</v>
      </c>
      <c r="F87" s="68">
        <v>2.8176053673500001</v>
      </c>
      <c r="G87" s="68">
        <v>-21.494633610011</v>
      </c>
      <c r="H87" s="68">
        <v>2.6062849647987498</v>
      </c>
      <c r="I87" s="81">
        <v>0.5</v>
      </c>
      <c r="J87" s="82">
        <f>VLOOKUP(B87,Data!B:K,10,FALSE)</f>
        <v>0</v>
      </c>
      <c r="K87" s="82">
        <f>VLOOKUP(B87,Data!B:L,11,FALSE)</f>
        <v>0</v>
      </c>
    </row>
    <row r="88" spans="1:11" hidden="1" x14ac:dyDescent="0.2">
      <c r="A88" s="82" t="s">
        <v>932</v>
      </c>
      <c r="B88" s="82" t="s">
        <v>236</v>
      </c>
      <c r="C88" s="82" t="s">
        <v>235</v>
      </c>
      <c r="D88" s="83">
        <v>30.486304695569999</v>
      </c>
      <c r="E88" s="68">
        <v>9.0943454020410002</v>
      </c>
      <c r="F88" s="68">
        <v>21.391959293528998</v>
      </c>
      <c r="G88" s="68">
        <v>6.8286456623059992</v>
      </c>
      <c r="H88" s="68">
        <v>19.787562346514324</v>
      </c>
      <c r="I88" s="81">
        <v>0</v>
      </c>
      <c r="J88" s="82">
        <f>VLOOKUP(B88,Data!B:K,10,FALSE)</f>
        <v>0</v>
      </c>
      <c r="K88" s="82">
        <f>VLOOKUP(B88,Data!B:L,11,FALSE)</f>
        <v>0</v>
      </c>
    </row>
    <row r="89" spans="1:11" hidden="1" x14ac:dyDescent="0.2">
      <c r="A89" s="82" t="s">
        <v>933</v>
      </c>
      <c r="B89" s="82" t="s">
        <v>239</v>
      </c>
      <c r="C89" s="82" t="s">
        <v>238</v>
      </c>
      <c r="D89" s="83">
        <v>3.2207799428719999</v>
      </c>
      <c r="E89" s="68">
        <v>0.68448161518700001</v>
      </c>
      <c r="F89" s="68">
        <v>2.536298327685</v>
      </c>
      <c r="G89" s="68">
        <v>-27.951440561119</v>
      </c>
      <c r="H89" s="68">
        <v>2.3460759531086248</v>
      </c>
      <c r="I89" s="81">
        <v>0.5</v>
      </c>
      <c r="J89" s="82" t="str">
        <f>VLOOKUP(B89,Data!B:K,10,FALSE)</f>
        <v>Kent Business Rates Pool</v>
      </c>
      <c r="K89" s="82">
        <f>VLOOKUP(B89,Data!B:L,11,FALSE)</f>
        <v>0</v>
      </c>
    </row>
    <row r="90" spans="1:11" hidden="1" x14ac:dyDescent="0.2">
      <c r="A90" s="82" t="s">
        <v>934</v>
      </c>
      <c r="B90" s="82" t="s">
        <v>241</v>
      </c>
      <c r="C90" s="82" t="s">
        <v>240</v>
      </c>
      <c r="D90" s="83">
        <v>2.4120717655270001</v>
      </c>
      <c r="E90" s="68">
        <v>0.43426978323800003</v>
      </c>
      <c r="F90" s="68">
        <v>1.9778019822889998</v>
      </c>
      <c r="G90" s="68">
        <v>-11.772338129084</v>
      </c>
      <c r="H90" s="68">
        <v>1.829466833617325</v>
      </c>
      <c r="I90" s="81">
        <v>0.5</v>
      </c>
      <c r="J90" s="82" t="str">
        <f>VLOOKUP(B90,Data!B:K,10,FALSE)</f>
        <v>Northamptonshire Business Rates Pool</v>
      </c>
      <c r="K90" s="82">
        <f>VLOOKUP(B90,Data!B:L,11,FALSE)</f>
        <v>0</v>
      </c>
    </row>
    <row r="91" spans="1:11" hidden="1" x14ac:dyDescent="0.2">
      <c r="A91" s="82" t="s">
        <v>935</v>
      </c>
      <c r="B91" s="82" t="s">
        <v>243</v>
      </c>
      <c r="C91" s="82" t="s">
        <v>242</v>
      </c>
      <c r="D91" s="83">
        <v>79.106696634757995</v>
      </c>
      <c r="E91" s="68">
        <v>25.203406665741998</v>
      </c>
      <c r="F91" s="68">
        <v>53.903289969016001</v>
      </c>
      <c r="G91" s="68">
        <v>15.291016201851999</v>
      </c>
      <c r="H91" s="68">
        <v>49.860543221339796</v>
      </c>
      <c r="I91" s="81">
        <v>0</v>
      </c>
      <c r="J91" s="82" t="str">
        <f>VLOOKUP(B91,Data!B:K,10,FALSE)</f>
        <v>Derbyshire Business Rates Pool</v>
      </c>
      <c r="K91" s="82">
        <f>VLOOKUP(B91,Data!B:L,11,FALSE)</f>
        <v>0</v>
      </c>
    </row>
    <row r="92" spans="1:11" hidden="1" x14ac:dyDescent="0.2">
      <c r="A92" s="82" t="s">
        <v>936</v>
      </c>
      <c r="B92" s="82" t="s">
        <v>44</v>
      </c>
      <c r="C92" s="82" t="s">
        <v>794</v>
      </c>
      <c r="D92" s="83">
        <v>149.46620684843001</v>
      </c>
      <c r="E92" s="68">
        <v>44.056288910749998</v>
      </c>
      <c r="F92" s="68">
        <v>105.40991793768001</v>
      </c>
      <c r="G92" s="68">
        <v>88.603853170936006</v>
      </c>
      <c r="H92" s="68">
        <v>97.50417409235402</v>
      </c>
      <c r="I92" s="81">
        <v>0</v>
      </c>
      <c r="J92" s="82" t="str">
        <f>VLOOKUP(B92,Data!B:K,10,FALSE)</f>
        <v>Derbyshire Business Rates Pool</v>
      </c>
      <c r="K92" s="82">
        <f>VLOOKUP(B92,Data!B:L,11,FALSE)</f>
        <v>0</v>
      </c>
    </row>
    <row r="93" spans="1:11" hidden="1" x14ac:dyDescent="0.2">
      <c r="A93" s="82" t="s">
        <v>937</v>
      </c>
      <c r="B93" s="82" t="s">
        <v>245</v>
      </c>
      <c r="C93" s="82" t="s">
        <v>244</v>
      </c>
      <c r="D93" s="83">
        <v>1.8159715154199998</v>
      </c>
      <c r="E93" s="68">
        <v>0.25164551857399997</v>
      </c>
      <c r="F93" s="68">
        <v>1.5643259968459999</v>
      </c>
      <c r="G93" s="68">
        <v>-6.1781276229219992</v>
      </c>
      <c r="H93" s="68">
        <v>1.4470015470825501</v>
      </c>
      <c r="I93" s="81">
        <v>0.5</v>
      </c>
      <c r="J93" s="82" t="str">
        <f>VLOOKUP(B93,Data!B:K,10,FALSE)</f>
        <v>Derbyshire Business Rates Pool</v>
      </c>
      <c r="K93" s="82">
        <f>VLOOKUP(B93,Data!B:L,11,FALSE)</f>
        <v>0</v>
      </c>
    </row>
    <row r="94" spans="1:11" hidden="1" x14ac:dyDescent="0.2">
      <c r="A94" s="82" t="s">
        <v>938</v>
      </c>
      <c r="B94" s="82" t="s">
        <v>45</v>
      </c>
      <c r="C94" s="82" t="s">
        <v>939</v>
      </c>
      <c r="D94" s="83">
        <v>13.993671358274</v>
      </c>
      <c r="E94" s="68">
        <v>5.6045823571820002</v>
      </c>
      <c r="F94" s="68">
        <v>8.3890890010919996</v>
      </c>
      <c r="G94" s="68">
        <v>5.7334988178700002</v>
      </c>
      <c r="H94" s="68">
        <v>7.7599073260101008</v>
      </c>
      <c r="I94" s="81">
        <v>0</v>
      </c>
      <c r="J94" s="82" t="str">
        <f>VLOOKUP(B94,Data!B:K,10,FALSE)</f>
        <v>Derbyshire Business Rates Pool</v>
      </c>
      <c r="K94" s="82">
        <f>VLOOKUP(B94,Data!B:L,11,FALSE)</f>
        <v>0</v>
      </c>
    </row>
    <row r="95" spans="1:11" hidden="1" x14ac:dyDescent="0.2">
      <c r="A95" s="82" t="s">
        <v>940</v>
      </c>
      <c r="B95" s="82" t="s">
        <v>260</v>
      </c>
      <c r="C95" s="82" t="s">
        <v>795</v>
      </c>
      <c r="D95" s="83">
        <v>128.307331438002</v>
      </c>
      <c r="E95" s="68">
        <v>32.445080154694999</v>
      </c>
      <c r="F95" s="68">
        <v>95.862251283307003</v>
      </c>
      <c r="G95" s="68">
        <v>75.119370145510004</v>
      </c>
      <c r="H95" s="68">
        <v>88.672582437058992</v>
      </c>
      <c r="I95" s="81">
        <v>0</v>
      </c>
      <c r="J95" s="82" t="str">
        <f>VLOOKUP(B95,Data!B:K,10,FALSE)</f>
        <v>Devon Business Rates Pool</v>
      </c>
      <c r="K95" s="82">
        <f>VLOOKUP(B95,Data!B:L,11,FALSE)</f>
        <v>0</v>
      </c>
    </row>
    <row r="96" spans="1:11" hidden="1" x14ac:dyDescent="0.2">
      <c r="A96" s="82" t="s">
        <v>941</v>
      </c>
      <c r="B96" s="82" t="s">
        <v>247</v>
      </c>
      <c r="C96" s="82" t="s">
        <v>246</v>
      </c>
      <c r="D96" s="83">
        <v>107.46643651688001</v>
      </c>
      <c r="E96" s="68">
        <v>36.150119893762003</v>
      </c>
      <c r="F96" s="68">
        <v>71.316316623117999</v>
      </c>
      <c r="G96" s="68">
        <v>32.804502228707996</v>
      </c>
      <c r="H96" s="68">
        <v>65.96759287638416</v>
      </c>
      <c r="I96" s="81">
        <v>0</v>
      </c>
      <c r="J96" s="82">
        <f>VLOOKUP(B96,Data!B:K,10,FALSE)</f>
        <v>0</v>
      </c>
      <c r="K96" s="82">
        <f>VLOOKUP(B96,Data!B:L,11,FALSE)</f>
        <v>0</v>
      </c>
    </row>
    <row r="97" spans="1:11" hidden="1" x14ac:dyDescent="0.2">
      <c r="A97" s="82" t="s">
        <v>942</v>
      </c>
      <c r="B97" s="82" t="s">
        <v>206</v>
      </c>
      <c r="C97" s="82" t="s">
        <v>796</v>
      </c>
      <c r="D97" s="83">
        <v>43.584292466393997</v>
      </c>
      <c r="E97" s="68">
        <v>6.1381446603520002</v>
      </c>
      <c r="F97" s="68">
        <v>37.446147806041999</v>
      </c>
      <c r="G97" s="68">
        <v>26.668350878112001</v>
      </c>
      <c r="H97" s="68">
        <v>34.637686720588853</v>
      </c>
      <c r="I97" s="81">
        <v>0</v>
      </c>
      <c r="J97" s="82">
        <f>VLOOKUP(B97,Data!B:K,10,FALSE)</f>
        <v>0</v>
      </c>
      <c r="K97" s="82">
        <f>VLOOKUP(B97,Data!B:L,11,FALSE)</f>
        <v>0</v>
      </c>
    </row>
    <row r="98" spans="1:11" hidden="1" x14ac:dyDescent="0.2">
      <c r="A98" s="82" t="s">
        <v>943</v>
      </c>
      <c r="B98" s="82" t="s">
        <v>249</v>
      </c>
      <c r="C98" s="82" t="s">
        <v>248</v>
      </c>
      <c r="D98" s="83">
        <v>4.4868233201049996</v>
      </c>
      <c r="E98" s="68">
        <v>1.0268285814359999</v>
      </c>
      <c r="F98" s="68">
        <v>3.4599947386690002</v>
      </c>
      <c r="G98" s="68">
        <v>-12.595365262259001</v>
      </c>
      <c r="H98" s="68">
        <v>3.2004951332688254</v>
      </c>
      <c r="I98" s="81">
        <v>0.5</v>
      </c>
      <c r="J98" s="82">
        <f>VLOOKUP(B98,Data!B:K,10,FALSE)</f>
        <v>0</v>
      </c>
      <c r="K98" s="82">
        <f>VLOOKUP(B98,Data!B:L,11,FALSE)</f>
        <v>0</v>
      </c>
    </row>
    <row r="99" spans="1:11" x14ac:dyDescent="0.2">
      <c r="A99" s="82" t="s">
        <v>944</v>
      </c>
      <c r="B99" s="82" t="s">
        <v>251</v>
      </c>
      <c r="C99" s="82" t="s">
        <v>250</v>
      </c>
      <c r="D99" s="83">
        <v>97.514740100343005</v>
      </c>
      <c r="E99" s="68">
        <v>33.193095305652996</v>
      </c>
      <c r="F99" s="68">
        <v>64.321644794690002</v>
      </c>
      <c r="G99" s="68">
        <v>21.775178438556999</v>
      </c>
      <c r="H99" s="68">
        <v>59.497521435088252</v>
      </c>
      <c r="I99" s="81">
        <v>0</v>
      </c>
      <c r="J99" s="82">
        <f>VLOOKUP(B99,Data!B:K,10,FALSE)</f>
        <v>0</v>
      </c>
      <c r="K99" s="82" t="str">
        <f>VLOOKUP(B99,Data!B:L,11,FALSE)</f>
        <v>Pilot</v>
      </c>
    </row>
    <row r="100" spans="1:11" hidden="1" x14ac:dyDescent="0.2">
      <c r="A100" s="82" t="s">
        <v>945</v>
      </c>
      <c r="B100" s="82" t="s">
        <v>253</v>
      </c>
      <c r="C100" s="82" t="s">
        <v>946</v>
      </c>
      <c r="D100" s="83">
        <v>174.88246562658901</v>
      </c>
      <c r="E100" s="68">
        <v>56.000063992264998</v>
      </c>
      <c r="F100" s="68">
        <v>118.882401634324</v>
      </c>
      <c r="G100" s="68">
        <v>67.625879157056005</v>
      </c>
      <c r="H100" s="68">
        <v>109.96622151174969</v>
      </c>
      <c r="I100" s="81">
        <v>0</v>
      </c>
      <c r="J100" s="82">
        <f>VLOOKUP(B100,Data!B:K,10,FALSE)</f>
        <v>0</v>
      </c>
      <c r="K100" s="82">
        <f>VLOOKUP(B100,Data!B:L,11,FALSE)</f>
        <v>0</v>
      </c>
    </row>
    <row r="101" spans="1:11" hidden="1" x14ac:dyDescent="0.2">
      <c r="A101" s="82" t="s">
        <v>947</v>
      </c>
      <c r="B101" s="82" t="s">
        <v>237</v>
      </c>
      <c r="C101" s="82" t="s">
        <v>948</v>
      </c>
      <c r="D101" s="83">
        <v>11.18122868207</v>
      </c>
      <c r="E101" s="68">
        <v>4.529319713494</v>
      </c>
      <c r="F101" s="68">
        <v>6.6519089685760004</v>
      </c>
      <c r="G101" s="68">
        <v>5.3070106865250004</v>
      </c>
      <c r="H101" s="68">
        <v>6.1530157959328005</v>
      </c>
      <c r="I101" s="81">
        <v>0</v>
      </c>
      <c r="J101" s="82">
        <f>VLOOKUP(B101,Data!B:K,10,FALSE)</f>
        <v>0</v>
      </c>
      <c r="K101" s="82">
        <f>VLOOKUP(B101,Data!B:L,11,FALSE)</f>
        <v>0</v>
      </c>
    </row>
    <row r="102" spans="1:11" hidden="1" x14ac:dyDescent="0.2">
      <c r="A102" s="82" t="s">
        <v>949</v>
      </c>
      <c r="B102" s="82" t="s">
        <v>255</v>
      </c>
      <c r="C102" s="82" t="s">
        <v>254</v>
      </c>
      <c r="D102" s="83">
        <v>107.01321958273</v>
      </c>
      <c r="E102" s="68">
        <v>35.007364968684001</v>
      </c>
      <c r="F102" s="68">
        <v>72.005854614046001</v>
      </c>
      <c r="G102" s="68">
        <v>29.495337090701</v>
      </c>
      <c r="H102" s="68">
        <v>66.605415517992569</v>
      </c>
      <c r="I102" s="81">
        <v>0</v>
      </c>
      <c r="J102" s="82">
        <f>VLOOKUP(B102,Data!B:K,10,FALSE)</f>
        <v>0</v>
      </c>
      <c r="K102" s="82">
        <f>VLOOKUP(B102,Data!B:L,11,FALSE)</f>
        <v>0</v>
      </c>
    </row>
    <row r="103" spans="1:11" hidden="1" x14ac:dyDescent="0.2">
      <c r="A103" s="82" t="s">
        <v>950</v>
      </c>
      <c r="B103" s="82" t="s">
        <v>257</v>
      </c>
      <c r="C103" s="82" t="s">
        <v>256</v>
      </c>
      <c r="D103" s="83">
        <v>2.9630108925630001</v>
      </c>
      <c r="E103" s="68">
        <v>0.65999855208699998</v>
      </c>
      <c r="F103" s="68">
        <v>2.3030123404760001</v>
      </c>
      <c r="G103" s="68">
        <v>-4.9617388590019997</v>
      </c>
      <c r="H103" s="68">
        <v>2.1302864149403002</v>
      </c>
      <c r="I103" s="81">
        <v>0.5</v>
      </c>
      <c r="J103" s="82">
        <f>VLOOKUP(B103,Data!B:K,10,FALSE)</f>
        <v>0</v>
      </c>
      <c r="K103" s="82">
        <f>VLOOKUP(B103,Data!B:L,11,FALSE)</f>
        <v>0</v>
      </c>
    </row>
    <row r="104" spans="1:11" hidden="1" x14ac:dyDescent="0.2">
      <c r="A104" s="82" t="s">
        <v>951</v>
      </c>
      <c r="B104" s="82" t="s">
        <v>259</v>
      </c>
      <c r="C104" s="82" t="s">
        <v>258</v>
      </c>
      <c r="D104" s="83">
        <v>3.0242855504620003</v>
      </c>
      <c r="E104" s="68">
        <v>0.53336508269099991</v>
      </c>
      <c r="F104" s="68">
        <v>2.4909204677710002</v>
      </c>
      <c r="G104" s="68">
        <v>-9.7367313518759993</v>
      </c>
      <c r="H104" s="68">
        <v>2.3041014326881752</v>
      </c>
      <c r="I104" s="81">
        <v>0.5</v>
      </c>
      <c r="J104" s="82" t="str">
        <f>VLOOKUP(B104,Data!B:K,10,FALSE)</f>
        <v>Devon Business Rates Pool</v>
      </c>
      <c r="K104" s="82">
        <f>VLOOKUP(B104,Data!B:L,11,FALSE)</f>
        <v>0</v>
      </c>
    </row>
    <row r="105" spans="1:11" hidden="1" x14ac:dyDescent="0.2">
      <c r="A105" s="82" t="s">
        <v>952</v>
      </c>
      <c r="B105" s="82" t="s">
        <v>264</v>
      </c>
      <c r="C105" s="82" t="s">
        <v>263</v>
      </c>
      <c r="D105" s="83">
        <v>1.2898913596879999</v>
      </c>
      <c r="E105" s="68" t="s">
        <v>61</v>
      </c>
      <c r="F105" s="68">
        <v>1.2898913596879999</v>
      </c>
      <c r="G105" s="68">
        <v>-7.4907140608550007</v>
      </c>
      <c r="H105" s="68">
        <v>1.1931495077114</v>
      </c>
      <c r="I105" s="81">
        <v>0.5</v>
      </c>
      <c r="J105" s="82">
        <f>VLOOKUP(B105,Data!B:K,10,FALSE)</f>
        <v>0</v>
      </c>
      <c r="K105" s="82">
        <f>VLOOKUP(B105,Data!B:L,11,FALSE)</f>
        <v>0</v>
      </c>
    </row>
    <row r="106" spans="1:11" hidden="1" x14ac:dyDescent="0.2">
      <c r="A106" s="82" t="s">
        <v>953</v>
      </c>
      <c r="B106" s="82" t="s">
        <v>266</v>
      </c>
      <c r="C106" s="82" t="s">
        <v>265</v>
      </c>
      <c r="D106" s="83">
        <v>1.9327522453599999</v>
      </c>
      <c r="E106" s="68">
        <v>0.16239998438800002</v>
      </c>
      <c r="F106" s="68">
        <v>1.7703522609719999</v>
      </c>
      <c r="G106" s="68">
        <v>-10.275122234742001</v>
      </c>
      <c r="H106" s="68">
        <v>1.6375758413991002</v>
      </c>
      <c r="I106" s="81">
        <v>0.5</v>
      </c>
      <c r="J106" s="82">
        <f>VLOOKUP(B106,Data!B:K,10,FALSE)</f>
        <v>0</v>
      </c>
      <c r="K106" s="82">
        <f>VLOOKUP(B106,Data!B:L,11,FALSE)</f>
        <v>0</v>
      </c>
    </row>
    <row r="107" spans="1:11" hidden="1" x14ac:dyDescent="0.2">
      <c r="A107" s="82" t="s">
        <v>954</v>
      </c>
      <c r="B107" s="82" t="s">
        <v>268</v>
      </c>
      <c r="C107" s="82" t="s">
        <v>267</v>
      </c>
      <c r="D107" s="83">
        <v>2.8915360890150001</v>
      </c>
      <c r="E107" s="68">
        <v>0.35093240991400004</v>
      </c>
      <c r="F107" s="68">
        <v>2.5406036791010003</v>
      </c>
      <c r="G107" s="68">
        <v>-14.861120566412</v>
      </c>
      <c r="H107" s="68">
        <v>2.3500584031684251</v>
      </c>
      <c r="I107" s="81">
        <v>0.5</v>
      </c>
      <c r="J107" s="82">
        <f>VLOOKUP(B107,Data!B:K,10,FALSE)</f>
        <v>0</v>
      </c>
      <c r="K107" s="82">
        <f>VLOOKUP(B107,Data!B:L,11,FALSE)</f>
        <v>0</v>
      </c>
    </row>
    <row r="108" spans="1:11" hidden="1" x14ac:dyDescent="0.2">
      <c r="A108" s="82" t="s">
        <v>955</v>
      </c>
      <c r="B108" s="82" t="s">
        <v>270</v>
      </c>
      <c r="C108" s="82" t="s">
        <v>269</v>
      </c>
      <c r="D108" s="83">
        <v>7.9568742108659993</v>
      </c>
      <c r="E108" s="68">
        <v>2.2126280716949998</v>
      </c>
      <c r="F108" s="68">
        <v>5.7442461391709996</v>
      </c>
      <c r="G108" s="68">
        <v>-7.130283984589</v>
      </c>
      <c r="H108" s="68">
        <v>5.3134276787331745</v>
      </c>
      <c r="I108" s="81">
        <v>0.5</v>
      </c>
      <c r="J108" s="82" t="str">
        <f>VLOOKUP(B108,Data!B:K,10,FALSE)</f>
        <v>Lincolnshire Business Rates Pool</v>
      </c>
      <c r="K108" s="82">
        <f>VLOOKUP(B108,Data!B:L,11,FALSE)</f>
        <v>0</v>
      </c>
    </row>
    <row r="109" spans="1:11" hidden="1" x14ac:dyDescent="0.2">
      <c r="A109" s="82" t="s">
        <v>956</v>
      </c>
      <c r="B109" s="82" t="s">
        <v>272</v>
      </c>
      <c r="C109" s="82" t="s">
        <v>271</v>
      </c>
      <c r="D109" s="83">
        <v>2.955922755484</v>
      </c>
      <c r="E109" s="68">
        <v>0.70537662394199996</v>
      </c>
      <c r="F109" s="68">
        <v>2.2505461315419999</v>
      </c>
      <c r="G109" s="68">
        <v>-5.0707850105399999</v>
      </c>
      <c r="H109" s="68">
        <v>2.0817551716763503</v>
      </c>
      <c r="I109" s="81">
        <v>0.5</v>
      </c>
      <c r="J109" s="82" t="str">
        <f>VLOOKUP(B109,Data!B:K,10,FALSE)</f>
        <v>Northamptonshire Business Rates Pool</v>
      </c>
      <c r="K109" s="82">
        <f>VLOOKUP(B109,Data!B:L,11,FALSE)</f>
        <v>0</v>
      </c>
    </row>
    <row r="110" spans="1:11" hidden="1" x14ac:dyDescent="0.2">
      <c r="A110" s="82" t="s">
        <v>957</v>
      </c>
      <c r="B110" s="82" t="s">
        <v>274</v>
      </c>
      <c r="C110" s="82" t="s">
        <v>273</v>
      </c>
      <c r="D110" s="83">
        <v>69.879582194726993</v>
      </c>
      <c r="E110" s="68">
        <v>20.170595493328999</v>
      </c>
      <c r="F110" s="68">
        <v>49.708986701397997</v>
      </c>
      <c r="G110" s="68">
        <v>13.450235645989</v>
      </c>
      <c r="H110" s="68">
        <v>45.980812698793152</v>
      </c>
      <c r="I110" s="81">
        <v>0</v>
      </c>
      <c r="J110" s="82">
        <f>VLOOKUP(B110,Data!B:K,10,FALSE)</f>
        <v>0</v>
      </c>
      <c r="K110" s="82">
        <f>VLOOKUP(B110,Data!B:L,11,FALSE)</f>
        <v>0</v>
      </c>
    </row>
    <row r="111" spans="1:11" hidden="1" x14ac:dyDescent="0.2">
      <c r="A111" s="82" t="s">
        <v>958</v>
      </c>
      <c r="B111" s="82" t="s">
        <v>277</v>
      </c>
      <c r="C111" s="82" t="s">
        <v>276</v>
      </c>
      <c r="D111" s="83">
        <v>3.8004952571929995</v>
      </c>
      <c r="E111" s="68">
        <v>0.81276867416299992</v>
      </c>
      <c r="F111" s="68">
        <v>2.9877265830299997</v>
      </c>
      <c r="G111" s="68">
        <v>-17.871348168419999</v>
      </c>
      <c r="H111" s="68">
        <v>2.7636470893027498</v>
      </c>
      <c r="I111" s="81">
        <v>0.5</v>
      </c>
      <c r="J111" s="82" t="str">
        <f>VLOOKUP(B111,Data!B:K,10,FALSE)</f>
        <v>Greater Birmingham &amp; Solihull Business Rates Pool</v>
      </c>
      <c r="K111" s="82">
        <f>VLOOKUP(B111,Data!B:L,11,FALSE)</f>
        <v>0</v>
      </c>
    </row>
    <row r="112" spans="1:11" hidden="1" x14ac:dyDescent="0.2">
      <c r="A112" s="82" t="s">
        <v>959</v>
      </c>
      <c r="B112" s="82" t="s">
        <v>280</v>
      </c>
      <c r="C112" s="82" t="s">
        <v>797</v>
      </c>
      <c r="D112" s="83">
        <v>96.82697165175901</v>
      </c>
      <c r="E112" s="68">
        <v>26.726744526594</v>
      </c>
      <c r="F112" s="68">
        <v>70.100227125165006</v>
      </c>
      <c r="G112" s="68">
        <v>58.638395877093004</v>
      </c>
      <c r="H112" s="68">
        <v>64.842710090777629</v>
      </c>
      <c r="I112" s="81">
        <v>0</v>
      </c>
      <c r="J112" s="82">
        <f>VLOOKUP(B112,Data!B:K,10,FALSE)</f>
        <v>0</v>
      </c>
      <c r="K112" s="82">
        <f>VLOOKUP(B112,Data!B:L,11,FALSE)</f>
        <v>0</v>
      </c>
    </row>
    <row r="113" spans="1:11" hidden="1" x14ac:dyDescent="0.2">
      <c r="A113" s="82" t="s">
        <v>960</v>
      </c>
      <c r="B113" s="82" t="s">
        <v>140</v>
      </c>
      <c r="C113" s="82" t="s">
        <v>961</v>
      </c>
      <c r="D113" s="83">
        <v>11.77404093847</v>
      </c>
      <c r="E113" s="68">
        <v>4.5238750329949999</v>
      </c>
      <c r="F113" s="68">
        <v>7.2501659054749998</v>
      </c>
      <c r="G113" s="68">
        <v>4.8208729532789993</v>
      </c>
      <c r="H113" s="68">
        <v>6.7064034625643751</v>
      </c>
      <c r="I113" s="81">
        <v>0</v>
      </c>
      <c r="J113" s="82">
        <f>VLOOKUP(B113,Data!B:K,10,FALSE)</f>
        <v>0</v>
      </c>
      <c r="K113" s="82">
        <f>VLOOKUP(B113,Data!B:L,11,FALSE)</f>
        <v>0</v>
      </c>
    </row>
    <row r="114" spans="1:11" hidden="1" x14ac:dyDescent="0.2">
      <c r="A114" s="82" t="s">
        <v>962</v>
      </c>
      <c r="B114" s="82" t="s">
        <v>279</v>
      </c>
      <c r="C114" s="82" t="s">
        <v>278</v>
      </c>
      <c r="D114" s="83">
        <v>4.3547051544200004</v>
      </c>
      <c r="E114" s="68">
        <v>0.94404658914000006</v>
      </c>
      <c r="F114" s="68">
        <v>3.4106585652800003</v>
      </c>
      <c r="G114" s="68">
        <v>-10.330060335556</v>
      </c>
      <c r="H114" s="68">
        <v>3.1548591728840005</v>
      </c>
      <c r="I114" s="81">
        <v>0.5</v>
      </c>
      <c r="J114" s="82">
        <f>VLOOKUP(B114,Data!B:K,10,FALSE)</f>
        <v>0</v>
      </c>
      <c r="K114" s="82">
        <f>VLOOKUP(B114,Data!B:L,11,FALSE)</f>
        <v>0</v>
      </c>
    </row>
    <row r="115" spans="1:11" hidden="1" x14ac:dyDescent="0.2">
      <c r="A115" s="82" t="s">
        <v>963</v>
      </c>
      <c r="B115" s="82" t="s">
        <v>282</v>
      </c>
      <c r="C115" s="82" t="s">
        <v>281</v>
      </c>
      <c r="D115" s="83">
        <v>3.0163622434700001</v>
      </c>
      <c r="E115" s="68">
        <v>0.60361046187400003</v>
      </c>
      <c r="F115" s="68">
        <v>2.412751781596</v>
      </c>
      <c r="G115" s="68">
        <v>-18.760321098521</v>
      </c>
      <c r="H115" s="68">
        <v>2.2317953979762999</v>
      </c>
      <c r="I115" s="81">
        <v>0.5</v>
      </c>
      <c r="J115" s="82">
        <f>VLOOKUP(B115,Data!B:K,10,FALSE)</f>
        <v>0</v>
      </c>
      <c r="K115" s="82">
        <f>VLOOKUP(B115,Data!B:L,11,FALSE)</f>
        <v>0</v>
      </c>
    </row>
    <row r="116" spans="1:11" hidden="1" x14ac:dyDescent="0.2">
      <c r="A116" s="82" t="s">
        <v>964</v>
      </c>
      <c r="B116" s="82" t="s">
        <v>284</v>
      </c>
      <c r="C116" s="82" t="s">
        <v>283</v>
      </c>
      <c r="D116" s="83">
        <v>1.926098509165</v>
      </c>
      <c r="E116" s="68">
        <v>0.32391793894800003</v>
      </c>
      <c r="F116" s="68">
        <v>1.602180570217</v>
      </c>
      <c r="G116" s="68">
        <v>-6.3776207801510001</v>
      </c>
      <c r="H116" s="68">
        <v>1.4820170274507252</v>
      </c>
      <c r="I116" s="81">
        <v>0.5</v>
      </c>
      <c r="J116" s="82" t="str">
        <f>VLOOKUP(B116,Data!B:K,10,FALSE)</f>
        <v>Cumbria Business Rates Pool</v>
      </c>
      <c r="K116" s="82">
        <f>VLOOKUP(B116,Data!B:L,11,FALSE)</f>
        <v>0</v>
      </c>
    </row>
    <row r="117" spans="1:11" hidden="1" x14ac:dyDescent="0.2">
      <c r="A117" s="82" t="s">
        <v>965</v>
      </c>
      <c r="B117" s="82" t="s">
        <v>286</v>
      </c>
      <c r="C117" s="82" t="s">
        <v>285</v>
      </c>
      <c r="D117" s="83">
        <v>2.174357706726</v>
      </c>
      <c r="E117" s="68" t="s">
        <v>61</v>
      </c>
      <c r="F117" s="68">
        <v>2.174357706726</v>
      </c>
      <c r="G117" s="68">
        <v>-21.944153031654</v>
      </c>
      <c r="H117" s="68">
        <v>2.0112808787215504</v>
      </c>
      <c r="I117" s="81">
        <v>0.5</v>
      </c>
      <c r="J117" s="82" t="str">
        <f>VLOOKUP(B117,Data!B:K,10,FALSE)</f>
        <v>Surrey-Croydon Business Rates Pool</v>
      </c>
      <c r="K117" s="82">
        <f>VLOOKUP(B117,Data!B:L,11,FALSE)</f>
        <v>0</v>
      </c>
    </row>
    <row r="118" spans="1:11" hidden="1" x14ac:dyDescent="0.2">
      <c r="A118" s="82" t="s">
        <v>966</v>
      </c>
      <c r="B118" s="82" t="s">
        <v>289</v>
      </c>
      <c r="C118" s="82" t="s">
        <v>288</v>
      </c>
      <c r="D118" s="83">
        <v>103.30929744289401</v>
      </c>
      <c r="E118" s="68">
        <v>34.04982198618</v>
      </c>
      <c r="F118" s="68">
        <v>69.259475456714</v>
      </c>
      <c r="G118" s="68">
        <v>36.878617248066</v>
      </c>
      <c r="H118" s="68">
        <v>64.065014797460464</v>
      </c>
      <c r="I118" s="81">
        <v>0</v>
      </c>
      <c r="J118" s="82">
        <f>VLOOKUP(B118,Data!B:K,10,FALSE)</f>
        <v>0</v>
      </c>
      <c r="K118" s="82">
        <f>VLOOKUP(B118,Data!B:L,11,FALSE)</f>
        <v>0</v>
      </c>
    </row>
    <row r="119" spans="1:11" hidden="1" x14ac:dyDescent="0.2">
      <c r="A119" s="82" t="s">
        <v>967</v>
      </c>
      <c r="B119" s="82" t="s">
        <v>291</v>
      </c>
      <c r="C119" s="82" t="s">
        <v>290</v>
      </c>
      <c r="D119" s="83">
        <v>3.8538992359249997</v>
      </c>
      <c r="E119" s="68">
        <v>0.74386629636299995</v>
      </c>
      <c r="F119" s="68">
        <v>3.1100329395619997</v>
      </c>
      <c r="G119" s="68">
        <v>-10.185639622109999</v>
      </c>
      <c r="H119" s="68">
        <v>2.8767804690948502</v>
      </c>
      <c r="I119" s="81">
        <v>0.5</v>
      </c>
      <c r="J119" s="82" t="str">
        <f>VLOOKUP(B119,Data!B:K,10,FALSE)</f>
        <v>Essex Business Rates Pool</v>
      </c>
      <c r="K119" s="82">
        <f>VLOOKUP(B119,Data!B:L,11,FALSE)</f>
        <v>0</v>
      </c>
    </row>
    <row r="120" spans="1:11" hidden="1" x14ac:dyDescent="0.2">
      <c r="A120" s="82" t="s">
        <v>968</v>
      </c>
      <c r="B120" s="82" t="s">
        <v>293</v>
      </c>
      <c r="C120" s="82" t="s">
        <v>969</v>
      </c>
      <c r="D120" s="83">
        <v>1.3258309192469999</v>
      </c>
      <c r="E120" s="68" t="s">
        <v>61</v>
      </c>
      <c r="F120" s="68">
        <v>1.3258309192469999</v>
      </c>
      <c r="G120" s="68">
        <v>-8.4309805028390006</v>
      </c>
      <c r="H120" s="68">
        <v>1.226393600303475</v>
      </c>
      <c r="I120" s="81">
        <v>0.5</v>
      </c>
      <c r="J120" s="82">
        <f>VLOOKUP(B120,Data!B:K,10,FALSE)</f>
        <v>0</v>
      </c>
      <c r="K120" s="82">
        <f>VLOOKUP(B120,Data!B:L,11,FALSE)</f>
        <v>0</v>
      </c>
    </row>
    <row r="121" spans="1:11" hidden="1" x14ac:dyDescent="0.2">
      <c r="A121" s="82" t="s">
        <v>970</v>
      </c>
      <c r="B121" s="82" t="s">
        <v>295</v>
      </c>
      <c r="C121" s="82" t="s">
        <v>294</v>
      </c>
      <c r="D121" s="83">
        <v>4.0763118117769999</v>
      </c>
      <c r="E121" s="68">
        <v>0.97202357642699999</v>
      </c>
      <c r="F121" s="68">
        <v>3.1042882353500003</v>
      </c>
      <c r="G121" s="68">
        <v>-5.9478596950420002</v>
      </c>
      <c r="H121" s="68">
        <v>2.8714666176987507</v>
      </c>
      <c r="I121" s="81">
        <v>0.5</v>
      </c>
      <c r="J121" s="82" t="str">
        <f>VLOOKUP(B121,Data!B:K,10,FALSE)</f>
        <v>Derbyshire Business Rates Pool</v>
      </c>
      <c r="K121" s="82">
        <f>VLOOKUP(B121,Data!B:L,11,FALSE)</f>
        <v>0</v>
      </c>
    </row>
    <row r="122" spans="1:11" hidden="1" x14ac:dyDescent="0.2">
      <c r="A122" s="82" t="s">
        <v>971</v>
      </c>
      <c r="B122" s="82" t="s">
        <v>79</v>
      </c>
      <c r="C122" s="82" t="s">
        <v>798</v>
      </c>
      <c r="D122" s="83">
        <v>238.830556266618</v>
      </c>
      <c r="E122" s="68">
        <v>73.875659000896007</v>
      </c>
      <c r="F122" s="68">
        <v>164.954897265722</v>
      </c>
      <c r="G122" s="68">
        <v>124.005856230696</v>
      </c>
      <c r="H122" s="68">
        <v>152.58327997079286</v>
      </c>
      <c r="I122" s="81">
        <v>0</v>
      </c>
      <c r="J122" s="82" t="str">
        <f>VLOOKUP(B122,Data!B:K,10,FALSE)</f>
        <v>Essex Business Rates Pool</v>
      </c>
      <c r="K122" s="82">
        <f>VLOOKUP(B122,Data!B:L,11,FALSE)</f>
        <v>0</v>
      </c>
    </row>
    <row r="123" spans="1:11" hidden="1" x14ac:dyDescent="0.2">
      <c r="A123" s="82" t="s">
        <v>972</v>
      </c>
      <c r="B123" s="82" t="s">
        <v>80</v>
      </c>
      <c r="C123" s="82" t="s">
        <v>771</v>
      </c>
      <c r="D123" s="83">
        <v>26.460091498738002</v>
      </c>
      <c r="E123" s="68">
        <v>11.033340425473002</v>
      </c>
      <c r="F123" s="68">
        <v>15.426751073264999</v>
      </c>
      <c r="G123" s="68">
        <v>9.4230522345119994</v>
      </c>
      <c r="H123" s="68">
        <v>14.269744742770124</v>
      </c>
      <c r="I123" s="81">
        <v>0</v>
      </c>
      <c r="J123" s="82" t="str">
        <f>VLOOKUP(B123,Data!B:K,10,FALSE)</f>
        <v>Essex Business Rates Pool</v>
      </c>
      <c r="K123" s="82">
        <f>VLOOKUP(B123,Data!B:L,11,FALSE)</f>
        <v>0</v>
      </c>
    </row>
    <row r="124" spans="1:11" hidden="1" x14ac:dyDescent="0.2">
      <c r="A124" s="82" t="s">
        <v>973</v>
      </c>
      <c r="B124" s="82" t="s">
        <v>297</v>
      </c>
      <c r="C124" s="82" t="s">
        <v>296</v>
      </c>
      <c r="D124" s="83">
        <v>5.1765561514040002</v>
      </c>
      <c r="E124" s="68">
        <v>1.319652228387</v>
      </c>
      <c r="F124" s="68">
        <v>3.8569039230169997</v>
      </c>
      <c r="G124" s="68">
        <v>-24.159078565740998</v>
      </c>
      <c r="H124" s="68">
        <v>3.567636128790725</v>
      </c>
      <c r="I124" s="81">
        <v>0.5</v>
      </c>
      <c r="J124" s="82" t="str">
        <f>VLOOKUP(B124,Data!B:K,10,FALSE)</f>
        <v>Devon Business Rates Pool</v>
      </c>
      <c r="K124" s="82">
        <f>VLOOKUP(B124,Data!B:L,11,FALSE)</f>
        <v>0</v>
      </c>
    </row>
    <row r="125" spans="1:11" hidden="1" x14ac:dyDescent="0.2">
      <c r="A125" s="82" t="s">
        <v>974</v>
      </c>
      <c r="B125" s="82" t="s">
        <v>299</v>
      </c>
      <c r="C125" s="82" t="s">
        <v>298</v>
      </c>
      <c r="D125" s="83">
        <v>2.0893425978660001</v>
      </c>
      <c r="E125" s="68">
        <v>0.288274275325</v>
      </c>
      <c r="F125" s="68">
        <v>1.801068322541</v>
      </c>
      <c r="G125" s="68">
        <v>-14.030474508052</v>
      </c>
      <c r="H125" s="68">
        <v>1.6659881983504252</v>
      </c>
      <c r="I125" s="81">
        <v>0.5</v>
      </c>
      <c r="J125" s="82">
        <f>VLOOKUP(B125,Data!B:K,10,FALSE)</f>
        <v>0</v>
      </c>
      <c r="K125" s="82">
        <f>VLOOKUP(B125,Data!B:L,11,FALSE)</f>
        <v>0</v>
      </c>
    </row>
    <row r="126" spans="1:11" hidden="1" x14ac:dyDescent="0.2">
      <c r="A126" s="82" t="s">
        <v>975</v>
      </c>
      <c r="B126" s="82" t="s">
        <v>301</v>
      </c>
      <c r="C126" s="82" t="s">
        <v>300</v>
      </c>
      <c r="D126" s="83">
        <v>4.3820226460490002</v>
      </c>
      <c r="E126" s="68">
        <v>0.924958273065</v>
      </c>
      <c r="F126" s="68">
        <v>3.457064372984</v>
      </c>
      <c r="G126" s="68">
        <v>-5.6488998457799999</v>
      </c>
      <c r="H126" s="68">
        <v>3.1977845450102</v>
      </c>
      <c r="I126" s="81">
        <v>0.5</v>
      </c>
      <c r="J126" s="82">
        <f>VLOOKUP(B126,Data!B:K,10,FALSE)</f>
        <v>0</v>
      </c>
      <c r="K126" s="82">
        <f>VLOOKUP(B126,Data!B:L,11,FALSE)</f>
        <v>0</v>
      </c>
    </row>
    <row r="127" spans="1:11" hidden="1" x14ac:dyDescent="0.2">
      <c r="A127" s="82" t="s">
        <v>976</v>
      </c>
      <c r="B127" s="82" t="s">
        <v>303</v>
      </c>
      <c r="C127" s="82" t="s">
        <v>302</v>
      </c>
      <c r="D127" s="83">
        <v>2.5326976113070003</v>
      </c>
      <c r="E127" s="68">
        <v>0.66113247782700002</v>
      </c>
      <c r="F127" s="68">
        <v>1.8715651334800001</v>
      </c>
      <c r="G127" s="68">
        <v>-7.3409916065419996</v>
      </c>
      <c r="H127" s="68">
        <v>1.7311977484690002</v>
      </c>
      <c r="I127" s="81">
        <v>0.5</v>
      </c>
      <c r="J127" s="82" t="str">
        <f>VLOOKUP(B127,Data!B:K,10,FALSE)</f>
        <v>Suffolk Business Rates Pool</v>
      </c>
      <c r="K127" s="82">
        <f>VLOOKUP(B127,Data!B:L,11,FALSE)</f>
        <v>0</v>
      </c>
    </row>
    <row r="128" spans="1:11" hidden="1" x14ac:dyDescent="0.2">
      <c r="A128" s="82" t="s">
        <v>977</v>
      </c>
      <c r="B128" s="82" t="s">
        <v>305</v>
      </c>
      <c r="C128" s="82" t="s">
        <v>304</v>
      </c>
      <c r="D128" s="83">
        <v>3.1421663102819997</v>
      </c>
      <c r="E128" s="68">
        <v>0.72141974838700007</v>
      </c>
      <c r="F128" s="68">
        <v>2.4207465618949997</v>
      </c>
      <c r="G128" s="68">
        <v>-2.4443785767269999</v>
      </c>
      <c r="H128" s="68">
        <v>2.2391905697528749</v>
      </c>
      <c r="I128" s="81">
        <v>0.5</v>
      </c>
      <c r="J128" s="82" t="str">
        <f>VLOOKUP(B128,Data!B:K,10,FALSE)</f>
        <v>Gloucestershire Business Rates Pool</v>
      </c>
      <c r="K128" s="82">
        <f>VLOOKUP(B128,Data!B:L,11,FALSE)</f>
        <v>0</v>
      </c>
    </row>
    <row r="129" spans="1:11" hidden="1" x14ac:dyDescent="0.2">
      <c r="A129" s="82" t="s">
        <v>978</v>
      </c>
      <c r="B129" s="82" t="s">
        <v>307</v>
      </c>
      <c r="C129" s="82" t="s">
        <v>306</v>
      </c>
      <c r="D129" s="83">
        <v>2.160963449649</v>
      </c>
      <c r="E129" s="68">
        <v>0.35362475548900002</v>
      </c>
      <c r="F129" s="68">
        <v>1.80733869416</v>
      </c>
      <c r="G129" s="68">
        <v>-7.6836528010649996</v>
      </c>
      <c r="H129" s="68">
        <v>1.6717882920979998</v>
      </c>
      <c r="I129" s="81">
        <v>0.5</v>
      </c>
      <c r="J129" s="82" t="str">
        <f>VLOOKUP(B129,Data!B:K,10,FALSE)</f>
        <v>Lancashire Business Rates Pool</v>
      </c>
      <c r="K129" s="82">
        <f>VLOOKUP(B129,Data!B:L,11,FALSE)</f>
        <v>0</v>
      </c>
    </row>
    <row r="130" spans="1:11" hidden="1" x14ac:dyDescent="0.2">
      <c r="A130" s="82" t="s">
        <v>979</v>
      </c>
      <c r="B130" s="82" t="s">
        <v>309</v>
      </c>
      <c r="C130" s="82" t="s">
        <v>308</v>
      </c>
      <c r="D130" s="83">
        <v>82.385887028795992</v>
      </c>
      <c r="E130" s="68">
        <v>27.783274856666999</v>
      </c>
      <c r="F130" s="68">
        <v>54.602612172129</v>
      </c>
      <c r="G130" s="68">
        <v>13.936230891168</v>
      </c>
      <c r="H130" s="68">
        <v>50.507416259219326</v>
      </c>
      <c r="I130" s="81">
        <v>0</v>
      </c>
      <c r="J130" s="82">
        <f>VLOOKUP(B130,Data!B:K,10,FALSE)</f>
        <v>0</v>
      </c>
      <c r="K130" s="82">
        <f>VLOOKUP(B130,Data!B:L,11,FALSE)</f>
        <v>0</v>
      </c>
    </row>
    <row r="131" spans="1:11" hidden="1" x14ac:dyDescent="0.2">
      <c r="A131" s="82" t="s">
        <v>980</v>
      </c>
      <c r="B131" s="82" t="s">
        <v>312</v>
      </c>
      <c r="C131" s="82" t="s">
        <v>311</v>
      </c>
      <c r="D131" s="83">
        <v>3.6535305482760001</v>
      </c>
      <c r="E131" s="68">
        <v>0.78053858137699994</v>
      </c>
      <c r="F131" s="68">
        <v>2.8729919668990003</v>
      </c>
      <c r="G131" s="68">
        <v>-5.5147552139349996</v>
      </c>
      <c r="H131" s="68">
        <v>2.6575175693815751</v>
      </c>
      <c r="I131" s="81">
        <v>0.5</v>
      </c>
      <c r="J131" s="82" t="str">
        <f>VLOOKUP(B131,Data!B:K,10,FALSE)</f>
        <v>Nottingham Business Rates Pool</v>
      </c>
      <c r="K131" s="82">
        <f>VLOOKUP(B131,Data!B:L,11,FALSE)</f>
        <v>0</v>
      </c>
    </row>
    <row r="132" spans="1:11" x14ac:dyDescent="0.2">
      <c r="A132" s="82" t="s">
        <v>981</v>
      </c>
      <c r="B132" s="82" t="s">
        <v>68</v>
      </c>
      <c r="C132" s="82" t="s">
        <v>982</v>
      </c>
      <c r="D132" s="83">
        <v>1157.153451880934</v>
      </c>
      <c r="E132" s="68">
        <v>148.53765280946402</v>
      </c>
      <c r="F132" s="68">
        <v>1008.6157990714701</v>
      </c>
      <c r="G132" s="68">
        <v>-525.10067483101898</v>
      </c>
      <c r="H132" s="68">
        <v>932.96961414110979</v>
      </c>
      <c r="I132" s="81">
        <v>0.34123275519709906</v>
      </c>
      <c r="J132" s="82">
        <f>VLOOKUP(B132,Data!B:K,10,FALSE)</f>
        <v>0</v>
      </c>
      <c r="K132" s="82" t="str">
        <f>VLOOKUP(B132,Data!B:L,11,FALSE)</f>
        <v>Pilot</v>
      </c>
    </row>
    <row r="133" spans="1:11" hidden="1" x14ac:dyDescent="0.2">
      <c r="A133" s="82" t="s">
        <v>983</v>
      </c>
      <c r="B133" s="82" t="s">
        <v>314</v>
      </c>
      <c r="C133" s="82" t="s">
        <v>313</v>
      </c>
      <c r="D133" s="83">
        <v>4.5522175229409996</v>
      </c>
      <c r="E133" s="68">
        <v>1.0926831347950001</v>
      </c>
      <c r="F133" s="68">
        <v>3.4595343881459999</v>
      </c>
      <c r="G133" s="68">
        <v>-15.252831176279999</v>
      </c>
      <c r="H133" s="68">
        <v>3.20006930903505</v>
      </c>
      <c r="I133" s="81">
        <v>0.5</v>
      </c>
      <c r="J133" s="82" t="str">
        <f>VLOOKUP(B133,Data!B:K,10,FALSE)</f>
        <v>Gloucestershire Business Rates Pool</v>
      </c>
      <c r="K133" s="82">
        <f>VLOOKUP(B133,Data!B:L,11,FALSE)</f>
        <v>0</v>
      </c>
    </row>
    <row r="134" spans="1:11" hidden="1" x14ac:dyDescent="0.2">
      <c r="A134" s="82" t="s">
        <v>984</v>
      </c>
      <c r="B134" s="82" t="s">
        <v>187</v>
      </c>
      <c r="C134" s="82" t="s">
        <v>799</v>
      </c>
      <c r="D134" s="83">
        <v>101.96915092716401</v>
      </c>
      <c r="E134" s="68">
        <v>31.210774018762997</v>
      </c>
      <c r="F134" s="68">
        <v>70.758376908401004</v>
      </c>
      <c r="G134" s="68">
        <v>50.673975713890002</v>
      </c>
      <c r="H134" s="68">
        <v>65.451498640270927</v>
      </c>
      <c r="I134" s="81">
        <v>0</v>
      </c>
      <c r="J134" s="82" t="str">
        <f>VLOOKUP(B134,Data!B:K,10,FALSE)</f>
        <v>Gloucestershire Business Rates Pool</v>
      </c>
      <c r="K134" s="82">
        <f>VLOOKUP(B134,Data!B:L,11,FALSE)</f>
        <v>0</v>
      </c>
    </row>
    <row r="135" spans="1:11" hidden="1" x14ac:dyDescent="0.2">
      <c r="A135" s="82" t="s">
        <v>985</v>
      </c>
      <c r="B135" s="82" t="s">
        <v>316</v>
      </c>
      <c r="C135" s="82" t="s">
        <v>315</v>
      </c>
      <c r="D135" s="83">
        <v>2.9509700151890002</v>
      </c>
      <c r="E135" s="68">
        <v>0.61169607021899997</v>
      </c>
      <c r="F135" s="68">
        <v>2.33927394497</v>
      </c>
      <c r="G135" s="68">
        <v>-3.1738424623210002</v>
      </c>
      <c r="H135" s="68">
        <v>2.1638283990972504</v>
      </c>
      <c r="I135" s="81">
        <v>0.5</v>
      </c>
      <c r="J135" s="82">
        <f>VLOOKUP(B135,Data!B:K,10,FALSE)</f>
        <v>0</v>
      </c>
      <c r="K135" s="82">
        <f>VLOOKUP(B135,Data!B:L,11,FALSE)</f>
        <v>0</v>
      </c>
    </row>
    <row r="136" spans="1:11" hidden="1" x14ac:dyDescent="0.2">
      <c r="A136" s="82" t="s">
        <v>986</v>
      </c>
      <c r="B136" s="82" t="s">
        <v>318</v>
      </c>
      <c r="C136" s="82" t="s">
        <v>317</v>
      </c>
      <c r="D136" s="83">
        <v>3.3588946138670002</v>
      </c>
      <c r="E136" s="68">
        <v>0.59015202428600011</v>
      </c>
      <c r="F136" s="68">
        <v>2.7687425895810001</v>
      </c>
      <c r="G136" s="68">
        <v>-5.8386510272850005</v>
      </c>
      <c r="H136" s="68">
        <v>2.5610868953624251</v>
      </c>
      <c r="I136" s="81">
        <v>0.5</v>
      </c>
      <c r="J136" s="82" t="str">
        <f>VLOOKUP(B136,Data!B:K,10,FALSE)</f>
        <v>Kent Business Rates Pool</v>
      </c>
      <c r="K136" s="82">
        <f>VLOOKUP(B136,Data!B:L,11,FALSE)</f>
        <v>0</v>
      </c>
    </row>
    <row r="137" spans="1:11" hidden="1" x14ac:dyDescent="0.2">
      <c r="A137" s="82" t="s">
        <v>987</v>
      </c>
      <c r="B137" s="82" t="s">
        <v>320</v>
      </c>
      <c r="C137" s="82" t="s">
        <v>319</v>
      </c>
      <c r="D137" s="83">
        <v>6.5933607393949991</v>
      </c>
      <c r="E137" s="68">
        <v>3.0066726488859996</v>
      </c>
      <c r="F137" s="68">
        <v>3.5866880905089999</v>
      </c>
      <c r="G137" s="68">
        <v>-7.9431471545230004</v>
      </c>
      <c r="H137" s="68">
        <v>3.3176864837208249</v>
      </c>
      <c r="I137" s="81">
        <v>0.5</v>
      </c>
      <c r="J137" s="82">
        <f>VLOOKUP(B137,Data!B:K,10,FALSE)</f>
        <v>0</v>
      </c>
      <c r="K137" s="82">
        <f>VLOOKUP(B137,Data!B:L,11,FALSE)</f>
        <v>0</v>
      </c>
    </row>
    <row r="138" spans="1:11" hidden="1" x14ac:dyDescent="0.2">
      <c r="A138" s="82" t="s">
        <v>988</v>
      </c>
      <c r="B138" s="82" t="s">
        <v>113</v>
      </c>
      <c r="C138" s="82" t="s">
        <v>782</v>
      </c>
      <c r="D138" s="83">
        <v>52.453925487511</v>
      </c>
      <c r="E138" s="68">
        <v>22.536005725026001</v>
      </c>
      <c r="F138" s="68">
        <v>29.917919762485003</v>
      </c>
      <c r="G138" s="68">
        <v>20.254935088488001</v>
      </c>
      <c r="H138" s="68">
        <v>27.674075780298629</v>
      </c>
      <c r="I138" s="81">
        <v>0</v>
      </c>
      <c r="J138" s="82">
        <f>VLOOKUP(B138,Data!B:K,10,FALSE)</f>
        <v>0</v>
      </c>
      <c r="K138" s="82">
        <f>VLOOKUP(B138,Data!B:L,11,FALSE)</f>
        <v>0</v>
      </c>
    </row>
    <row r="139" spans="1:11" hidden="1" x14ac:dyDescent="0.2">
      <c r="A139" s="82" t="s">
        <v>989</v>
      </c>
      <c r="B139" s="82" t="s">
        <v>322</v>
      </c>
      <c r="C139" s="82" t="s">
        <v>321</v>
      </c>
      <c r="D139" s="83">
        <v>119.360049506235</v>
      </c>
      <c r="E139" s="68">
        <v>41.394492463163999</v>
      </c>
      <c r="F139" s="68">
        <v>77.965557043071001</v>
      </c>
      <c r="G139" s="68">
        <v>56.968686971802001</v>
      </c>
      <c r="H139" s="68">
        <v>72.118140264840676</v>
      </c>
      <c r="I139" s="81">
        <v>0</v>
      </c>
      <c r="J139" s="82">
        <f>VLOOKUP(B139,Data!B:K,10,FALSE)</f>
        <v>0</v>
      </c>
      <c r="K139" s="82">
        <f>VLOOKUP(B139,Data!B:L,11,FALSE)</f>
        <v>0</v>
      </c>
    </row>
    <row r="140" spans="1:11" hidden="1" x14ac:dyDescent="0.2">
      <c r="A140" s="82" t="s">
        <v>990</v>
      </c>
      <c r="B140" s="82" t="s">
        <v>324</v>
      </c>
      <c r="C140" s="82" t="s">
        <v>323</v>
      </c>
      <c r="D140" s="83">
        <v>3.0542655027349999</v>
      </c>
      <c r="E140" s="68">
        <v>0.31940692943400001</v>
      </c>
      <c r="F140" s="68">
        <v>2.734858573301</v>
      </c>
      <c r="G140" s="68">
        <v>-30.213400404249001</v>
      </c>
      <c r="H140" s="68">
        <v>2.5297441803034251</v>
      </c>
      <c r="I140" s="81">
        <v>0.5</v>
      </c>
      <c r="J140" s="82" t="str">
        <f>VLOOKUP(B140,Data!B:K,10,FALSE)</f>
        <v>Surrey-Croydon Business Rates Pool</v>
      </c>
      <c r="K140" s="82">
        <f>VLOOKUP(B140,Data!B:L,11,FALSE)</f>
        <v>0</v>
      </c>
    </row>
    <row r="141" spans="1:11" hidden="1" x14ac:dyDescent="0.2">
      <c r="A141" s="82" t="s">
        <v>991</v>
      </c>
      <c r="B141" s="82" t="s">
        <v>326</v>
      </c>
      <c r="C141" s="82" t="s">
        <v>325</v>
      </c>
      <c r="D141" s="83">
        <v>158.59757196753199</v>
      </c>
      <c r="E141" s="68">
        <v>54.904373185056997</v>
      </c>
      <c r="F141" s="68">
        <v>103.69319878247499</v>
      </c>
      <c r="G141" s="68">
        <v>67.977014436704991</v>
      </c>
      <c r="H141" s="68">
        <v>95.916208873789373</v>
      </c>
      <c r="I141" s="81">
        <v>0</v>
      </c>
      <c r="J141" s="82">
        <f>VLOOKUP(B141,Data!B:K,10,FALSE)</f>
        <v>0</v>
      </c>
      <c r="K141" s="82">
        <f>VLOOKUP(B141,Data!B:L,11,FALSE)</f>
        <v>0</v>
      </c>
    </row>
    <row r="142" spans="1:11" x14ac:dyDescent="0.2">
      <c r="A142" s="82" t="s">
        <v>992</v>
      </c>
      <c r="B142" s="82" t="s">
        <v>328</v>
      </c>
      <c r="C142" s="82" t="s">
        <v>327</v>
      </c>
      <c r="D142" s="83">
        <v>50.506603774879004</v>
      </c>
      <c r="E142" s="68">
        <v>16.790413718341</v>
      </c>
      <c r="F142" s="68">
        <v>33.716190056538004</v>
      </c>
      <c r="G142" s="68">
        <v>12.127723142781001</v>
      </c>
      <c r="H142" s="68">
        <v>31.187475802297651</v>
      </c>
      <c r="I142" s="81">
        <v>0</v>
      </c>
      <c r="J142" s="82" t="str">
        <f>VLOOKUP(B142,Data!B:K,10,FALSE)</f>
        <v>Mid Merseyside Business Rates Pool</v>
      </c>
      <c r="K142" s="82" t="str">
        <f>VLOOKUP(B142,Data!B:L,11,FALSE)</f>
        <v>Pilot</v>
      </c>
    </row>
    <row r="143" spans="1:11" hidden="1" x14ac:dyDescent="0.2">
      <c r="A143" s="82" t="s">
        <v>994</v>
      </c>
      <c r="B143" s="82" t="s">
        <v>330</v>
      </c>
      <c r="C143" s="82" t="s">
        <v>329</v>
      </c>
      <c r="D143" s="83">
        <v>2.5712031263330002</v>
      </c>
      <c r="E143" s="68">
        <v>0.62164015473800005</v>
      </c>
      <c r="F143" s="68">
        <v>1.949562971595</v>
      </c>
      <c r="G143" s="68">
        <v>-8.4716252346509986</v>
      </c>
      <c r="H143" s="68">
        <v>1.8033457487253752</v>
      </c>
      <c r="I143" s="81">
        <v>0.5</v>
      </c>
      <c r="J143" s="82" t="str">
        <f>VLOOKUP(B143,Data!B:K,10,FALSE)</f>
        <v>North Yorkshire Business Rates Pool</v>
      </c>
      <c r="K143" s="82">
        <f>VLOOKUP(B143,Data!B:L,11,FALSE)</f>
        <v>0</v>
      </c>
    </row>
    <row r="144" spans="1:11" hidden="1" x14ac:dyDescent="0.2">
      <c r="A144" s="82" t="s">
        <v>995</v>
      </c>
      <c r="B144" s="82" t="s">
        <v>332</v>
      </c>
      <c r="C144" s="82" t="s">
        <v>331</v>
      </c>
      <c r="D144" s="83">
        <v>87.264033253109005</v>
      </c>
      <c r="E144" s="68">
        <v>29.498822357051001</v>
      </c>
      <c r="F144" s="68">
        <v>57.765210896058001</v>
      </c>
      <c r="G144" s="68">
        <v>-18.059189124306002</v>
      </c>
      <c r="H144" s="68">
        <v>53.432820078853652</v>
      </c>
      <c r="I144" s="81">
        <v>0.20854752270034382</v>
      </c>
      <c r="J144" s="82">
        <f>VLOOKUP(B144,Data!B:K,10,FALSE)</f>
        <v>0</v>
      </c>
      <c r="K144" s="82">
        <f>VLOOKUP(B144,Data!B:L,11,FALSE)</f>
        <v>0</v>
      </c>
    </row>
    <row r="145" spans="1:11" hidden="1" x14ac:dyDescent="0.2">
      <c r="A145" s="82" t="s">
        <v>996</v>
      </c>
      <c r="B145" s="82" t="s">
        <v>83</v>
      </c>
      <c r="C145" s="82" t="s">
        <v>800</v>
      </c>
      <c r="D145" s="83">
        <v>156.16071268423198</v>
      </c>
      <c r="E145" s="68">
        <v>43.859626903751</v>
      </c>
      <c r="F145" s="68">
        <v>112.30108578048099</v>
      </c>
      <c r="G145" s="68">
        <v>69.556060513729008</v>
      </c>
      <c r="H145" s="68">
        <v>103.87850434694492</v>
      </c>
      <c r="I145" s="81">
        <v>0</v>
      </c>
      <c r="J145" s="82">
        <f>VLOOKUP(B145,Data!B:K,10,FALSE)</f>
        <v>0</v>
      </c>
      <c r="K145" s="82">
        <f>VLOOKUP(B145,Data!B:L,11,FALSE)</f>
        <v>0</v>
      </c>
    </row>
    <row r="146" spans="1:11" hidden="1" x14ac:dyDescent="0.2">
      <c r="A146" s="82" t="s">
        <v>997</v>
      </c>
      <c r="B146" s="82" t="s">
        <v>84</v>
      </c>
      <c r="C146" s="82" t="s">
        <v>998</v>
      </c>
      <c r="D146" s="83">
        <v>23.238109515571999</v>
      </c>
      <c r="E146" s="68">
        <v>9.6343533696120005</v>
      </c>
      <c r="F146" s="68">
        <v>13.60375614596</v>
      </c>
      <c r="G146" s="68">
        <v>7.0740676936349995</v>
      </c>
      <c r="H146" s="68">
        <v>12.583474435013001</v>
      </c>
      <c r="I146" s="81">
        <v>0</v>
      </c>
      <c r="J146" s="82">
        <f>VLOOKUP(B146,Data!B:K,10,FALSE)</f>
        <v>0</v>
      </c>
      <c r="K146" s="82">
        <f>VLOOKUP(B146,Data!B:L,11,FALSE)</f>
        <v>0</v>
      </c>
    </row>
    <row r="147" spans="1:11" hidden="1" x14ac:dyDescent="0.2">
      <c r="A147" s="82" t="s">
        <v>999</v>
      </c>
      <c r="B147" s="82" t="s">
        <v>334</v>
      </c>
      <c r="C147" s="82" t="s">
        <v>333</v>
      </c>
      <c r="D147" s="83">
        <v>1.953720030258</v>
      </c>
      <c r="E147" s="68">
        <v>0.300237606677</v>
      </c>
      <c r="F147" s="68">
        <v>1.6534824235809999</v>
      </c>
      <c r="G147" s="68">
        <v>-12.733057973641001</v>
      </c>
      <c r="H147" s="68">
        <v>1.529471241812425</v>
      </c>
      <c r="I147" s="81">
        <v>0.5</v>
      </c>
      <c r="J147" s="82" t="str">
        <f>VLOOKUP(B147,Data!B:K,10,FALSE)</f>
        <v>Leicestershire Business Rates Pool</v>
      </c>
      <c r="K147" s="82">
        <f>VLOOKUP(B147,Data!B:L,11,FALSE)</f>
        <v>0</v>
      </c>
    </row>
    <row r="148" spans="1:11" hidden="1" x14ac:dyDescent="0.2">
      <c r="A148" s="82" t="s">
        <v>1000</v>
      </c>
      <c r="B148" s="82" t="s">
        <v>336</v>
      </c>
      <c r="C148" s="82" t="s">
        <v>335</v>
      </c>
      <c r="D148" s="83">
        <v>115.156659697495</v>
      </c>
      <c r="E148" s="68">
        <v>38.589542595551997</v>
      </c>
      <c r="F148" s="68">
        <v>76.567117101942998</v>
      </c>
      <c r="G148" s="68">
        <v>54.232403248703001</v>
      </c>
      <c r="H148" s="68">
        <v>70.82458331929729</v>
      </c>
      <c r="I148" s="81">
        <v>0</v>
      </c>
      <c r="J148" s="82">
        <f>VLOOKUP(B148,Data!B:K,10,FALSE)</f>
        <v>0</v>
      </c>
      <c r="K148" s="82">
        <f>VLOOKUP(B148,Data!B:L,11,FALSE)</f>
        <v>0</v>
      </c>
    </row>
    <row r="149" spans="1:11" hidden="1" x14ac:dyDescent="0.2">
      <c r="A149" s="82" t="s">
        <v>1001</v>
      </c>
      <c r="B149" s="82" t="s">
        <v>338</v>
      </c>
      <c r="C149" s="82" t="s">
        <v>337</v>
      </c>
      <c r="D149" s="83">
        <v>3.5145005605650002</v>
      </c>
      <c r="E149" s="68">
        <v>0.60252745239200001</v>
      </c>
      <c r="F149" s="68">
        <v>2.911973108173</v>
      </c>
      <c r="G149" s="68">
        <v>-14.597697872583</v>
      </c>
      <c r="H149" s="68">
        <v>2.6935751250600251</v>
      </c>
      <c r="I149" s="81">
        <v>0.5</v>
      </c>
      <c r="J149" s="82">
        <f>VLOOKUP(B149,Data!B:K,10,FALSE)</f>
        <v>0</v>
      </c>
      <c r="K149" s="82">
        <f>VLOOKUP(B149,Data!B:L,11,FALSE)</f>
        <v>0</v>
      </c>
    </row>
    <row r="150" spans="1:11" hidden="1" x14ac:dyDescent="0.2">
      <c r="A150" s="82" t="s">
        <v>1002</v>
      </c>
      <c r="B150" s="82" t="s">
        <v>340</v>
      </c>
      <c r="C150" s="82" t="s">
        <v>339</v>
      </c>
      <c r="D150" s="83">
        <v>3.8944704538599999</v>
      </c>
      <c r="E150" s="68">
        <v>0.39942199968800002</v>
      </c>
      <c r="F150" s="68">
        <v>3.4950484541719997</v>
      </c>
      <c r="G150" s="68">
        <v>-20.426669961697002</v>
      </c>
      <c r="H150" s="68">
        <v>3.2329198201091001</v>
      </c>
      <c r="I150" s="81">
        <v>0.5</v>
      </c>
      <c r="J150" s="82" t="str">
        <f>VLOOKUP(B150,Data!B:K,10,FALSE)</f>
        <v>Leeds City Region Business Rates Pool</v>
      </c>
      <c r="K150" s="82">
        <f>VLOOKUP(B150,Data!B:L,11,FALSE)</f>
        <v>0</v>
      </c>
    </row>
    <row r="151" spans="1:11" hidden="1" x14ac:dyDescent="0.2">
      <c r="A151" s="82" t="s">
        <v>1003</v>
      </c>
      <c r="B151" s="82" t="s">
        <v>342</v>
      </c>
      <c r="C151" s="82" t="s">
        <v>341</v>
      </c>
      <c r="D151" s="83">
        <v>50.070859788871999</v>
      </c>
      <c r="E151" s="68">
        <v>13.019177869717</v>
      </c>
      <c r="F151" s="68">
        <v>37.051681919155001</v>
      </c>
      <c r="G151" s="68">
        <v>21.049306607585002</v>
      </c>
      <c r="H151" s="68">
        <v>34.272805775218373</v>
      </c>
      <c r="I151" s="81">
        <v>0</v>
      </c>
      <c r="J151" s="82">
        <f>VLOOKUP(B151,Data!B:K,10,FALSE)</f>
        <v>0</v>
      </c>
      <c r="K151" s="82">
        <f>VLOOKUP(B151,Data!B:L,11,FALSE)</f>
        <v>0</v>
      </c>
    </row>
    <row r="152" spans="1:11" hidden="1" x14ac:dyDescent="0.2">
      <c r="A152" s="82" t="s">
        <v>1004</v>
      </c>
      <c r="B152" s="82" t="s">
        <v>344</v>
      </c>
      <c r="C152" s="82" t="s">
        <v>343</v>
      </c>
      <c r="D152" s="83">
        <v>1.3727991750819999</v>
      </c>
      <c r="E152" s="68">
        <v>8.2144799771999996E-2</v>
      </c>
      <c r="F152" s="68">
        <v>1.2906543753099999</v>
      </c>
      <c r="G152" s="68">
        <v>-10.839179470153001</v>
      </c>
      <c r="H152" s="68">
        <v>1.19385529716175</v>
      </c>
      <c r="I152" s="81">
        <v>0.5</v>
      </c>
      <c r="J152" s="82">
        <f>VLOOKUP(B152,Data!B:K,10,FALSE)</f>
        <v>0</v>
      </c>
      <c r="K152" s="82">
        <f>VLOOKUP(B152,Data!B:L,11,FALSE)</f>
        <v>0</v>
      </c>
    </row>
    <row r="153" spans="1:11" hidden="1" x14ac:dyDescent="0.2">
      <c r="A153" s="82" t="s">
        <v>1005</v>
      </c>
      <c r="B153" s="82" t="s">
        <v>346</v>
      </c>
      <c r="C153" s="82" t="s">
        <v>345</v>
      </c>
      <c r="D153" s="83">
        <v>40.392310435205999</v>
      </c>
      <c r="E153" s="68">
        <v>13.785538772345999</v>
      </c>
      <c r="F153" s="68">
        <v>26.606771662859998</v>
      </c>
      <c r="G153" s="68">
        <v>7.7510964710010004</v>
      </c>
      <c r="H153" s="68">
        <v>24.6112637881455</v>
      </c>
      <c r="I153" s="81">
        <v>0</v>
      </c>
      <c r="J153" s="82">
        <f>VLOOKUP(B153,Data!B:K,10,FALSE)</f>
        <v>0</v>
      </c>
      <c r="K153" s="82">
        <f>VLOOKUP(B153,Data!B:L,11,FALSE)</f>
        <v>0</v>
      </c>
    </row>
    <row r="154" spans="1:11" hidden="1" x14ac:dyDescent="0.2">
      <c r="A154" s="82" t="s">
        <v>1006</v>
      </c>
      <c r="B154" s="82" t="s">
        <v>349</v>
      </c>
      <c r="C154" s="82" t="s">
        <v>348</v>
      </c>
      <c r="D154" s="83">
        <v>5.6049058766739996</v>
      </c>
      <c r="E154" s="68">
        <v>2.0379817139680001</v>
      </c>
      <c r="F154" s="68">
        <v>3.566924162706</v>
      </c>
      <c r="G154" s="68">
        <v>-5.2432913706840001</v>
      </c>
      <c r="H154" s="68">
        <v>3.2994048505030498</v>
      </c>
      <c r="I154" s="81">
        <v>0.5</v>
      </c>
      <c r="J154" s="82">
        <f>VLOOKUP(B154,Data!B:K,10,FALSE)</f>
        <v>0</v>
      </c>
      <c r="K154" s="82">
        <f>VLOOKUP(B154,Data!B:L,11,FALSE)</f>
        <v>0</v>
      </c>
    </row>
    <row r="155" spans="1:11" hidden="1" x14ac:dyDescent="0.2">
      <c r="A155" s="82" t="s">
        <v>1007</v>
      </c>
      <c r="B155" s="82" t="s">
        <v>351</v>
      </c>
      <c r="C155" s="82" t="s">
        <v>350</v>
      </c>
      <c r="D155" s="83">
        <v>3.8975060461450002</v>
      </c>
      <c r="E155" s="68">
        <v>0.77108002859899993</v>
      </c>
      <c r="F155" s="68">
        <v>3.1264260175460001</v>
      </c>
      <c r="G155" s="68">
        <v>-9.1674020962850005</v>
      </c>
      <c r="H155" s="68">
        <v>2.8919440662300504</v>
      </c>
      <c r="I155" s="81">
        <v>0.5</v>
      </c>
      <c r="J155" s="82">
        <f>VLOOKUP(B155,Data!B:K,10,FALSE)</f>
        <v>0</v>
      </c>
      <c r="K155" s="82">
        <f>VLOOKUP(B155,Data!B:L,11,FALSE)</f>
        <v>0</v>
      </c>
    </row>
    <row r="156" spans="1:11" hidden="1" x14ac:dyDescent="0.2">
      <c r="A156" s="82" t="s">
        <v>1008</v>
      </c>
      <c r="B156" s="82" t="s">
        <v>353</v>
      </c>
      <c r="C156" s="82" t="s">
        <v>352</v>
      </c>
      <c r="D156" s="83">
        <v>44.555836617499999</v>
      </c>
      <c r="E156" s="68">
        <v>12.283528309599999</v>
      </c>
      <c r="F156" s="68">
        <v>32.272308307899998</v>
      </c>
      <c r="G156" s="68">
        <v>9.2318357646549991</v>
      </c>
      <c r="H156" s="68">
        <v>29.8518851848075</v>
      </c>
      <c r="I156" s="81">
        <v>0</v>
      </c>
      <c r="J156" s="82" t="str">
        <f>VLOOKUP(B156,Data!B:K,10,FALSE)</f>
        <v>East London / South Essex Business Rates Pool</v>
      </c>
      <c r="K156" s="82">
        <f>VLOOKUP(B156,Data!B:L,11,FALSE)</f>
        <v>0</v>
      </c>
    </row>
    <row r="157" spans="1:11" hidden="1" x14ac:dyDescent="0.2">
      <c r="A157" s="82" t="s">
        <v>1009</v>
      </c>
      <c r="B157" s="82" t="s">
        <v>150</v>
      </c>
      <c r="C157" s="82" t="s">
        <v>1010</v>
      </c>
      <c r="D157" s="83">
        <v>8.4245643689329999</v>
      </c>
      <c r="E157" s="68">
        <v>3.1130079541170002</v>
      </c>
      <c r="F157" s="68">
        <v>5.3115564148159997</v>
      </c>
      <c r="G157" s="68">
        <v>3.1529267278240001</v>
      </c>
      <c r="H157" s="68">
        <v>4.9131896837048004</v>
      </c>
      <c r="I157" s="81">
        <v>0</v>
      </c>
      <c r="J157" s="82">
        <f>VLOOKUP(B157,Data!B:K,10,FALSE)</f>
        <v>0</v>
      </c>
      <c r="K157" s="82">
        <f>VLOOKUP(B157,Data!B:L,11,FALSE)</f>
        <v>0</v>
      </c>
    </row>
    <row r="158" spans="1:11" hidden="1" x14ac:dyDescent="0.2">
      <c r="A158" s="82" t="s">
        <v>1011</v>
      </c>
      <c r="B158" s="82" t="s">
        <v>355</v>
      </c>
      <c r="C158" s="82" t="s">
        <v>354</v>
      </c>
      <c r="D158" s="83">
        <v>40.574723520482003</v>
      </c>
      <c r="E158" s="68">
        <v>10.092475878644001</v>
      </c>
      <c r="F158" s="68">
        <v>30.482247641838001</v>
      </c>
      <c r="G158" s="68">
        <v>9.0110514063820002</v>
      </c>
      <c r="H158" s="68">
        <v>28.196079068700151</v>
      </c>
      <c r="I158" s="81">
        <v>0</v>
      </c>
      <c r="J158" s="82">
        <f>VLOOKUP(B158,Data!B:K,10,FALSE)</f>
        <v>0</v>
      </c>
      <c r="K158" s="82">
        <f>VLOOKUP(B158,Data!B:L,11,FALSE)</f>
        <v>0</v>
      </c>
    </row>
    <row r="159" spans="1:11" hidden="1" x14ac:dyDescent="0.2">
      <c r="A159" s="82" t="s">
        <v>1012</v>
      </c>
      <c r="B159" s="82" t="s">
        <v>153</v>
      </c>
      <c r="C159" s="82" t="s">
        <v>801</v>
      </c>
      <c r="D159" s="83">
        <v>160.39283735864299</v>
      </c>
      <c r="E159" s="68">
        <v>44.534809034318002</v>
      </c>
      <c r="F159" s="68">
        <v>115.85802832432499</v>
      </c>
      <c r="G159" s="68">
        <v>69.530602902151003</v>
      </c>
      <c r="H159" s="68">
        <v>107.16867620000063</v>
      </c>
      <c r="I159" s="81">
        <v>0</v>
      </c>
      <c r="J159" s="82">
        <f>VLOOKUP(B159,Data!B:K,10,FALSE)</f>
        <v>0</v>
      </c>
      <c r="K159" s="82">
        <f>VLOOKUP(B159,Data!B:L,11,FALSE)</f>
        <v>0</v>
      </c>
    </row>
    <row r="160" spans="1:11" hidden="1" x14ac:dyDescent="0.2">
      <c r="A160" s="82" t="s">
        <v>1013</v>
      </c>
      <c r="B160" s="82" t="s">
        <v>357</v>
      </c>
      <c r="C160" s="82" t="s">
        <v>356</v>
      </c>
      <c r="D160" s="83">
        <v>3.1558259142039997</v>
      </c>
      <c r="E160" s="68">
        <v>0.61311949449299996</v>
      </c>
      <c r="F160" s="68">
        <v>2.5427064197109996</v>
      </c>
      <c r="G160" s="68">
        <v>-14.599857993724999</v>
      </c>
      <c r="H160" s="68">
        <v>2.3520034382326749</v>
      </c>
      <c r="I160" s="81">
        <v>0.5</v>
      </c>
      <c r="J160" s="82">
        <f>VLOOKUP(B160,Data!B:K,10,FALSE)</f>
        <v>0</v>
      </c>
      <c r="K160" s="82">
        <f>VLOOKUP(B160,Data!B:L,11,FALSE)</f>
        <v>0</v>
      </c>
    </row>
    <row r="161" spans="1:11" hidden="1" x14ac:dyDescent="0.2">
      <c r="A161" s="82" t="s">
        <v>1014</v>
      </c>
      <c r="B161" s="82" t="s">
        <v>359</v>
      </c>
      <c r="C161" s="82" t="s">
        <v>358</v>
      </c>
      <c r="D161" s="83">
        <v>2.7912287940340006</v>
      </c>
      <c r="E161" s="68">
        <v>0.58009654309000003</v>
      </c>
      <c r="F161" s="68">
        <v>2.2111322509440003</v>
      </c>
      <c r="G161" s="68">
        <v>-7.6832118294980001</v>
      </c>
      <c r="H161" s="68">
        <v>2.0452973321232002</v>
      </c>
      <c r="I161" s="81">
        <v>0.5</v>
      </c>
      <c r="J161" s="82" t="str">
        <f>VLOOKUP(B161,Data!B:K,10,FALSE)</f>
        <v>Derbyshire Business Rates Pool</v>
      </c>
      <c r="K161" s="82">
        <f>VLOOKUP(B161,Data!B:L,11,FALSE)</f>
        <v>0</v>
      </c>
    </row>
    <row r="162" spans="1:11" hidden="1" x14ac:dyDescent="0.2">
      <c r="A162" s="82" t="s">
        <v>1015</v>
      </c>
      <c r="B162" s="82" t="s">
        <v>361</v>
      </c>
      <c r="C162" s="82" t="s">
        <v>360</v>
      </c>
      <c r="D162" s="83">
        <v>63.611207187686006</v>
      </c>
      <c r="E162" s="68">
        <v>19.512819527924002</v>
      </c>
      <c r="F162" s="68">
        <v>44.098387659762004</v>
      </c>
      <c r="G162" s="68">
        <v>-51.412256719175005</v>
      </c>
      <c r="H162" s="68">
        <v>40.791008585279855</v>
      </c>
      <c r="I162" s="81">
        <v>0.5</v>
      </c>
      <c r="J162" s="82">
        <f>VLOOKUP(B162,Data!B:K,10,FALSE)</f>
        <v>0</v>
      </c>
      <c r="K162" s="82">
        <f>VLOOKUP(B162,Data!B:L,11,FALSE)</f>
        <v>0</v>
      </c>
    </row>
    <row r="163" spans="1:11" hidden="1" x14ac:dyDescent="0.2">
      <c r="A163" s="82" t="s">
        <v>1016</v>
      </c>
      <c r="B163" s="82" t="s">
        <v>363</v>
      </c>
      <c r="C163" s="82" t="s">
        <v>362</v>
      </c>
      <c r="D163" s="83">
        <v>3.1808417539040001</v>
      </c>
      <c r="E163" s="68">
        <v>0.75392673008600009</v>
      </c>
      <c r="F163" s="68">
        <v>2.4269150238180002</v>
      </c>
      <c r="G163" s="68">
        <v>-9.0629747235060005</v>
      </c>
      <c r="H163" s="68">
        <v>2.2448963970316504</v>
      </c>
      <c r="I163" s="81">
        <v>0.5</v>
      </c>
      <c r="J163" s="82" t="str">
        <f>VLOOKUP(B163,Data!B:K,10,FALSE)</f>
        <v>Leicestershire Business Rates Pool</v>
      </c>
      <c r="K163" s="82">
        <f>VLOOKUP(B163,Data!B:L,11,FALSE)</f>
        <v>0</v>
      </c>
    </row>
    <row r="164" spans="1:11" hidden="1" x14ac:dyDescent="0.2">
      <c r="A164" s="82" t="s">
        <v>1017</v>
      </c>
      <c r="B164" s="82" t="s">
        <v>365</v>
      </c>
      <c r="C164" s="82" t="s">
        <v>364</v>
      </c>
      <c r="D164" s="83">
        <v>2.0656644704909999</v>
      </c>
      <c r="E164" s="68">
        <v>0.14924126041300001</v>
      </c>
      <c r="F164" s="68">
        <v>1.9164232100780001</v>
      </c>
      <c r="G164" s="68">
        <v>-14.228100412031001</v>
      </c>
      <c r="H164" s="68">
        <v>1.77269146932215</v>
      </c>
      <c r="I164" s="81">
        <v>0.5</v>
      </c>
      <c r="J164" s="82">
        <f>VLOOKUP(B164,Data!B:K,10,FALSE)</f>
        <v>0</v>
      </c>
      <c r="K164" s="82">
        <f>VLOOKUP(B164,Data!B:L,11,FALSE)</f>
        <v>0</v>
      </c>
    </row>
    <row r="165" spans="1:11" hidden="1" x14ac:dyDescent="0.2">
      <c r="A165" s="82" t="s">
        <v>1018</v>
      </c>
      <c r="B165" s="82" t="s">
        <v>367</v>
      </c>
      <c r="C165" s="82" t="s">
        <v>366</v>
      </c>
      <c r="D165" s="83">
        <v>67.807943785009996</v>
      </c>
      <c r="E165" s="68">
        <v>21.767140853282001</v>
      </c>
      <c r="F165" s="68">
        <v>46.040802931727995</v>
      </c>
      <c r="G165" s="68">
        <v>-5.5616496479829998</v>
      </c>
      <c r="H165" s="68">
        <v>42.587742711848399</v>
      </c>
      <c r="I165" s="81">
        <v>0.10413470365135791</v>
      </c>
      <c r="J165" s="82">
        <f>VLOOKUP(B165,Data!B:K,10,FALSE)</f>
        <v>0</v>
      </c>
      <c r="K165" s="82">
        <f>VLOOKUP(B165,Data!B:L,11,FALSE)</f>
        <v>0</v>
      </c>
    </row>
    <row r="166" spans="1:11" hidden="1" x14ac:dyDescent="0.2">
      <c r="A166" s="82" t="s">
        <v>1019</v>
      </c>
      <c r="B166" s="82" t="s">
        <v>275</v>
      </c>
      <c r="C166" s="82" t="s">
        <v>1020</v>
      </c>
      <c r="D166" s="83">
        <v>20.959723687846001</v>
      </c>
      <c r="E166" s="68">
        <v>9.0213085177250001</v>
      </c>
      <c r="F166" s="68">
        <v>11.938415170120999</v>
      </c>
      <c r="G166" s="68">
        <v>9.1264602289649996</v>
      </c>
      <c r="H166" s="68">
        <v>11.043034032361925</v>
      </c>
      <c r="I166" s="81">
        <v>0</v>
      </c>
      <c r="J166" s="82">
        <f>VLOOKUP(B166,Data!B:K,10,FALSE)</f>
        <v>0</v>
      </c>
      <c r="K166" s="82">
        <f>VLOOKUP(B166,Data!B:L,11,FALSE)</f>
        <v>0</v>
      </c>
    </row>
    <row r="167" spans="1:11" hidden="1" x14ac:dyDescent="0.2">
      <c r="A167" s="82" t="s">
        <v>1021</v>
      </c>
      <c r="B167" s="82" t="s">
        <v>369</v>
      </c>
      <c r="C167" s="82" t="s">
        <v>368</v>
      </c>
      <c r="D167" s="83">
        <v>5.4623083346449999</v>
      </c>
      <c r="E167" s="68">
        <v>1.181847212451</v>
      </c>
      <c r="F167" s="68">
        <v>4.2804611221939997</v>
      </c>
      <c r="G167" s="68">
        <v>-17.298781728781996</v>
      </c>
      <c r="H167" s="68">
        <v>3.95942653802945</v>
      </c>
      <c r="I167" s="81">
        <v>0.5</v>
      </c>
      <c r="J167" s="82">
        <f>VLOOKUP(B167,Data!B:K,10,FALSE)</f>
        <v>0</v>
      </c>
      <c r="K167" s="82">
        <f>VLOOKUP(B167,Data!B:L,11,FALSE)</f>
        <v>0</v>
      </c>
    </row>
    <row r="168" spans="1:11" hidden="1" x14ac:dyDescent="0.2">
      <c r="A168" s="82" t="s">
        <v>1022</v>
      </c>
      <c r="B168" s="82" t="s">
        <v>371</v>
      </c>
      <c r="C168" s="82" t="s">
        <v>370</v>
      </c>
      <c r="D168" s="83">
        <v>5.8436879332549996</v>
      </c>
      <c r="E168" s="68">
        <v>2.4810966710910001</v>
      </c>
      <c r="F168" s="68">
        <v>3.362591262164</v>
      </c>
      <c r="G168" s="68">
        <v>-3.8160139942870002</v>
      </c>
      <c r="H168" s="68">
        <v>3.1103969175017001</v>
      </c>
      <c r="I168" s="81">
        <v>0.5</v>
      </c>
      <c r="J168" s="82" t="str">
        <f>VLOOKUP(B168,Data!B:K,10,FALSE)</f>
        <v>Lancashire Business Rates Pool</v>
      </c>
      <c r="K168" s="82">
        <f>VLOOKUP(B168,Data!B:L,11,FALSE)</f>
        <v>0</v>
      </c>
    </row>
    <row r="169" spans="1:11" hidden="1" x14ac:dyDescent="0.2">
      <c r="A169" s="82" t="s">
        <v>1023</v>
      </c>
      <c r="B169" s="82" t="s">
        <v>373</v>
      </c>
      <c r="C169" s="82" t="s">
        <v>372</v>
      </c>
      <c r="D169" s="83">
        <v>4.5093541269130002</v>
      </c>
      <c r="E169" s="68">
        <v>0.44027596615699999</v>
      </c>
      <c r="F169" s="68">
        <v>4.0690781607559998</v>
      </c>
      <c r="G169" s="68">
        <v>-15.959147145059999</v>
      </c>
      <c r="H169" s="68">
        <v>3.7638972986993005</v>
      </c>
      <c r="I169" s="81">
        <v>0.5</v>
      </c>
      <c r="J169" s="82" t="str">
        <f>VLOOKUP(B169,Data!B:K,10,FALSE)</f>
        <v>Suffolk Business Rates Pool</v>
      </c>
      <c r="K169" s="82">
        <f>VLOOKUP(B169,Data!B:L,11,FALSE)</f>
        <v>0</v>
      </c>
    </row>
    <row r="170" spans="1:11" hidden="1" x14ac:dyDescent="0.2">
      <c r="A170" s="82" t="s">
        <v>1024</v>
      </c>
      <c r="B170" s="82" t="s">
        <v>375</v>
      </c>
      <c r="C170" s="82" t="s">
        <v>374</v>
      </c>
      <c r="D170" s="83">
        <v>43.321237253768004</v>
      </c>
      <c r="E170" s="68">
        <v>12.718346481455001</v>
      </c>
      <c r="F170" s="68">
        <v>30.602890772313</v>
      </c>
      <c r="G170" s="68">
        <v>12.365366184576999</v>
      </c>
      <c r="H170" s="68">
        <v>28.307673964389526</v>
      </c>
      <c r="I170" s="81">
        <v>0</v>
      </c>
      <c r="J170" s="82">
        <f>VLOOKUP(B170,Data!B:K,10,FALSE)</f>
        <v>0</v>
      </c>
      <c r="K170" s="82">
        <f>VLOOKUP(B170,Data!B:L,11,FALSE)</f>
        <v>0</v>
      </c>
    </row>
    <row r="171" spans="1:11" hidden="1" x14ac:dyDescent="0.2">
      <c r="A171" s="82" t="s">
        <v>1025</v>
      </c>
      <c r="B171" s="82" t="s">
        <v>377</v>
      </c>
      <c r="C171" s="82" t="s">
        <v>376</v>
      </c>
      <c r="D171" s="83">
        <v>3.286043107872</v>
      </c>
      <c r="E171" s="68">
        <v>1.862447080678</v>
      </c>
      <c r="F171" s="68">
        <v>1.423596027194</v>
      </c>
      <c r="G171" s="68">
        <v>0.54762441573500009</v>
      </c>
      <c r="H171" s="68">
        <v>1.3168263251544501</v>
      </c>
      <c r="I171" s="81">
        <v>0</v>
      </c>
      <c r="J171" s="82">
        <f>VLOOKUP(B171,Data!B:K,10,FALSE)</f>
        <v>0</v>
      </c>
      <c r="K171" s="82">
        <f>VLOOKUP(B171,Data!B:L,11,FALSE)</f>
        <v>0</v>
      </c>
    </row>
    <row r="172" spans="1:11" hidden="1" x14ac:dyDescent="0.2">
      <c r="A172" s="82" t="s">
        <v>1026</v>
      </c>
      <c r="B172" s="82" t="s">
        <v>379</v>
      </c>
      <c r="C172" s="82" t="s">
        <v>378</v>
      </c>
      <c r="D172" s="83">
        <v>120.43428252387201</v>
      </c>
      <c r="E172" s="68">
        <v>40.818496737525003</v>
      </c>
      <c r="F172" s="68">
        <v>79.615785786347004</v>
      </c>
      <c r="G172" s="68">
        <v>2.637382164895</v>
      </c>
      <c r="H172" s="68">
        <v>73.644601852370982</v>
      </c>
      <c r="I172" s="81">
        <v>0</v>
      </c>
      <c r="J172" s="82">
        <f>VLOOKUP(B172,Data!B:K,10,FALSE)</f>
        <v>0</v>
      </c>
      <c r="K172" s="82">
        <f>VLOOKUP(B172,Data!B:L,11,FALSE)</f>
        <v>0</v>
      </c>
    </row>
    <row r="173" spans="1:11" hidden="1" x14ac:dyDescent="0.2">
      <c r="A173" s="82" t="s">
        <v>1027</v>
      </c>
      <c r="B173" s="82" t="s">
        <v>381</v>
      </c>
      <c r="C173" s="82" t="s">
        <v>380</v>
      </c>
      <c r="D173" s="83">
        <v>71.553519844985999</v>
      </c>
      <c r="E173" s="68">
        <v>22.31103930902</v>
      </c>
      <c r="F173" s="68">
        <v>49.242480535966003</v>
      </c>
      <c r="G173" s="68">
        <v>-50.039253760302998</v>
      </c>
      <c r="H173" s="68">
        <v>45.549294495768557</v>
      </c>
      <c r="I173" s="81">
        <v>0.5</v>
      </c>
      <c r="J173" s="82">
        <f>VLOOKUP(B173,Data!B:K,10,FALSE)</f>
        <v>0</v>
      </c>
      <c r="K173" s="82">
        <f>VLOOKUP(B173,Data!B:L,11,FALSE)</f>
        <v>0</v>
      </c>
    </row>
    <row r="174" spans="1:11" hidden="1" x14ac:dyDescent="0.2">
      <c r="A174" s="82" t="s">
        <v>1028</v>
      </c>
      <c r="B174" s="82" t="s">
        <v>54</v>
      </c>
      <c r="C174" s="82" t="s">
        <v>802</v>
      </c>
      <c r="D174" s="83">
        <v>241.94763901388399</v>
      </c>
      <c r="E174" s="68">
        <v>66.475798552154998</v>
      </c>
      <c r="F174" s="68">
        <v>175.47184046172899</v>
      </c>
      <c r="G174" s="68">
        <v>128.86376387804398</v>
      </c>
      <c r="H174" s="68">
        <v>162.31145242709931</v>
      </c>
      <c r="I174" s="81">
        <v>0</v>
      </c>
      <c r="J174" s="82" t="str">
        <f>VLOOKUP(B174,Data!B:K,10,FALSE)</f>
        <v>Kent Business Rates Pool</v>
      </c>
      <c r="K174" s="82">
        <f>VLOOKUP(B174,Data!B:L,11,FALSE)</f>
        <v>0</v>
      </c>
    </row>
    <row r="175" spans="1:11" hidden="1" x14ac:dyDescent="0.2">
      <c r="A175" s="82" t="s">
        <v>1029</v>
      </c>
      <c r="B175" s="82" t="s">
        <v>55</v>
      </c>
      <c r="C175" s="82" t="s">
        <v>1030</v>
      </c>
      <c r="D175" s="83">
        <v>22.781517798620001</v>
      </c>
      <c r="E175" s="68">
        <v>8.86396588699</v>
      </c>
      <c r="F175" s="68">
        <v>13.917551911630001</v>
      </c>
      <c r="G175" s="68">
        <v>7.9107583509500001</v>
      </c>
      <c r="H175" s="68">
        <v>12.873735518257751</v>
      </c>
      <c r="I175" s="81">
        <v>0</v>
      </c>
      <c r="J175" s="82" t="str">
        <f>VLOOKUP(B175,Data!B:K,10,FALSE)</f>
        <v>Kent Business Rates Pool</v>
      </c>
      <c r="K175" s="82">
        <f>VLOOKUP(B175,Data!B:L,11,FALSE)</f>
        <v>0</v>
      </c>
    </row>
    <row r="176" spans="1:11" hidden="1" x14ac:dyDescent="0.2">
      <c r="A176" s="82" t="s">
        <v>1031</v>
      </c>
      <c r="B176" s="82" t="s">
        <v>383</v>
      </c>
      <c r="C176" s="82" t="s">
        <v>382</v>
      </c>
      <c r="D176" s="83">
        <v>2.9030404319220002</v>
      </c>
      <c r="E176" s="68">
        <v>0.54564173844200003</v>
      </c>
      <c r="F176" s="68">
        <v>2.35739869348</v>
      </c>
      <c r="G176" s="68">
        <v>-7.8672451454200001</v>
      </c>
      <c r="H176" s="68">
        <v>2.1805937914689997</v>
      </c>
      <c r="I176" s="81">
        <v>0.5</v>
      </c>
      <c r="J176" s="82" t="str">
        <f>VLOOKUP(B176,Data!B:K,10,FALSE)</f>
        <v>Northamptonshire Business Rates Pool</v>
      </c>
      <c r="K176" s="82">
        <f>VLOOKUP(B176,Data!B:L,11,FALSE)</f>
        <v>0</v>
      </c>
    </row>
    <row r="177" spans="1:11" hidden="1" x14ac:dyDescent="0.2">
      <c r="A177" s="82" t="s">
        <v>1032</v>
      </c>
      <c r="B177" s="82" t="s">
        <v>385</v>
      </c>
      <c r="C177" s="82" t="s">
        <v>384</v>
      </c>
      <c r="D177" s="83">
        <v>6.9859455316350001</v>
      </c>
      <c r="E177" s="68">
        <v>1.857866915417</v>
      </c>
      <c r="F177" s="68">
        <v>5.1280786162179997</v>
      </c>
      <c r="G177" s="68">
        <v>-10.452245723763001</v>
      </c>
      <c r="H177" s="68">
        <v>4.74347272000165</v>
      </c>
      <c r="I177" s="81">
        <v>0.5</v>
      </c>
      <c r="J177" s="82" t="str">
        <f>VLOOKUP(B177,Data!B:K,10,FALSE)</f>
        <v>Norfolk Business Rates Pool</v>
      </c>
      <c r="K177" s="82">
        <f>VLOOKUP(B177,Data!B:L,11,FALSE)</f>
        <v>0</v>
      </c>
    </row>
    <row r="178" spans="1:11" hidden="1" x14ac:dyDescent="0.2">
      <c r="A178" s="82" t="s">
        <v>1033</v>
      </c>
      <c r="B178" s="82" t="s">
        <v>387</v>
      </c>
      <c r="C178" s="82" t="s">
        <v>386</v>
      </c>
      <c r="D178" s="83">
        <v>115.73061938712999</v>
      </c>
      <c r="E178" s="68">
        <v>39.544299912904002</v>
      </c>
      <c r="F178" s="68">
        <v>76.186319474225996</v>
      </c>
      <c r="G178" s="68">
        <v>38.163479730902999</v>
      </c>
      <c r="H178" s="68">
        <v>70.47234551365905</v>
      </c>
      <c r="I178" s="81">
        <v>0</v>
      </c>
      <c r="J178" s="82">
        <f>VLOOKUP(B178,Data!B:K,10,FALSE)</f>
        <v>0</v>
      </c>
      <c r="K178" s="82">
        <f>VLOOKUP(B178,Data!B:L,11,FALSE)</f>
        <v>0</v>
      </c>
    </row>
    <row r="179" spans="1:11" hidden="1" x14ac:dyDescent="0.2">
      <c r="A179" s="82" t="s">
        <v>1034</v>
      </c>
      <c r="B179" s="82" t="s">
        <v>389</v>
      </c>
      <c r="C179" s="82" t="s">
        <v>388</v>
      </c>
      <c r="D179" s="83">
        <v>26.127741201184001</v>
      </c>
      <c r="E179" s="68">
        <v>5.5219531121690002</v>
      </c>
      <c r="F179" s="68">
        <v>20.605788089015</v>
      </c>
      <c r="G179" s="68">
        <v>-4.1474852805360003</v>
      </c>
      <c r="H179" s="68">
        <v>19.060353982338874</v>
      </c>
      <c r="I179" s="81">
        <v>0.16367121473259516</v>
      </c>
      <c r="J179" s="82">
        <f>VLOOKUP(B179,Data!B:K,10,FALSE)</f>
        <v>0</v>
      </c>
      <c r="K179" s="82">
        <f>VLOOKUP(B179,Data!B:L,11,FALSE)</f>
        <v>0</v>
      </c>
    </row>
    <row r="180" spans="1:11" hidden="1" x14ac:dyDescent="0.2">
      <c r="A180" s="82" t="s">
        <v>1035</v>
      </c>
      <c r="B180" s="82" t="s">
        <v>391</v>
      </c>
      <c r="C180" s="82" t="s">
        <v>390</v>
      </c>
      <c r="D180" s="83">
        <v>109.974257047349</v>
      </c>
      <c r="E180" s="68">
        <v>32.763321921176001</v>
      </c>
      <c r="F180" s="68">
        <v>77.210935126172998</v>
      </c>
      <c r="G180" s="68">
        <v>26.676438027846999</v>
      </c>
      <c r="H180" s="68">
        <v>71.420114991710037</v>
      </c>
      <c r="I180" s="81">
        <v>0</v>
      </c>
      <c r="J180" s="82" t="str">
        <f>VLOOKUP(B180,Data!B:K,10,FALSE)</f>
        <v>Leeds City Region Business Rates Pool</v>
      </c>
      <c r="K180" s="82">
        <f>VLOOKUP(B180,Data!B:L,11,FALSE)</f>
        <v>0</v>
      </c>
    </row>
    <row r="181" spans="1:11" x14ac:dyDescent="0.2">
      <c r="A181" s="82" t="s">
        <v>1036</v>
      </c>
      <c r="B181" s="82" t="s">
        <v>393</v>
      </c>
      <c r="C181" s="82" t="s">
        <v>392</v>
      </c>
      <c r="D181" s="83">
        <v>91.092545420069996</v>
      </c>
      <c r="E181" s="68">
        <v>32.830854702707995</v>
      </c>
      <c r="F181" s="68">
        <v>58.261690717362001</v>
      </c>
      <c r="G181" s="68">
        <v>38.006038521860006</v>
      </c>
      <c r="H181" s="68">
        <v>53.892063913559852</v>
      </c>
      <c r="I181" s="81">
        <v>0</v>
      </c>
      <c r="J181" s="82">
        <f>VLOOKUP(B181,Data!B:K,10,FALSE)</f>
        <v>0</v>
      </c>
      <c r="K181" s="82" t="str">
        <f>VLOOKUP(B181,Data!B:L,11,FALSE)</f>
        <v>Pilot</v>
      </c>
    </row>
    <row r="182" spans="1:11" hidden="1" x14ac:dyDescent="0.2">
      <c r="A182" s="82" t="s">
        <v>1037</v>
      </c>
      <c r="B182" s="82" t="s">
        <v>396</v>
      </c>
      <c r="C182" s="82" t="s">
        <v>395</v>
      </c>
      <c r="D182" s="83">
        <v>157.707823394998</v>
      </c>
      <c r="E182" s="68">
        <v>53.555554347433997</v>
      </c>
      <c r="F182" s="68">
        <v>104.152269047564</v>
      </c>
      <c r="G182" s="68">
        <v>58.662000627936997</v>
      </c>
      <c r="H182" s="68">
        <v>96.340848868996716</v>
      </c>
      <c r="I182" s="81">
        <v>0</v>
      </c>
      <c r="J182" s="82">
        <f>VLOOKUP(B182,Data!B:K,10,FALSE)</f>
        <v>0</v>
      </c>
      <c r="K182" s="82">
        <f>VLOOKUP(B182,Data!B:L,11,FALSE)</f>
        <v>0</v>
      </c>
    </row>
    <row r="183" spans="1:11" hidden="1" x14ac:dyDescent="0.2">
      <c r="A183" s="82" t="s">
        <v>1038</v>
      </c>
      <c r="B183" s="82" t="s">
        <v>158</v>
      </c>
      <c r="C183" s="82" t="s">
        <v>803</v>
      </c>
      <c r="D183" s="83">
        <v>258.455846725578</v>
      </c>
      <c r="E183" s="68">
        <v>81.50767857644901</v>
      </c>
      <c r="F183" s="68">
        <v>176.948168149129</v>
      </c>
      <c r="G183" s="68">
        <v>147.04221502782698</v>
      </c>
      <c r="H183" s="68">
        <v>163.67705553794434</v>
      </c>
      <c r="I183" s="81">
        <v>0</v>
      </c>
      <c r="J183" s="82" t="str">
        <f>VLOOKUP(B183,Data!B:K,10,FALSE)</f>
        <v>Lancashire Business Rates Pool</v>
      </c>
      <c r="K183" s="82">
        <f>VLOOKUP(B183,Data!B:L,11,FALSE)</f>
        <v>0</v>
      </c>
    </row>
    <row r="184" spans="1:11" hidden="1" x14ac:dyDescent="0.2">
      <c r="A184" s="82" t="s">
        <v>1039</v>
      </c>
      <c r="B184" s="82" t="s">
        <v>106</v>
      </c>
      <c r="C184" s="82" t="s">
        <v>1040</v>
      </c>
      <c r="D184" s="83">
        <v>25.303823500871001</v>
      </c>
      <c r="E184" s="68">
        <v>10.659362124151</v>
      </c>
      <c r="F184" s="68">
        <v>14.644461376720001</v>
      </c>
      <c r="G184" s="68">
        <v>10.477390550202001</v>
      </c>
      <c r="H184" s="68">
        <v>13.546126773466</v>
      </c>
      <c r="I184" s="81">
        <v>0</v>
      </c>
      <c r="J184" s="82">
        <f>VLOOKUP(B184,Data!B:K,10,FALSE)</f>
        <v>0</v>
      </c>
      <c r="K184" s="82">
        <f>VLOOKUP(B184,Data!B:L,11,FALSE)</f>
        <v>0</v>
      </c>
    </row>
    <row r="185" spans="1:11" hidden="1" x14ac:dyDescent="0.2">
      <c r="A185" s="82" t="s">
        <v>1041</v>
      </c>
      <c r="B185" s="82" t="s">
        <v>398</v>
      </c>
      <c r="C185" s="82" t="s">
        <v>397</v>
      </c>
      <c r="D185" s="83">
        <v>6.9625559623399997</v>
      </c>
      <c r="E185" s="68">
        <v>1.6051794344800001</v>
      </c>
      <c r="F185" s="68">
        <v>5.3573765278599996</v>
      </c>
      <c r="G185" s="68">
        <v>-19.373240442050999</v>
      </c>
      <c r="H185" s="68">
        <v>4.9555732882705001</v>
      </c>
      <c r="I185" s="81">
        <v>0.5</v>
      </c>
      <c r="J185" s="82">
        <f>VLOOKUP(B185,Data!B:K,10,FALSE)</f>
        <v>0</v>
      </c>
      <c r="K185" s="82">
        <f>VLOOKUP(B185,Data!B:L,11,FALSE)</f>
        <v>0</v>
      </c>
    </row>
    <row r="186" spans="1:11" hidden="1" x14ac:dyDescent="0.2">
      <c r="A186" s="82" t="s">
        <v>1042</v>
      </c>
      <c r="B186" s="82" t="s">
        <v>400</v>
      </c>
      <c r="C186" s="82" t="s">
        <v>399</v>
      </c>
      <c r="D186" s="83">
        <v>212.97349528396998</v>
      </c>
      <c r="E186" s="68">
        <v>65.016705357044003</v>
      </c>
      <c r="F186" s="68">
        <v>147.95678992692598</v>
      </c>
      <c r="G186" s="68">
        <v>-13.389533939379</v>
      </c>
      <c r="H186" s="68">
        <v>136.86003068240655</v>
      </c>
      <c r="I186" s="81">
        <v>8.3095857009091501E-2</v>
      </c>
      <c r="J186" s="82" t="str">
        <f>VLOOKUP(B186,Data!B:K,10,FALSE)</f>
        <v>Leeds City Region Business Rates Pool</v>
      </c>
      <c r="K186" s="82">
        <f>VLOOKUP(B186,Data!B:L,11,FALSE)</f>
        <v>0</v>
      </c>
    </row>
    <row r="187" spans="1:11" hidden="1" x14ac:dyDescent="0.2">
      <c r="A187" s="82" t="s">
        <v>1043</v>
      </c>
      <c r="B187" s="82" t="s">
        <v>402</v>
      </c>
      <c r="C187" s="82" t="s">
        <v>401</v>
      </c>
      <c r="D187" s="83">
        <v>142.76981520806299</v>
      </c>
      <c r="E187" s="68">
        <v>48.144288246838002</v>
      </c>
      <c r="F187" s="68">
        <v>94.625526961225006</v>
      </c>
      <c r="G187" s="68">
        <v>42.129029235196001</v>
      </c>
      <c r="H187" s="68">
        <v>87.528612439133141</v>
      </c>
      <c r="I187" s="81">
        <v>0</v>
      </c>
      <c r="J187" s="82" t="str">
        <f>VLOOKUP(B187,Data!B:K,10,FALSE)</f>
        <v>Leicestershire Business Rates Pool</v>
      </c>
      <c r="K187" s="82">
        <f>VLOOKUP(B187,Data!B:L,11,FALSE)</f>
        <v>0</v>
      </c>
    </row>
    <row r="188" spans="1:11" hidden="1" x14ac:dyDescent="0.2">
      <c r="A188" s="82" t="s">
        <v>1044</v>
      </c>
      <c r="B188" s="82" t="s">
        <v>101</v>
      </c>
      <c r="C188" s="82" t="s">
        <v>804</v>
      </c>
      <c r="D188" s="83">
        <v>77.331030905684003</v>
      </c>
      <c r="E188" s="68">
        <v>19.548315555199999</v>
      </c>
      <c r="F188" s="68">
        <v>57.782715350483997</v>
      </c>
      <c r="G188" s="68">
        <v>37.565577743741997</v>
      </c>
      <c r="H188" s="68">
        <v>53.449011699197705</v>
      </c>
      <c r="I188" s="81">
        <v>0</v>
      </c>
      <c r="J188" s="82" t="str">
        <f>VLOOKUP(B188,Data!B:K,10,FALSE)</f>
        <v>Leicestershire Business Rates Pool</v>
      </c>
      <c r="K188" s="82">
        <f>VLOOKUP(B188,Data!B:L,11,FALSE)</f>
        <v>0</v>
      </c>
    </row>
    <row r="189" spans="1:11" hidden="1" x14ac:dyDescent="0.2">
      <c r="A189" s="82" t="s">
        <v>1045</v>
      </c>
      <c r="B189" s="82" t="s">
        <v>102</v>
      </c>
      <c r="C189" s="82" t="s">
        <v>1046</v>
      </c>
      <c r="D189" s="83">
        <v>14.020724303462</v>
      </c>
      <c r="E189" s="68">
        <v>5.6088042521989996</v>
      </c>
      <c r="F189" s="68">
        <v>8.4119200512630012</v>
      </c>
      <c r="G189" s="68">
        <v>4.987940929394</v>
      </c>
      <c r="H189" s="68">
        <v>7.7810260474182762</v>
      </c>
      <c r="I189" s="81">
        <v>0</v>
      </c>
      <c r="J189" s="82" t="str">
        <f>VLOOKUP(B189,Data!B:K,10,FALSE)</f>
        <v>Leicestershire Business Rates Pool</v>
      </c>
      <c r="K189" s="82">
        <f>VLOOKUP(B189,Data!B:L,11,FALSE)</f>
        <v>0</v>
      </c>
    </row>
    <row r="190" spans="1:11" hidden="1" x14ac:dyDescent="0.2">
      <c r="A190" s="82" t="s">
        <v>1047</v>
      </c>
      <c r="B190" s="82" t="s">
        <v>404</v>
      </c>
      <c r="C190" s="82" t="s">
        <v>403</v>
      </c>
      <c r="D190" s="83">
        <v>2.469496757915</v>
      </c>
      <c r="E190" s="68">
        <v>0.37496071241099999</v>
      </c>
      <c r="F190" s="68">
        <v>2.0945360455039999</v>
      </c>
      <c r="G190" s="68">
        <v>-7.3050336109889997</v>
      </c>
      <c r="H190" s="68">
        <v>1.9374458420912002</v>
      </c>
      <c r="I190" s="81">
        <v>0.5</v>
      </c>
      <c r="J190" s="82">
        <f>VLOOKUP(B190,Data!B:K,10,FALSE)</f>
        <v>0</v>
      </c>
      <c r="K190" s="82">
        <f>VLOOKUP(B190,Data!B:L,11,FALSE)</f>
        <v>0</v>
      </c>
    </row>
    <row r="191" spans="1:11" hidden="1" x14ac:dyDescent="0.2">
      <c r="A191" s="82" t="s">
        <v>1048</v>
      </c>
      <c r="B191" s="82" t="s">
        <v>406</v>
      </c>
      <c r="C191" s="82" t="s">
        <v>405</v>
      </c>
      <c r="D191" s="83">
        <v>135.019440187383</v>
      </c>
      <c r="E191" s="68">
        <v>46.158845157907997</v>
      </c>
      <c r="F191" s="68">
        <v>88.860595029475007</v>
      </c>
      <c r="G191" s="68">
        <v>69.176869801909007</v>
      </c>
      <c r="H191" s="68">
        <v>82.19605040226439</v>
      </c>
      <c r="I191" s="81">
        <v>0</v>
      </c>
      <c r="J191" s="82">
        <f>VLOOKUP(B191,Data!B:K,10,FALSE)</f>
        <v>0</v>
      </c>
      <c r="K191" s="82">
        <f>VLOOKUP(B191,Data!B:L,11,FALSE)</f>
        <v>0</v>
      </c>
    </row>
    <row r="192" spans="1:11" hidden="1" x14ac:dyDescent="0.2">
      <c r="A192" s="82" t="s">
        <v>1049</v>
      </c>
      <c r="B192" s="82" t="s">
        <v>408</v>
      </c>
      <c r="C192" s="82" t="s">
        <v>407</v>
      </c>
      <c r="D192" s="83">
        <v>2.2132027281850002</v>
      </c>
      <c r="E192" s="68">
        <v>0.23643597637399999</v>
      </c>
      <c r="F192" s="68">
        <v>1.9767667518110001</v>
      </c>
      <c r="G192" s="68">
        <v>-11.025733411692999</v>
      </c>
      <c r="H192" s="68">
        <v>1.8285092454251752</v>
      </c>
      <c r="I192" s="81">
        <v>0.5</v>
      </c>
      <c r="J192" s="82" t="str">
        <f>VLOOKUP(B192,Data!B:K,10,FALSE)</f>
        <v>Greater Birmingham &amp; Solihull Business Rates Pool</v>
      </c>
      <c r="K192" s="82">
        <f>VLOOKUP(B192,Data!B:L,11,FALSE)</f>
        <v>0</v>
      </c>
    </row>
    <row r="193" spans="1:11" hidden="1" x14ac:dyDescent="0.2">
      <c r="A193" s="82" t="s">
        <v>1050</v>
      </c>
      <c r="B193" s="82" t="s">
        <v>410</v>
      </c>
      <c r="C193" s="82" t="s">
        <v>409</v>
      </c>
      <c r="D193" s="83">
        <v>4.5425623794869994</v>
      </c>
      <c r="E193" s="68">
        <v>0.98061469124199996</v>
      </c>
      <c r="F193" s="68">
        <v>3.5619476882449996</v>
      </c>
      <c r="G193" s="68">
        <v>-12.397435658839001</v>
      </c>
      <c r="H193" s="68">
        <v>3.294801611626625</v>
      </c>
      <c r="I193" s="81">
        <v>0.5</v>
      </c>
      <c r="J193" s="82" t="str">
        <f>VLOOKUP(B193,Data!B:K,10,FALSE)</f>
        <v>Lincolnshire Business Rates Pool</v>
      </c>
      <c r="K193" s="82">
        <f>VLOOKUP(B193,Data!B:L,11,FALSE)</f>
        <v>0</v>
      </c>
    </row>
    <row r="194" spans="1:11" hidden="1" x14ac:dyDescent="0.2">
      <c r="A194" s="82" t="s">
        <v>1051</v>
      </c>
      <c r="B194" s="82" t="s">
        <v>116</v>
      </c>
      <c r="C194" s="82" t="s">
        <v>805</v>
      </c>
      <c r="D194" s="83">
        <v>152.38418979962401</v>
      </c>
      <c r="E194" s="68">
        <v>48.291640920813997</v>
      </c>
      <c r="F194" s="68">
        <v>104.09254887881001</v>
      </c>
      <c r="G194" s="68">
        <v>85.144631568050002</v>
      </c>
      <c r="H194" s="68">
        <v>96.28560771289925</v>
      </c>
      <c r="I194" s="81">
        <v>0</v>
      </c>
      <c r="J194" s="82" t="str">
        <f>VLOOKUP(B194,Data!B:K,10,FALSE)</f>
        <v>Lincolnshire Business Rates Pool</v>
      </c>
      <c r="K194" s="82">
        <f>VLOOKUP(B194,Data!B:L,11,FALSE)</f>
        <v>0</v>
      </c>
    </row>
    <row r="195" spans="1:11" x14ac:dyDescent="0.2">
      <c r="A195" s="82" t="s">
        <v>1052</v>
      </c>
      <c r="B195" s="82" t="s">
        <v>412</v>
      </c>
      <c r="C195" s="82" t="s">
        <v>411</v>
      </c>
      <c r="D195" s="83">
        <v>250.60744310775397</v>
      </c>
      <c r="E195" s="68">
        <v>85.586675597063007</v>
      </c>
      <c r="F195" s="68">
        <v>165.02076751069097</v>
      </c>
      <c r="G195" s="68">
        <v>72.819118031497993</v>
      </c>
      <c r="H195" s="68">
        <v>152.64420994738916</v>
      </c>
      <c r="I195" s="81">
        <v>0</v>
      </c>
      <c r="J195" s="82">
        <f>VLOOKUP(B195,Data!B:K,10,FALSE)</f>
        <v>0</v>
      </c>
      <c r="K195" s="82" t="str">
        <f>VLOOKUP(B195,Data!B:L,11,FALSE)</f>
        <v>Pilot</v>
      </c>
    </row>
    <row r="196" spans="1:11" hidden="1" x14ac:dyDescent="0.2">
      <c r="A196" s="82" t="s">
        <v>1053</v>
      </c>
      <c r="B196" s="82" t="s">
        <v>414</v>
      </c>
      <c r="C196" s="82" t="s">
        <v>413</v>
      </c>
      <c r="D196" s="83">
        <v>66.614248756951</v>
      </c>
      <c r="E196" s="68">
        <v>21.102323357549999</v>
      </c>
      <c r="F196" s="68">
        <v>45.511925399401001</v>
      </c>
      <c r="G196" s="68">
        <v>12.868237901703001</v>
      </c>
      <c r="H196" s="68">
        <v>42.09853099444593</v>
      </c>
      <c r="I196" s="81">
        <v>0</v>
      </c>
      <c r="J196" s="82">
        <f>VLOOKUP(B196,Data!B:K,10,FALSE)</f>
        <v>0</v>
      </c>
      <c r="K196" s="82">
        <f>VLOOKUP(B196,Data!B:L,11,FALSE)</f>
        <v>0</v>
      </c>
    </row>
    <row r="197" spans="1:11" hidden="1" x14ac:dyDescent="0.2">
      <c r="A197" s="82" t="s">
        <v>1054</v>
      </c>
      <c r="B197" s="82" t="s">
        <v>416</v>
      </c>
      <c r="C197" s="82" t="s">
        <v>415</v>
      </c>
      <c r="D197" s="83">
        <v>3.0442488948499999</v>
      </c>
      <c r="E197" s="68" t="s">
        <v>61</v>
      </c>
      <c r="F197" s="68">
        <v>3.0442488948499999</v>
      </c>
      <c r="G197" s="68">
        <v>-18.110631389463997</v>
      </c>
      <c r="H197" s="68">
        <v>2.8159302277362501</v>
      </c>
      <c r="I197" s="81">
        <v>0.5</v>
      </c>
      <c r="J197" s="82" t="str">
        <f>VLOOKUP(B197,Data!B:K,10,FALSE)</f>
        <v>Kent Business Rates Pool</v>
      </c>
      <c r="K197" s="82">
        <f>VLOOKUP(B197,Data!B:L,11,FALSE)</f>
        <v>0</v>
      </c>
    </row>
    <row r="198" spans="1:11" hidden="1" x14ac:dyDescent="0.2">
      <c r="A198" s="82" t="s">
        <v>1055</v>
      </c>
      <c r="B198" s="82" t="s">
        <v>418</v>
      </c>
      <c r="C198" s="82" t="s">
        <v>417</v>
      </c>
      <c r="D198" s="83">
        <v>1.6005631302969998</v>
      </c>
      <c r="E198" s="68">
        <v>0.16942411844699998</v>
      </c>
      <c r="F198" s="68">
        <v>1.4311390118499998</v>
      </c>
      <c r="G198" s="68">
        <v>-3.5928817425089998</v>
      </c>
      <c r="H198" s="68">
        <v>1.3238035859612498</v>
      </c>
      <c r="I198" s="81">
        <v>0.5</v>
      </c>
      <c r="J198" s="82" t="str">
        <f>VLOOKUP(B198,Data!B:K,10,FALSE)</f>
        <v>Essex Business Rates Pool</v>
      </c>
      <c r="K198" s="82">
        <f>VLOOKUP(B198,Data!B:L,11,FALSE)</f>
        <v>0</v>
      </c>
    </row>
    <row r="199" spans="1:11" hidden="1" x14ac:dyDescent="0.2">
      <c r="A199" s="82" t="s">
        <v>1056</v>
      </c>
      <c r="B199" s="82" t="s">
        <v>420</v>
      </c>
      <c r="C199" s="82" t="s">
        <v>419</v>
      </c>
      <c r="D199" s="83">
        <v>2.0680340615710002</v>
      </c>
      <c r="E199" s="68">
        <v>0.360572376917</v>
      </c>
      <c r="F199" s="68">
        <v>1.7074616846540001</v>
      </c>
      <c r="G199" s="68">
        <v>-4.6633259638919995</v>
      </c>
      <c r="H199" s="68">
        <v>1.5794020583049502</v>
      </c>
      <c r="I199" s="81">
        <v>0.5</v>
      </c>
      <c r="J199" s="82">
        <f>VLOOKUP(B199,Data!B:K,10,FALSE)</f>
        <v>0</v>
      </c>
      <c r="K199" s="82">
        <f>VLOOKUP(B199,Data!B:L,11,FALSE)</f>
        <v>0</v>
      </c>
    </row>
    <row r="200" spans="1:11" x14ac:dyDescent="0.2">
      <c r="A200" s="82" t="s">
        <v>1057</v>
      </c>
      <c r="B200" s="82" t="s">
        <v>423</v>
      </c>
      <c r="C200" s="82" t="s">
        <v>422</v>
      </c>
      <c r="D200" s="83">
        <v>257.09667126271097</v>
      </c>
      <c r="E200" s="68">
        <v>90.151524928387005</v>
      </c>
      <c r="F200" s="68">
        <v>166.94514633432399</v>
      </c>
      <c r="G200" s="68">
        <v>13.635979855697</v>
      </c>
      <c r="H200" s="68">
        <v>154.4242603592497</v>
      </c>
      <c r="I200" s="81">
        <v>0</v>
      </c>
      <c r="J200" s="82" t="str">
        <f>VLOOKUP(B200,Data!B:K,10,FALSE)</f>
        <v>Greater Manchester &amp; Cheshire Business Rates Pool</v>
      </c>
      <c r="K200" s="82" t="str">
        <f>VLOOKUP(B200,Data!B:L,11,FALSE)</f>
        <v>Pilot</v>
      </c>
    </row>
    <row r="201" spans="1:11" hidden="1" x14ac:dyDescent="0.2">
      <c r="A201" s="82" t="s">
        <v>1058</v>
      </c>
      <c r="B201" s="82" t="s">
        <v>425</v>
      </c>
      <c r="C201" s="82" t="s">
        <v>424</v>
      </c>
      <c r="D201" s="83">
        <v>4.6539766366790003</v>
      </c>
      <c r="E201" s="68">
        <v>1.168760444541</v>
      </c>
      <c r="F201" s="68">
        <v>3.485216192138</v>
      </c>
      <c r="G201" s="68">
        <v>-7.0027323801840007</v>
      </c>
      <c r="H201" s="68">
        <v>3.2238249777276504</v>
      </c>
      <c r="I201" s="81">
        <v>0.5</v>
      </c>
      <c r="J201" s="82" t="str">
        <f>VLOOKUP(B201,Data!B:K,10,FALSE)</f>
        <v>Nottingham Business Rates Pool</v>
      </c>
      <c r="K201" s="82">
        <f>VLOOKUP(B201,Data!B:L,11,FALSE)</f>
        <v>0</v>
      </c>
    </row>
    <row r="202" spans="1:11" hidden="1" x14ac:dyDescent="0.2">
      <c r="A202" s="82" t="s">
        <v>1059</v>
      </c>
      <c r="B202" s="82" t="s">
        <v>427</v>
      </c>
      <c r="C202" s="82" t="s">
        <v>426</v>
      </c>
      <c r="D202" s="83">
        <v>63.529464440635003</v>
      </c>
      <c r="E202" s="68">
        <v>18.5037891968</v>
      </c>
      <c r="F202" s="68">
        <v>45.025675243835003</v>
      </c>
      <c r="G202" s="68">
        <v>4.5406038929879999</v>
      </c>
      <c r="H202" s="68">
        <v>41.648749600547383</v>
      </c>
      <c r="I202" s="81">
        <v>0</v>
      </c>
      <c r="J202" s="82">
        <f>VLOOKUP(B202,Data!B:K,10,FALSE)</f>
        <v>0</v>
      </c>
      <c r="K202" s="82">
        <f>VLOOKUP(B202,Data!B:L,11,FALSE)</f>
        <v>0</v>
      </c>
    </row>
    <row r="203" spans="1:11" hidden="1" x14ac:dyDescent="0.2">
      <c r="A203" s="82" t="s">
        <v>1060</v>
      </c>
      <c r="B203" s="82" t="s">
        <v>429</v>
      </c>
      <c r="C203" s="82" t="s">
        <v>428</v>
      </c>
      <c r="D203" s="83">
        <v>1.490393698339</v>
      </c>
      <c r="E203" s="68">
        <v>0.25056215630400003</v>
      </c>
      <c r="F203" s="68">
        <v>1.2398315420349999</v>
      </c>
      <c r="G203" s="68">
        <v>-4.0496204958100002</v>
      </c>
      <c r="H203" s="68">
        <v>1.1468441763823749</v>
      </c>
      <c r="I203" s="81">
        <v>0.5</v>
      </c>
      <c r="J203" s="82" t="str">
        <f>VLOOKUP(B203,Data!B:K,10,FALSE)</f>
        <v>Leicestershire Business Rates Pool</v>
      </c>
      <c r="K203" s="82">
        <f>VLOOKUP(B203,Data!B:L,11,FALSE)</f>
        <v>0</v>
      </c>
    </row>
    <row r="204" spans="1:11" hidden="1" x14ac:dyDescent="0.2">
      <c r="A204" s="82" t="s">
        <v>1061</v>
      </c>
      <c r="B204" s="82" t="s">
        <v>431</v>
      </c>
      <c r="C204" s="82" t="s">
        <v>430</v>
      </c>
      <c r="D204" s="83">
        <v>3.4863850601299999</v>
      </c>
      <c r="E204" s="68">
        <v>0.77216875177700006</v>
      </c>
      <c r="F204" s="68">
        <v>2.714216308353</v>
      </c>
      <c r="G204" s="68">
        <v>-9.5964885050779998</v>
      </c>
      <c r="H204" s="68">
        <v>2.510650085226525</v>
      </c>
      <c r="I204" s="81">
        <v>0.5</v>
      </c>
      <c r="J204" s="82" t="str">
        <f>VLOOKUP(B204,Data!B:K,10,FALSE)</f>
        <v>Somerset Business Rates Pool</v>
      </c>
      <c r="K204" s="82">
        <f>VLOOKUP(B204,Data!B:L,11,FALSE)</f>
        <v>0</v>
      </c>
    </row>
    <row r="205" spans="1:11" hidden="1" x14ac:dyDescent="0.2">
      <c r="A205" s="82" t="s">
        <v>1062</v>
      </c>
      <c r="B205" s="82" t="s">
        <v>394</v>
      </c>
      <c r="C205" s="82" t="s">
        <v>783</v>
      </c>
      <c r="D205" s="83">
        <v>32.468299555103997</v>
      </c>
      <c r="E205" s="68">
        <v>13.663938244373</v>
      </c>
      <c r="F205" s="68">
        <v>18.804361310731</v>
      </c>
      <c r="G205" s="68">
        <v>14.755240509758</v>
      </c>
      <c r="H205" s="68">
        <v>17.394034212426178</v>
      </c>
      <c r="I205" s="81">
        <v>0</v>
      </c>
      <c r="J205" s="82">
        <f>VLOOKUP(B205,Data!B:K,10,FALSE)</f>
        <v>0</v>
      </c>
      <c r="K205" s="82">
        <f>VLOOKUP(B205,Data!B:L,11,FALSE)</f>
        <v>0</v>
      </c>
    </row>
    <row r="206" spans="1:11" hidden="1" x14ac:dyDescent="0.2">
      <c r="A206" s="82" t="s">
        <v>1063</v>
      </c>
      <c r="B206" s="82" t="s">
        <v>434</v>
      </c>
      <c r="C206" s="82" t="s">
        <v>433</v>
      </c>
      <c r="D206" s="83">
        <v>48.545195692242004</v>
      </c>
      <c r="E206" s="68">
        <v>14.962617178438</v>
      </c>
      <c r="F206" s="68">
        <v>33.582578513804002</v>
      </c>
      <c r="G206" s="68">
        <v>9.0827805841010001</v>
      </c>
      <c r="H206" s="68">
        <v>31.063885125268705</v>
      </c>
      <c r="I206" s="81">
        <v>0</v>
      </c>
      <c r="J206" s="82">
        <f>VLOOKUP(B206,Data!B:K,10,FALSE)</f>
        <v>0</v>
      </c>
      <c r="K206" s="82">
        <f>VLOOKUP(B206,Data!B:L,11,FALSE)</f>
        <v>0</v>
      </c>
    </row>
    <row r="207" spans="1:11" hidden="1" x14ac:dyDescent="0.2">
      <c r="A207" s="82" t="s">
        <v>1064</v>
      </c>
      <c r="B207" s="82" t="s">
        <v>436</v>
      </c>
      <c r="C207" s="82" t="s">
        <v>435</v>
      </c>
      <c r="D207" s="83">
        <v>2.5642725901889998</v>
      </c>
      <c r="E207" s="68">
        <v>0.49755264414</v>
      </c>
      <c r="F207" s="68">
        <v>2.066719946049</v>
      </c>
      <c r="G207" s="68">
        <v>-3.7745503318850004</v>
      </c>
      <c r="H207" s="68">
        <v>1.9117159500953249</v>
      </c>
      <c r="I207" s="81">
        <v>0.5</v>
      </c>
      <c r="J207" s="82" t="str">
        <f>VLOOKUP(B207,Data!B:K,10,FALSE)</f>
        <v>Devon Business Rates Pool</v>
      </c>
      <c r="K207" s="82">
        <f>VLOOKUP(B207,Data!B:L,11,FALSE)</f>
        <v>0</v>
      </c>
    </row>
    <row r="208" spans="1:11" hidden="1" x14ac:dyDescent="0.2">
      <c r="A208" s="82" t="s">
        <v>1065</v>
      </c>
      <c r="B208" s="82" t="s">
        <v>438</v>
      </c>
      <c r="C208" s="82" t="s">
        <v>437</v>
      </c>
      <c r="D208" s="83">
        <v>2.4941905214799998</v>
      </c>
      <c r="E208" s="68">
        <v>0.370390839636</v>
      </c>
      <c r="F208" s="68">
        <v>2.1237996818439999</v>
      </c>
      <c r="G208" s="68">
        <v>-6.5093228242110008</v>
      </c>
      <c r="H208" s="68">
        <v>1.9645147057057</v>
      </c>
      <c r="I208" s="81">
        <v>0.5</v>
      </c>
      <c r="J208" s="82" t="str">
        <f>VLOOKUP(B208,Data!B:K,10,FALSE)</f>
        <v>Suffolk Business Rates Pool</v>
      </c>
      <c r="K208" s="82">
        <f>VLOOKUP(B208,Data!B:L,11,FALSE)</f>
        <v>0</v>
      </c>
    </row>
    <row r="209" spans="1:11" hidden="1" x14ac:dyDescent="0.2">
      <c r="A209" s="82" t="s">
        <v>1066</v>
      </c>
      <c r="B209" s="82" t="s">
        <v>440</v>
      </c>
      <c r="C209" s="82" t="s">
        <v>439</v>
      </c>
      <c r="D209" s="83">
        <v>2.1289595223590001</v>
      </c>
      <c r="E209" s="68">
        <v>0.12836017350699999</v>
      </c>
      <c r="F209" s="68">
        <v>2.000599348852</v>
      </c>
      <c r="G209" s="68">
        <v>-14.924364482374999</v>
      </c>
      <c r="H209" s="68">
        <v>1.8505543976881</v>
      </c>
      <c r="I209" s="81">
        <v>0.5</v>
      </c>
      <c r="J209" s="82">
        <f>VLOOKUP(B209,Data!B:K,10,FALSE)</f>
        <v>0</v>
      </c>
      <c r="K209" s="82">
        <f>VLOOKUP(B209,Data!B:L,11,FALSE)</f>
        <v>0</v>
      </c>
    </row>
    <row r="210" spans="1:11" hidden="1" x14ac:dyDescent="0.2">
      <c r="A210" s="82" t="s">
        <v>1067</v>
      </c>
      <c r="B210" s="82" t="s">
        <v>442</v>
      </c>
      <c r="C210" s="82" t="s">
        <v>441</v>
      </c>
      <c r="D210" s="83">
        <v>64.025895778096995</v>
      </c>
      <c r="E210" s="68">
        <v>21.051228544975</v>
      </c>
      <c r="F210" s="68">
        <v>42.974667233121998</v>
      </c>
      <c r="G210" s="68">
        <v>25.711585995274</v>
      </c>
      <c r="H210" s="68">
        <v>39.75156719063785</v>
      </c>
      <c r="I210" s="81">
        <v>0</v>
      </c>
      <c r="J210" s="82">
        <f>VLOOKUP(B210,Data!B:K,10,FALSE)</f>
        <v>0</v>
      </c>
      <c r="K210" s="82">
        <f>VLOOKUP(B210,Data!B:L,11,FALSE)</f>
        <v>0</v>
      </c>
    </row>
    <row r="211" spans="1:11" hidden="1" x14ac:dyDescent="0.2">
      <c r="A211" s="82" t="s">
        <v>1068</v>
      </c>
      <c r="B211" s="82" t="s">
        <v>444</v>
      </c>
      <c r="C211" s="82" t="s">
        <v>443</v>
      </c>
      <c r="D211" s="83">
        <v>60.803552656275997</v>
      </c>
      <c r="E211" s="68">
        <v>17.405981174920999</v>
      </c>
      <c r="F211" s="68">
        <v>43.397571481354994</v>
      </c>
      <c r="G211" s="68">
        <v>-26.585042349009001</v>
      </c>
      <c r="H211" s="68">
        <v>40.14275362025338</v>
      </c>
      <c r="I211" s="81">
        <v>0.38142933138965951</v>
      </c>
      <c r="J211" s="82">
        <f>VLOOKUP(B211,Data!B:K,10,FALSE)</f>
        <v>0</v>
      </c>
      <c r="K211" s="82">
        <f>VLOOKUP(B211,Data!B:L,11,FALSE)</f>
        <v>0</v>
      </c>
    </row>
    <row r="212" spans="1:11" hidden="1" x14ac:dyDescent="0.2">
      <c r="A212" s="82" t="s">
        <v>1069</v>
      </c>
      <c r="B212" s="82" t="s">
        <v>446</v>
      </c>
      <c r="C212" s="82" t="s">
        <v>445</v>
      </c>
      <c r="D212" s="83">
        <v>1.2011501222860002</v>
      </c>
      <c r="E212" s="68" t="s">
        <v>61</v>
      </c>
      <c r="F212" s="68">
        <v>1.2011501222860002</v>
      </c>
      <c r="G212" s="68">
        <v>-15.451981844444999</v>
      </c>
      <c r="H212" s="68">
        <v>1.11106386311455</v>
      </c>
      <c r="I212" s="81">
        <v>0.5</v>
      </c>
      <c r="J212" s="82" t="str">
        <f>VLOOKUP(B212,Data!B:K,10,FALSE)</f>
        <v>Surrey-Croydon Business Rates Pool</v>
      </c>
      <c r="K212" s="82">
        <f>VLOOKUP(B212,Data!B:L,11,FALSE)</f>
        <v>0</v>
      </c>
    </row>
    <row r="213" spans="1:11" hidden="1" x14ac:dyDescent="0.2">
      <c r="A213" s="82" t="s">
        <v>1070</v>
      </c>
      <c r="B213" s="82" t="s">
        <v>448</v>
      </c>
      <c r="C213" s="82" t="s">
        <v>447</v>
      </c>
      <c r="D213" s="83">
        <v>4.4557753046009996</v>
      </c>
      <c r="E213" s="68">
        <v>0.72273451853500004</v>
      </c>
      <c r="F213" s="68">
        <v>3.7330407860659998</v>
      </c>
      <c r="G213" s="68">
        <v>-21.725288353876</v>
      </c>
      <c r="H213" s="68">
        <v>3.4530627271110501</v>
      </c>
      <c r="I213" s="81">
        <v>0.5</v>
      </c>
      <c r="J213" s="82">
        <f>VLOOKUP(B213,Data!B:K,10,FALSE)</f>
        <v>0</v>
      </c>
      <c r="K213" s="82">
        <f>VLOOKUP(B213,Data!B:L,11,FALSE)</f>
        <v>0</v>
      </c>
    </row>
    <row r="214" spans="1:11" hidden="1" x14ac:dyDescent="0.2">
      <c r="A214" s="82" t="s">
        <v>1071</v>
      </c>
      <c r="B214" s="82" t="s">
        <v>450</v>
      </c>
      <c r="C214" s="82" t="s">
        <v>449</v>
      </c>
      <c r="D214" s="83">
        <v>4.4831107550610003</v>
      </c>
      <c r="E214" s="68">
        <v>1.0485916043710002</v>
      </c>
      <c r="F214" s="68">
        <v>3.4345191506899999</v>
      </c>
      <c r="G214" s="68">
        <v>-10.799881410629</v>
      </c>
      <c r="H214" s="68">
        <v>3.1769302143882503</v>
      </c>
      <c r="I214" s="81">
        <v>0.5</v>
      </c>
      <c r="J214" s="82" t="str">
        <f>VLOOKUP(B214,Data!B:K,10,FALSE)</f>
        <v>Nottingham Business Rates Pool</v>
      </c>
      <c r="K214" s="82">
        <f>VLOOKUP(B214,Data!B:L,11,FALSE)</f>
        <v>0</v>
      </c>
    </row>
    <row r="215" spans="1:11" hidden="1" x14ac:dyDescent="0.2">
      <c r="A215" s="82" t="s">
        <v>1072</v>
      </c>
      <c r="B215" s="82" t="s">
        <v>451</v>
      </c>
      <c r="C215" s="82" t="s">
        <v>1073</v>
      </c>
      <c r="D215" s="83">
        <v>128.87597619577198</v>
      </c>
      <c r="E215" s="68">
        <v>44.46193567353</v>
      </c>
      <c r="F215" s="68">
        <v>84.41404052224199</v>
      </c>
      <c r="G215" s="68">
        <v>16.303103858022002</v>
      </c>
      <c r="H215" s="68">
        <v>78.08298748307385</v>
      </c>
      <c r="I215" s="81">
        <v>0</v>
      </c>
      <c r="J215" s="82">
        <f>VLOOKUP(B215,Data!B:K,10,FALSE)</f>
        <v>0</v>
      </c>
      <c r="K215" s="82">
        <f>VLOOKUP(B215,Data!B:L,11,FALSE)</f>
        <v>0</v>
      </c>
    </row>
    <row r="216" spans="1:11" hidden="1" x14ac:dyDescent="0.2">
      <c r="A216" s="82" t="s">
        <v>1074</v>
      </c>
      <c r="B216" s="82" t="s">
        <v>453</v>
      </c>
      <c r="C216" s="82" t="s">
        <v>452</v>
      </c>
      <c r="D216" s="83">
        <v>4.548902957668</v>
      </c>
      <c r="E216" s="68">
        <v>1.0599562643160001</v>
      </c>
      <c r="F216" s="68">
        <v>3.4889466933519997</v>
      </c>
      <c r="G216" s="68">
        <v>-8.9807378962219993</v>
      </c>
      <c r="H216" s="68">
        <v>3.2272756913506</v>
      </c>
      <c r="I216" s="81">
        <v>0.5</v>
      </c>
      <c r="J216" s="82" t="str">
        <f>VLOOKUP(B216,Data!B:K,10,FALSE)</f>
        <v>Staffordshire &amp; Stoke on Trent Business Rates Pool</v>
      </c>
      <c r="K216" s="82">
        <f>VLOOKUP(B216,Data!B:L,11,FALSE)</f>
        <v>0</v>
      </c>
    </row>
    <row r="217" spans="1:11" hidden="1" x14ac:dyDescent="0.2">
      <c r="A217" s="82" t="s">
        <v>1075</v>
      </c>
      <c r="B217" s="82" t="s">
        <v>456</v>
      </c>
      <c r="C217" s="82" t="s">
        <v>455</v>
      </c>
      <c r="D217" s="83">
        <v>160.473040949851</v>
      </c>
      <c r="E217" s="68">
        <v>56.374302292196994</v>
      </c>
      <c r="F217" s="68">
        <v>104.098738657654</v>
      </c>
      <c r="G217" s="68">
        <v>69.407733808921989</v>
      </c>
      <c r="H217" s="68">
        <v>96.291333258329956</v>
      </c>
      <c r="I217" s="81">
        <v>0</v>
      </c>
      <c r="J217" s="82">
        <f>VLOOKUP(B217,Data!B:K,10,FALSE)</f>
        <v>0</v>
      </c>
      <c r="K217" s="82">
        <f>VLOOKUP(B217,Data!B:L,11,FALSE)</f>
        <v>0</v>
      </c>
    </row>
    <row r="218" spans="1:11" hidden="1" x14ac:dyDescent="0.2">
      <c r="A218" s="82" t="s">
        <v>1076</v>
      </c>
      <c r="B218" s="82" t="s">
        <v>132</v>
      </c>
      <c r="C218" s="82" t="s">
        <v>806</v>
      </c>
      <c r="D218" s="83">
        <v>222.69304880636997</v>
      </c>
      <c r="E218" s="68">
        <v>77.926226430509004</v>
      </c>
      <c r="F218" s="68">
        <v>144.76682237586098</v>
      </c>
      <c r="G218" s="68">
        <v>119.351174859373</v>
      </c>
      <c r="H218" s="68">
        <v>133.90931069767143</v>
      </c>
      <c r="I218" s="81">
        <v>0</v>
      </c>
      <c r="J218" s="82" t="str">
        <f>VLOOKUP(B218,Data!B:K,10,FALSE)</f>
        <v>Norfolk Business Rates Pool</v>
      </c>
      <c r="K218" s="82">
        <f>VLOOKUP(B218,Data!B:L,11,FALSE)</f>
        <v>0</v>
      </c>
    </row>
    <row r="219" spans="1:11" hidden="1" x14ac:dyDescent="0.2">
      <c r="A219" s="82" t="s">
        <v>1077</v>
      </c>
      <c r="B219" s="82" t="s">
        <v>458</v>
      </c>
      <c r="C219" s="82" t="s">
        <v>457</v>
      </c>
      <c r="D219" s="83">
        <v>3.6223648797069998</v>
      </c>
      <c r="E219" s="68">
        <v>0.82940618094399998</v>
      </c>
      <c r="F219" s="68">
        <v>2.792958698763</v>
      </c>
      <c r="G219" s="68">
        <v>-9.3550283362169999</v>
      </c>
      <c r="H219" s="68">
        <v>2.5834867963557753</v>
      </c>
      <c r="I219" s="81">
        <v>0.5</v>
      </c>
      <c r="J219" s="82" t="str">
        <f>VLOOKUP(B219,Data!B:K,10,FALSE)</f>
        <v>Devon Business Rates Pool</v>
      </c>
      <c r="K219" s="82">
        <f>VLOOKUP(B219,Data!B:L,11,FALSE)</f>
        <v>0</v>
      </c>
    </row>
    <row r="220" spans="1:11" hidden="1" x14ac:dyDescent="0.2">
      <c r="A220" s="82" t="s">
        <v>1078</v>
      </c>
      <c r="B220" s="82" t="s">
        <v>460</v>
      </c>
      <c r="C220" s="82" t="s">
        <v>459</v>
      </c>
      <c r="D220" s="83">
        <v>1.9443645550440001</v>
      </c>
      <c r="E220" s="68">
        <v>0.39477339587900001</v>
      </c>
      <c r="F220" s="68">
        <v>1.549591159165</v>
      </c>
      <c r="G220" s="68">
        <v>-4.2116718257999999</v>
      </c>
      <c r="H220" s="68">
        <v>1.4333718222276253</v>
      </c>
      <c r="I220" s="81">
        <v>0.5</v>
      </c>
      <c r="J220" s="82">
        <f>VLOOKUP(B220,Data!B:K,10,FALSE)</f>
        <v>0</v>
      </c>
      <c r="K220" s="82">
        <f>VLOOKUP(B220,Data!B:L,11,FALSE)</f>
        <v>0</v>
      </c>
    </row>
    <row r="221" spans="1:11" hidden="1" x14ac:dyDescent="0.2">
      <c r="A221" s="82" t="s">
        <v>1079</v>
      </c>
      <c r="B221" s="82" t="s">
        <v>462</v>
      </c>
      <c r="C221" s="82" t="s">
        <v>461</v>
      </c>
      <c r="D221" s="83">
        <v>3.323104465968</v>
      </c>
      <c r="E221" s="68">
        <v>0.70648701906199995</v>
      </c>
      <c r="F221" s="68">
        <v>2.616617446906</v>
      </c>
      <c r="G221" s="68">
        <v>-3.0446640457580001</v>
      </c>
      <c r="H221" s="68">
        <v>2.4203711383880502</v>
      </c>
      <c r="I221" s="81">
        <v>0.5</v>
      </c>
      <c r="J221" s="82" t="str">
        <f>VLOOKUP(B221,Data!B:K,10,FALSE)</f>
        <v>Derbyshire Business Rates Pool</v>
      </c>
      <c r="K221" s="82">
        <f>VLOOKUP(B221,Data!B:L,11,FALSE)</f>
        <v>0</v>
      </c>
    </row>
    <row r="222" spans="1:11" hidden="1" x14ac:dyDescent="0.2">
      <c r="A222" s="82" t="s">
        <v>1080</v>
      </c>
      <c r="B222" s="82" t="s">
        <v>464</v>
      </c>
      <c r="C222" s="82" t="s">
        <v>463</v>
      </c>
      <c r="D222" s="83">
        <v>54.859693313653992</v>
      </c>
      <c r="E222" s="68">
        <v>17.755554144188</v>
      </c>
      <c r="F222" s="68">
        <v>37.104139169465995</v>
      </c>
      <c r="G222" s="68">
        <v>8.0433138097249994</v>
      </c>
      <c r="H222" s="68">
        <v>34.321328731756047</v>
      </c>
      <c r="I222" s="81">
        <v>0</v>
      </c>
      <c r="J222" s="82">
        <f>VLOOKUP(B222,Data!B:K,10,FALSE)</f>
        <v>0</v>
      </c>
      <c r="K222" s="82">
        <f>VLOOKUP(B222,Data!B:L,11,FALSE)</f>
        <v>0</v>
      </c>
    </row>
    <row r="223" spans="1:11" hidden="1" x14ac:dyDescent="0.2">
      <c r="A223" s="82" t="s">
        <v>1081</v>
      </c>
      <c r="B223" s="82" t="s">
        <v>466</v>
      </c>
      <c r="C223" s="82" t="s">
        <v>465</v>
      </c>
      <c r="D223" s="83">
        <v>2.5456786845220001</v>
      </c>
      <c r="E223" s="68" t="s">
        <v>61</v>
      </c>
      <c r="F223" s="68">
        <v>2.5456786845220001</v>
      </c>
      <c r="G223" s="68">
        <v>-12.132531457631</v>
      </c>
      <c r="H223" s="68">
        <v>2.3547527831828501</v>
      </c>
      <c r="I223" s="81">
        <v>0.5</v>
      </c>
      <c r="J223" s="82">
        <f>VLOOKUP(B223,Data!B:K,10,FALSE)</f>
        <v>0</v>
      </c>
      <c r="K223" s="82">
        <f>VLOOKUP(B223,Data!B:L,11,FALSE)</f>
        <v>0</v>
      </c>
    </row>
    <row r="224" spans="1:11" hidden="1" x14ac:dyDescent="0.2">
      <c r="A224" s="82" t="s">
        <v>1082</v>
      </c>
      <c r="B224" s="82" t="s">
        <v>468</v>
      </c>
      <c r="C224" s="82" t="s">
        <v>467</v>
      </c>
      <c r="D224" s="83">
        <v>3.6343366262360002</v>
      </c>
      <c r="E224" s="68">
        <v>0.72653438232099998</v>
      </c>
      <c r="F224" s="68">
        <v>2.907802243915</v>
      </c>
      <c r="G224" s="68">
        <v>-6.1594995024039996</v>
      </c>
      <c r="H224" s="68">
        <v>2.6897170756213753</v>
      </c>
      <c r="I224" s="81">
        <v>0.5</v>
      </c>
      <c r="J224" s="82" t="str">
        <f>VLOOKUP(B224,Data!B:K,10,FALSE)</f>
        <v>Lincolnshire Business Rates Pool</v>
      </c>
      <c r="K224" s="82">
        <f>VLOOKUP(B224,Data!B:L,11,FALSE)</f>
        <v>0</v>
      </c>
    </row>
    <row r="225" spans="1:11" hidden="1" x14ac:dyDescent="0.2">
      <c r="A225" s="82" t="s">
        <v>1083</v>
      </c>
      <c r="B225" s="82" t="s">
        <v>470</v>
      </c>
      <c r="C225" s="82" t="s">
        <v>469</v>
      </c>
      <c r="D225" s="83">
        <v>45.268388849423999</v>
      </c>
      <c r="E225" s="68">
        <v>14.291054742753001</v>
      </c>
      <c r="F225" s="68">
        <v>30.977334106671002</v>
      </c>
      <c r="G225" s="68">
        <v>-3.4846330869800002</v>
      </c>
      <c r="H225" s="68">
        <v>28.654034048670681</v>
      </c>
      <c r="I225" s="81">
        <v>0.10149618671020444</v>
      </c>
      <c r="J225" s="82">
        <f>VLOOKUP(B225,Data!B:K,10,FALSE)</f>
        <v>0</v>
      </c>
      <c r="K225" s="82">
        <f>VLOOKUP(B225,Data!B:L,11,FALSE)</f>
        <v>0</v>
      </c>
    </row>
    <row r="226" spans="1:11" hidden="1" x14ac:dyDescent="0.2">
      <c r="A226" s="82" t="s">
        <v>1084</v>
      </c>
      <c r="B226" s="82" t="s">
        <v>472</v>
      </c>
      <c r="C226" s="82" t="s">
        <v>471</v>
      </c>
      <c r="D226" s="83">
        <v>3.9479686660749995</v>
      </c>
      <c r="E226" s="68">
        <v>0.93603452852799995</v>
      </c>
      <c r="F226" s="68">
        <v>3.0119341375469997</v>
      </c>
      <c r="G226" s="68">
        <v>-7.4282644095869994</v>
      </c>
      <c r="H226" s="68">
        <v>2.7860390772309751</v>
      </c>
      <c r="I226" s="81">
        <v>0.5</v>
      </c>
      <c r="J226" s="82" t="str">
        <f>VLOOKUP(B226,Data!B:K,10,FALSE)</f>
        <v>Norfolk Business Rates Pool</v>
      </c>
      <c r="K226" s="82">
        <f>VLOOKUP(B226,Data!B:L,11,FALSE)</f>
        <v>0</v>
      </c>
    </row>
    <row r="227" spans="1:11" hidden="1" x14ac:dyDescent="0.2">
      <c r="A227" s="82" t="s">
        <v>1085</v>
      </c>
      <c r="B227" s="82" t="s">
        <v>474</v>
      </c>
      <c r="C227" s="82" t="s">
        <v>473</v>
      </c>
      <c r="D227" s="83">
        <v>41.377709644999001</v>
      </c>
      <c r="E227" s="68">
        <v>11.696550574571001</v>
      </c>
      <c r="F227" s="68">
        <v>29.681159070427999</v>
      </c>
      <c r="G227" s="68">
        <v>2.9281674979969998</v>
      </c>
      <c r="H227" s="68">
        <v>27.455072140145901</v>
      </c>
      <c r="I227" s="81">
        <v>0</v>
      </c>
      <c r="J227" s="82">
        <f>VLOOKUP(B227,Data!B:K,10,FALSE)</f>
        <v>0</v>
      </c>
      <c r="K227" s="82">
        <f>VLOOKUP(B227,Data!B:L,11,FALSE)</f>
        <v>0</v>
      </c>
    </row>
    <row r="228" spans="1:11" hidden="1" x14ac:dyDescent="0.2">
      <c r="A228" s="82" t="s">
        <v>1086</v>
      </c>
      <c r="B228" s="82" t="s">
        <v>476</v>
      </c>
      <c r="C228" s="82" t="s">
        <v>475</v>
      </c>
      <c r="D228" s="83">
        <v>67.703041939377002</v>
      </c>
      <c r="E228" s="68">
        <v>22.595997324087001</v>
      </c>
      <c r="F228" s="68">
        <v>45.10704461529</v>
      </c>
      <c r="G228" s="68">
        <v>19.189107435784003</v>
      </c>
      <c r="H228" s="68">
        <v>41.724016269143256</v>
      </c>
      <c r="I228" s="81">
        <v>0</v>
      </c>
      <c r="J228" s="82">
        <f>VLOOKUP(B228,Data!B:K,10,FALSE)</f>
        <v>0</v>
      </c>
      <c r="K228" s="82">
        <f>VLOOKUP(B228,Data!B:L,11,FALSE)</f>
        <v>0</v>
      </c>
    </row>
    <row r="229" spans="1:11" hidden="1" x14ac:dyDescent="0.2">
      <c r="A229" s="82" t="s">
        <v>1087</v>
      </c>
      <c r="B229" s="82" t="s">
        <v>478</v>
      </c>
      <c r="C229" s="82" t="s">
        <v>477</v>
      </c>
      <c r="D229" s="83">
        <v>2.2553637465850001</v>
      </c>
      <c r="E229" s="68">
        <v>0.46079150805899999</v>
      </c>
      <c r="F229" s="68">
        <v>1.7945722385259999</v>
      </c>
      <c r="G229" s="68">
        <v>-14.471993046144</v>
      </c>
      <c r="H229" s="68">
        <v>1.6599793206365501</v>
      </c>
      <c r="I229" s="81">
        <v>0.5</v>
      </c>
      <c r="J229" s="82" t="str">
        <f>VLOOKUP(B229,Data!B:K,10,FALSE)</f>
        <v>Coventry &amp; Warwickshire Business Rates Pool</v>
      </c>
      <c r="K229" s="82">
        <f>VLOOKUP(B229,Data!B:L,11,FALSE)</f>
        <v>0</v>
      </c>
    </row>
    <row r="230" spans="1:11" hidden="1" x14ac:dyDescent="0.2">
      <c r="A230" s="82" t="s">
        <v>1088</v>
      </c>
      <c r="B230" s="82" t="s">
        <v>481</v>
      </c>
      <c r="C230" s="82" t="s">
        <v>480</v>
      </c>
      <c r="D230" s="83">
        <v>2.8173313044860002</v>
      </c>
      <c r="E230" s="68">
        <v>0.57267065933099992</v>
      </c>
      <c r="F230" s="68">
        <v>2.2446606451550002</v>
      </c>
      <c r="G230" s="68">
        <v>-17.009288122784998</v>
      </c>
      <c r="H230" s="68">
        <v>2.0763110967683751</v>
      </c>
      <c r="I230" s="81">
        <v>0.5</v>
      </c>
      <c r="J230" s="82" t="str">
        <f>VLOOKUP(B230,Data!B:K,10,FALSE)</f>
        <v>Leicestershire Business Rates Pool</v>
      </c>
      <c r="K230" s="82">
        <f>VLOOKUP(B230,Data!B:L,11,FALSE)</f>
        <v>0</v>
      </c>
    </row>
    <row r="231" spans="1:11" hidden="1" x14ac:dyDescent="0.2">
      <c r="A231" s="82" t="s">
        <v>1089</v>
      </c>
      <c r="B231" s="82" t="s">
        <v>226</v>
      </c>
      <c r="C231" s="82" t="s">
        <v>228</v>
      </c>
      <c r="D231" s="83">
        <v>82.35695726694</v>
      </c>
      <c r="E231" s="68">
        <v>19.118776724155001</v>
      </c>
      <c r="F231" s="68">
        <v>63.238180542784995</v>
      </c>
      <c r="G231" s="68">
        <v>44.652359682313005</v>
      </c>
      <c r="H231" s="68">
        <v>58.495317002076128</v>
      </c>
      <c r="I231" s="81">
        <v>0</v>
      </c>
      <c r="J231" s="82" t="str">
        <f>VLOOKUP(B231,Data!B:K,10,FALSE)</f>
        <v>North Yorkshire Business Rates Pool</v>
      </c>
      <c r="K231" s="82">
        <f>VLOOKUP(B231,Data!B:L,11,FALSE)</f>
        <v>0</v>
      </c>
    </row>
    <row r="232" spans="1:11" hidden="1" x14ac:dyDescent="0.2">
      <c r="A232" s="82" t="s">
        <v>1090</v>
      </c>
      <c r="B232" s="82" t="s">
        <v>227</v>
      </c>
      <c r="C232" s="82" t="s">
        <v>1091</v>
      </c>
      <c r="D232" s="83">
        <v>9.3267883703300001</v>
      </c>
      <c r="E232" s="68">
        <v>3.5790989169460001</v>
      </c>
      <c r="F232" s="68">
        <v>5.7476894533839999</v>
      </c>
      <c r="G232" s="68">
        <v>2.7598005257959999</v>
      </c>
      <c r="H232" s="68">
        <v>5.3166127443802003</v>
      </c>
      <c r="I232" s="81">
        <v>0</v>
      </c>
      <c r="J232" s="82">
        <f>VLOOKUP(B232,Data!B:K,10,FALSE)</f>
        <v>0</v>
      </c>
      <c r="K232" s="82">
        <f>VLOOKUP(B232,Data!B:L,11,FALSE)</f>
        <v>0</v>
      </c>
    </row>
    <row r="233" spans="1:11" hidden="1" x14ac:dyDescent="0.2">
      <c r="A233" s="82" t="s">
        <v>1092</v>
      </c>
      <c r="B233" s="82" t="s">
        <v>483</v>
      </c>
      <c r="C233" s="82" t="s">
        <v>482</v>
      </c>
      <c r="D233" s="83">
        <v>8.1728740292019992</v>
      </c>
      <c r="E233" s="68">
        <v>1.792975646108</v>
      </c>
      <c r="F233" s="68">
        <v>6.3798983830939999</v>
      </c>
      <c r="G233" s="68">
        <v>-29.036260797972002</v>
      </c>
      <c r="H233" s="68">
        <v>5.9014060043619496</v>
      </c>
      <c r="I233" s="81">
        <v>0.5</v>
      </c>
      <c r="J233" s="82">
        <f>VLOOKUP(B233,Data!B:K,10,FALSE)</f>
        <v>0</v>
      </c>
      <c r="K233" s="82">
        <f>VLOOKUP(B233,Data!B:L,11,FALSE)</f>
        <v>0</v>
      </c>
    </row>
    <row r="234" spans="1:11" hidden="1" x14ac:dyDescent="0.2">
      <c r="A234" s="82" t="s">
        <v>1093</v>
      </c>
      <c r="B234" s="82" t="s">
        <v>215</v>
      </c>
      <c r="C234" s="82" t="s">
        <v>807</v>
      </c>
      <c r="D234" s="83">
        <v>121.448452936088</v>
      </c>
      <c r="E234" s="68">
        <v>35.516257235986998</v>
      </c>
      <c r="F234" s="68">
        <v>85.932195700101005</v>
      </c>
      <c r="G234" s="68">
        <v>61.986098365162</v>
      </c>
      <c r="H234" s="68">
        <v>79.487281022593436</v>
      </c>
      <c r="I234" s="81">
        <v>0</v>
      </c>
      <c r="J234" s="82" t="str">
        <f>VLOOKUP(B234,Data!B:K,10,FALSE)</f>
        <v>Northamptonshire Business Rates Pool</v>
      </c>
      <c r="K234" s="82">
        <f>VLOOKUP(B234,Data!B:L,11,FALSE)</f>
        <v>0</v>
      </c>
    </row>
    <row r="235" spans="1:11" hidden="1" x14ac:dyDescent="0.2">
      <c r="A235" s="82" t="s">
        <v>1094</v>
      </c>
      <c r="B235" s="82" t="s">
        <v>485</v>
      </c>
      <c r="C235" s="82" t="s">
        <v>1095</v>
      </c>
      <c r="D235" s="83">
        <v>92.155917328282996</v>
      </c>
      <c r="E235" s="68">
        <v>27.798858112937001</v>
      </c>
      <c r="F235" s="68">
        <v>64.357059215345998</v>
      </c>
      <c r="G235" s="68">
        <v>25.756533838851002</v>
      </c>
      <c r="H235" s="68">
        <v>59.530279774195051</v>
      </c>
      <c r="I235" s="81">
        <v>0</v>
      </c>
      <c r="J235" s="82">
        <f>VLOOKUP(B235,Data!B:K,10,FALSE)</f>
        <v>0</v>
      </c>
      <c r="K235" s="82">
        <f>VLOOKUP(B235,Data!B:L,11,FALSE)</f>
        <v>0</v>
      </c>
    </row>
    <row r="236" spans="1:11" hidden="1" x14ac:dyDescent="0.2">
      <c r="A236" s="82" t="s">
        <v>1096</v>
      </c>
      <c r="B236" s="82" t="s">
        <v>487</v>
      </c>
      <c r="C236" s="82" t="s">
        <v>486</v>
      </c>
      <c r="D236" s="83">
        <v>7.2615309215819996</v>
      </c>
      <c r="E236" s="68">
        <v>1.6708543129219999</v>
      </c>
      <c r="F236" s="68">
        <v>5.5906766086599999</v>
      </c>
      <c r="G236" s="68">
        <v>-25.032784281079003</v>
      </c>
      <c r="H236" s="68">
        <v>5.1713758630105007</v>
      </c>
      <c r="I236" s="81">
        <v>0.5</v>
      </c>
      <c r="J236" s="82" t="str">
        <f>VLOOKUP(B236,Data!B:K,10,FALSE)</f>
        <v>Norfolk Business Rates Pool</v>
      </c>
      <c r="K236" s="82">
        <f>VLOOKUP(B236,Data!B:L,11,FALSE)</f>
        <v>0</v>
      </c>
    </row>
    <row r="237" spans="1:11" hidden="1" x14ac:dyDescent="0.2">
      <c r="A237" s="82" t="s">
        <v>1097</v>
      </c>
      <c r="B237" s="82" t="s">
        <v>489</v>
      </c>
      <c r="C237" s="82" t="s">
        <v>488</v>
      </c>
      <c r="D237" s="83">
        <v>134.67662779727499</v>
      </c>
      <c r="E237" s="68">
        <v>44.485013900517004</v>
      </c>
      <c r="F237" s="68">
        <v>90.191613896758</v>
      </c>
      <c r="G237" s="68">
        <v>25.604860027022998</v>
      </c>
      <c r="H237" s="68">
        <v>83.427242854501159</v>
      </c>
      <c r="I237" s="81">
        <v>0</v>
      </c>
      <c r="J237" s="82">
        <f>VLOOKUP(B237,Data!B:K,10,FALSE)</f>
        <v>0</v>
      </c>
      <c r="K237" s="82">
        <f>VLOOKUP(B237,Data!B:L,11,FALSE)</f>
        <v>0</v>
      </c>
    </row>
    <row r="238" spans="1:11" hidden="1" x14ac:dyDescent="0.2">
      <c r="A238" s="82" t="s">
        <v>1098</v>
      </c>
      <c r="B238" s="82" t="s">
        <v>50</v>
      </c>
      <c r="C238" s="82" t="s">
        <v>808</v>
      </c>
      <c r="D238" s="83">
        <v>140.20694925434299</v>
      </c>
      <c r="E238" s="68">
        <v>38.510069100914997</v>
      </c>
      <c r="F238" s="68">
        <v>101.696880153428</v>
      </c>
      <c r="G238" s="68">
        <v>83.257328858327995</v>
      </c>
      <c r="H238" s="68">
        <v>94.069614141920908</v>
      </c>
      <c r="I238" s="81">
        <v>0</v>
      </c>
      <c r="J238" s="82" t="str">
        <f>VLOOKUP(B238,Data!B:K,10,FALSE)</f>
        <v>Nottingham Business Rates Pool</v>
      </c>
      <c r="K238" s="82">
        <f>VLOOKUP(B238,Data!B:L,11,FALSE)</f>
        <v>0</v>
      </c>
    </row>
    <row r="239" spans="1:11" hidden="1" x14ac:dyDescent="0.2">
      <c r="A239" s="82" t="s">
        <v>1099</v>
      </c>
      <c r="B239" s="82" t="s">
        <v>51</v>
      </c>
      <c r="C239" s="82" t="s">
        <v>1100</v>
      </c>
      <c r="D239" s="83">
        <v>17.107758183721998</v>
      </c>
      <c r="E239" s="68">
        <v>6.9786409768399995</v>
      </c>
      <c r="F239" s="68">
        <v>10.129117206882</v>
      </c>
      <c r="G239" s="68">
        <v>6.7480925953129995</v>
      </c>
      <c r="H239" s="68">
        <v>9.369433416365851</v>
      </c>
      <c r="I239" s="81">
        <v>0</v>
      </c>
      <c r="J239" s="82">
        <f>VLOOKUP(B239,Data!B:K,10,FALSE)</f>
        <v>0</v>
      </c>
      <c r="K239" s="82">
        <f>VLOOKUP(B239,Data!B:L,11,FALSE)</f>
        <v>0</v>
      </c>
    </row>
    <row r="240" spans="1:11" hidden="1" x14ac:dyDescent="0.2">
      <c r="A240" s="82" t="s">
        <v>1101</v>
      </c>
      <c r="B240" s="82" t="s">
        <v>491</v>
      </c>
      <c r="C240" s="82" t="s">
        <v>490</v>
      </c>
      <c r="D240" s="83">
        <v>4.215872222002</v>
      </c>
      <c r="E240" s="68">
        <v>0.76829137882700005</v>
      </c>
      <c r="F240" s="68">
        <v>3.4475808431749999</v>
      </c>
      <c r="G240" s="68">
        <v>-8.7965812173559996</v>
      </c>
      <c r="H240" s="68">
        <v>3.1890122799368754</v>
      </c>
      <c r="I240" s="81">
        <v>0.5</v>
      </c>
      <c r="J240" s="82" t="str">
        <f>VLOOKUP(B240,Data!B:K,10,FALSE)</f>
        <v>Coventry &amp; Warwickshire Business Rates Pool</v>
      </c>
      <c r="K240" s="82">
        <f>VLOOKUP(B240,Data!B:L,11,FALSE)</f>
        <v>0</v>
      </c>
    </row>
    <row r="241" spans="1:11" hidden="1" x14ac:dyDescent="0.2">
      <c r="A241" s="82" t="s">
        <v>1102</v>
      </c>
      <c r="B241" s="82" t="s">
        <v>493</v>
      </c>
      <c r="C241" s="82" t="s">
        <v>492</v>
      </c>
      <c r="D241" s="83">
        <v>1.8006561763589999</v>
      </c>
      <c r="E241" s="68">
        <v>0.36037770902399996</v>
      </c>
      <c r="F241" s="68">
        <v>1.440278467335</v>
      </c>
      <c r="G241" s="68">
        <v>-3.5131538430869997</v>
      </c>
      <c r="H241" s="68">
        <v>1.332257582284875</v>
      </c>
      <c r="I241" s="81">
        <v>0.5</v>
      </c>
      <c r="J241" s="82" t="str">
        <f>VLOOKUP(B241,Data!B:K,10,FALSE)</f>
        <v>Leicestershire Business Rates Pool</v>
      </c>
      <c r="K241" s="82">
        <f>VLOOKUP(B241,Data!B:L,11,FALSE)</f>
        <v>0</v>
      </c>
    </row>
    <row r="242" spans="1:11" x14ac:dyDescent="0.2">
      <c r="A242" s="82" t="s">
        <v>1103</v>
      </c>
      <c r="B242" s="82" t="s">
        <v>495</v>
      </c>
      <c r="C242" s="82" t="s">
        <v>494</v>
      </c>
      <c r="D242" s="83">
        <v>90.935851931201</v>
      </c>
      <c r="E242" s="68">
        <v>30.428480173544997</v>
      </c>
      <c r="F242" s="68">
        <v>60.507371757656003</v>
      </c>
      <c r="G242" s="68">
        <v>34.014593463117002</v>
      </c>
      <c r="H242" s="68">
        <v>55.969318875831803</v>
      </c>
      <c r="I242" s="81">
        <v>0</v>
      </c>
      <c r="J242" s="82" t="str">
        <f>VLOOKUP(B242,Data!B:K,10,FALSE)</f>
        <v>Greater Manchester &amp; Cheshire Business Rates Pool</v>
      </c>
      <c r="K242" s="82" t="str">
        <f>VLOOKUP(B242,Data!B:L,11,FALSE)</f>
        <v>Pilot</v>
      </c>
    </row>
    <row r="243" spans="1:11" hidden="1" x14ac:dyDescent="0.2">
      <c r="A243" s="82" t="s">
        <v>1104</v>
      </c>
      <c r="B243" s="82" t="s">
        <v>497</v>
      </c>
      <c r="C243" s="82" t="s">
        <v>496</v>
      </c>
      <c r="D243" s="83">
        <v>7.3039760442450001</v>
      </c>
      <c r="E243" s="68">
        <v>1.4581273365380001</v>
      </c>
      <c r="F243" s="68">
        <v>5.8458487077069998</v>
      </c>
      <c r="G243" s="68">
        <v>-28.595639925608001</v>
      </c>
      <c r="H243" s="68">
        <v>5.4074100546289756</v>
      </c>
      <c r="I243" s="81">
        <v>0.5</v>
      </c>
      <c r="J243" s="82">
        <f>VLOOKUP(B243,Data!B:K,10,FALSE)</f>
        <v>0</v>
      </c>
      <c r="K243" s="82">
        <f>VLOOKUP(B243,Data!B:L,11,FALSE)</f>
        <v>0</v>
      </c>
    </row>
    <row r="244" spans="1:11" hidden="1" x14ac:dyDescent="0.2">
      <c r="A244" s="82" t="s">
        <v>1105</v>
      </c>
      <c r="B244" s="82" t="s">
        <v>191</v>
      </c>
      <c r="C244" s="82" t="s">
        <v>809</v>
      </c>
      <c r="D244" s="83">
        <v>85.862328459270003</v>
      </c>
      <c r="E244" s="68">
        <v>18.665066607698002</v>
      </c>
      <c r="F244" s="68">
        <v>67.197261851572009</v>
      </c>
      <c r="G244" s="68">
        <v>37.821192013062998</v>
      </c>
      <c r="H244" s="68">
        <v>62.157467212704105</v>
      </c>
      <c r="I244" s="81">
        <v>0</v>
      </c>
      <c r="J244" s="82" t="str">
        <f>VLOOKUP(B244,Data!B:K,10,FALSE)</f>
        <v>North Oxfordshire Business Rates Pool</v>
      </c>
      <c r="K244" s="82">
        <f>VLOOKUP(B244,Data!B:L,11,FALSE)</f>
        <v>0</v>
      </c>
    </row>
    <row r="245" spans="1:11" hidden="1" x14ac:dyDescent="0.2">
      <c r="A245" s="82" t="s">
        <v>1106</v>
      </c>
      <c r="B245" s="82" t="s">
        <v>499</v>
      </c>
      <c r="C245" s="82" t="s">
        <v>498</v>
      </c>
      <c r="D245" s="83">
        <v>6.0125215563880001</v>
      </c>
      <c r="E245" s="68">
        <v>2.2103832212849999</v>
      </c>
      <c r="F245" s="68">
        <v>3.8021383351030003</v>
      </c>
      <c r="G245" s="68">
        <v>-3.2477623342869997</v>
      </c>
      <c r="H245" s="68">
        <v>3.5169779599702755</v>
      </c>
      <c r="I245" s="81">
        <v>0.45423799423206235</v>
      </c>
      <c r="J245" s="82" t="str">
        <f>VLOOKUP(B245,Data!B:K,10,FALSE)</f>
        <v>Lancashire Business Rates Pool</v>
      </c>
      <c r="K245" s="82">
        <f>VLOOKUP(B245,Data!B:L,11,FALSE)</f>
        <v>0</v>
      </c>
    </row>
    <row r="246" spans="1:11" hidden="1" x14ac:dyDescent="0.2">
      <c r="A246" s="82" t="s">
        <v>1107</v>
      </c>
      <c r="B246" s="82" t="s">
        <v>501</v>
      </c>
      <c r="C246" s="82" t="s">
        <v>500</v>
      </c>
      <c r="D246" s="83">
        <v>59.053608334220002</v>
      </c>
      <c r="E246" s="68">
        <v>19.820758792072002</v>
      </c>
      <c r="F246" s="68">
        <v>39.232849542148003</v>
      </c>
      <c r="G246" s="68">
        <v>-2.1317446987430002</v>
      </c>
      <c r="H246" s="68">
        <v>36.290385826486897</v>
      </c>
      <c r="I246" s="81">
        <v>5.5394419855965271E-2</v>
      </c>
      <c r="J246" s="82">
        <f>VLOOKUP(B246,Data!B:K,10,FALSE)</f>
        <v>0</v>
      </c>
      <c r="K246" s="82">
        <f>VLOOKUP(B246,Data!B:L,11,FALSE)</f>
        <v>0</v>
      </c>
    </row>
    <row r="247" spans="1:11" hidden="1" x14ac:dyDescent="0.2">
      <c r="A247" s="82" t="s">
        <v>1108</v>
      </c>
      <c r="B247" s="82" t="s">
        <v>503</v>
      </c>
      <c r="C247" s="82" t="s">
        <v>502</v>
      </c>
      <c r="D247" s="83">
        <v>77.535398742078996</v>
      </c>
      <c r="E247" s="68">
        <v>23.058393929133999</v>
      </c>
      <c r="F247" s="68">
        <v>54.477004812944998</v>
      </c>
      <c r="G247" s="68">
        <v>13.765373968933</v>
      </c>
      <c r="H247" s="68">
        <v>50.391229451974134</v>
      </c>
      <c r="I247" s="81">
        <v>0</v>
      </c>
      <c r="J247" s="82" t="str">
        <f>VLOOKUP(B247,Data!B:K,10,FALSE)</f>
        <v>Devon Business Rates Pool</v>
      </c>
      <c r="K247" s="82">
        <f>VLOOKUP(B247,Data!B:L,11,FALSE)</f>
        <v>0</v>
      </c>
    </row>
    <row r="248" spans="1:11" hidden="1" x14ac:dyDescent="0.2">
      <c r="A248" s="82" t="s">
        <v>1109</v>
      </c>
      <c r="B248" s="82" t="s">
        <v>505</v>
      </c>
      <c r="C248" s="82" t="s">
        <v>504</v>
      </c>
      <c r="D248" s="83">
        <v>21.081322372974999</v>
      </c>
      <c r="E248" s="68">
        <v>4.8780022521590007</v>
      </c>
      <c r="F248" s="68">
        <v>16.203320120815999</v>
      </c>
      <c r="G248" s="68">
        <v>-13.089242407392002</v>
      </c>
      <c r="H248" s="68">
        <v>14.988071111754801</v>
      </c>
      <c r="I248" s="81">
        <v>0.44341370713377326</v>
      </c>
      <c r="J248" s="82">
        <f>VLOOKUP(B248,Data!B:K,10,FALSE)</f>
        <v>0</v>
      </c>
      <c r="K248" s="82">
        <f>VLOOKUP(B248,Data!B:L,11,FALSE)</f>
        <v>0</v>
      </c>
    </row>
    <row r="249" spans="1:11" hidden="1" x14ac:dyDescent="0.2">
      <c r="A249" s="82" t="s">
        <v>1110</v>
      </c>
      <c r="B249" s="82" t="s">
        <v>507</v>
      </c>
      <c r="C249" s="82" t="s">
        <v>506</v>
      </c>
      <c r="D249" s="83">
        <v>67.625286502389002</v>
      </c>
      <c r="E249" s="68">
        <v>22.313119970624001</v>
      </c>
      <c r="F249" s="68">
        <v>45.312166531765001</v>
      </c>
      <c r="G249" s="68">
        <v>5.9840044801120005</v>
      </c>
      <c r="H249" s="68">
        <v>41.913754041882626</v>
      </c>
      <c r="I249" s="81">
        <v>0</v>
      </c>
      <c r="J249" s="82">
        <f>VLOOKUP(B249,Data!B:K,10,FALSE)</f>
        <v>0</v>
      </c>
      <c r="K249" s="82">
        <f>VLOOKUP(B249,Data!B:L,11,FALSE)</f>
        <v>0</v>
      </c>
    </row>
    <row r="250" spans="1:11" hidden="1" x14ac:dyDescent="0.2">
      <c r="A250" s="82" t="s">
        <v>1111</v>
      </c>
      <c r="B250" s="82" t="s">
        <v>509</v>
      </c>
      <c r="C250" s="82" t="s">
        <v>508</v>
      </c>
      <c r="D250" s="83">
        <v>6.5718134015940004</v>
      </c>
      <c r="E250" s="68">
        <v>1.3798964430639999</v>
      </c>
      <c r="F250" s="68">
        <v>5.1919169585300002</v>
      </c>
      <c r="G250" s="68">
        <v>-17.104041465899002</v>
      </c>
      <c r="H250" s="68">
        <v>4.8025231866402507</v>
      </c>
      <c r="I250" s="81">
        <v>0.5</v>
      </c>
      <c r="J250" s="82">
        <f>VLOOKUP(B250,Data!B:K,10,FALSE)</f>
        <v>0</v>
      </c>
      <c r="K250" s="82">
        <f>VLOOKUP(B250,Data!B:L,11,FALSE)</f>
        <v>0</v>
      </c>
    </row>
    <row r="251" spans="1:11" hidden="1" x14ac:dyDescent="0.2">
      <c r="A251" s="82" t="s">
        <v>1112</v>
      </c>
      <c r="B251" s="82" t="s">
        <v>511</v>
      </c>
      <c r="C251" s="82" t="s">
        <v>510</v>
      </c>
      <c r="D251" s="83">
        <v>1.1984600521339999</v>
      </c>
      <c r="E251" s="68">
        <v>0.119163653706</v>
      </c>
      <c r="F251" s="68">
        <v>1.079296398428</v>
      </c>
      <c r="G251" s="68">
        <v>-6.0290903033859999</v>
      </c>
      <c r="H251" s="68">
        <v>0.99834916854590017</v>
      </c>
      <c r="I251" s="81">
        <v>0.5</v>
      </c>
      <c r="J251" s="82">
        <f>VLOOKUP(B251,Data!B:K,10,FALSE)</f>
        <v>0</v>
      </c>
      <c r="K251" s="82">
        <f>VLOOKUP(B251,Data!B:L,11,FALSE)</f>
        <v>0</v>
      </c>
    </row>
    <row r="252" spans="1:11" hidden="1" x14ac:dyDescent="0.2">
      <c r="A252" s="82" t="s">
        <v>1113</v>
      </c>
      <c r="B252" s="82" t="s">
        <v>261</v>
      </c>
      <c r="C252" s="82" t="s">
        <v>1114</v>
      </c>
      <c r="D252" s="83">
        <v>23.883224665958998</v>
      </c>
      <c r="E252" s="68">
        <v>9.0067803104669988</v>
      </c>
      <c r="F252" s="68">
        <v>14.876444355492</v>
      </c>
      <c r="G252" s="68">
        <v>9.7959355398420005</v>
      </c>
      <c r="H252" s="68">
        <v>13.7607110288301</v>
      </c>
      <c r="I252" s="81">
        <v>0</v>
      </c>
      <c r="J252" s="82">
        <f>VLOOKUP(B252,Data!B:K,10,FALSE)</f>
        <v>0</v>
      </c>
      <c r="K252" s="82">
        <f>VLOOKUP(B252,Data!B:L,11,FALSE)</f>
        <v>0</v>
      </c>
    </row>
    <row r="253" spans="1:11" hidden="1" x14ac:dyDescent="0.2">
      <c r="A253" s="82" t="s">
        <v>1115</v>
      </c>
      <c r="B253" s="82" t="s">
        <v>868</v>
      </c>
      <c r="C253" s="82" t="s">
        <v>1116</v>
      </c>
      <c r="D253" s="83">
        <v>15.466900167770998</v>
      </c>
      <c r="E253" s="68">
        <v>5.7043727341699997</v>
      </c>
      <c r="F253" s="68">
        <v>9.7625274336009991</v>
      </c>
      <c r="G253" s="68">
        <v>5.0158864821260005</v>
      </c>
      <c r="H253" s="68">
        <v>9.0303378760809245</v>
      </c>
      <c r="I253" s="81">
        <v>0</v>
      </c>
      <c r="J253" s="82">
        <f>VLOOKUP(B253,Data!B:K,10,FALSE)</f>
        <v>0</v>
      </c>
      <c r="K253" s="82">
        <f>VLOOKUP(B253,Data!B:L,11,FALSE)</f>
        <v>0</v>
      </c>
    </row>
    <row r="254" spans="1:11" hidden="1" x14ac:dyDescent="0.2">
      <c r="A254" s="82" t="s">
        <v>1117</v>
      </c>
      <c r="B254" s="82" t="s">
        <v>513</v>
      </c>
      <c r="C254" s="82" t="s">
        <v>512</v>
      </c>
      <c r="D254" s="83">
        <v>39.032900595758001</v>
      </c>
      <c r="E254" s="68">
        <v>10.367844383697999</v>
      </c>
      <c r="F254" s="68">
        <v>28.665056212060001</v>
      </c>
      <c r="G254" s="68">
        <v>-27.483549841028001</v>
      </c>
      <c r="H254" s="68">
        <v>26.5151769961555</v>
      </c>
      <c r="I254" s="81">
        <v>0.48913470670560721</v>
      </c>
      <c r="J254" s="82">
        <f>VLOOKUP(B254,Data!B:K,10,FALSE)</f>
        <v>0</v>
      </c>
      <c r="K254" s="82">
        <f>VLOOKUP(B254,Data!B:L,11,FALSE)</f>
        <v>0</v>
      </c>
    </row>
    <row r="255" spans="1:11" hidden="1" x14ac:dyDescent="0.2">
      <c r="A255" s="82" t="s">
        <v>1118</v>
      </c>
      <c r="B255" s="82" t="s">
        <v>515</v>
      </c>
      <c r="C255" s="82" t="s">
        <v>514</v>
      </c>
      <c r="D255" s="83">
        <v>73.129908550246</v>
      </c>
      <c r="E255" s="68">
        <v>23.224012673344003</v>
      </c>
      <c r="F255" s="68">
        <v>49.905895876902001</v>
      </c>
      <c r="G255" s="68">
        <v>31.783786053020002</v>
      </c>
      <c r="H255" s="68">
        <v>46.162953686134351</v>
      </c>
      <c r="I255" s="81">
        <v>0</v>
      </c>
      <c r="J255" s="82">
        <f>VLOOKUP(B255,Data!B:K,10,FALSE)</f>
        <v>0</v>
      </c>
      <c r="K255" s="82">
        <f>VLOOKUP(B255,Data!B:L,11,FALSE)</f>
        <v>0</v>
      </c>
    </row>
    <row r="256" spans="1:11" hidden="1" x14ac:dyDescent="0.2">
      <c r="A256" s="82" t="s">
        <v>1119</v>
      </c>
      <c r="B256" s="82" t="s">
        <v>517</v>
      </c>
      <c r="C256" s="82" t="s">
        <v>516</v>
      </c>
      <c r="D256" s="83">
        <v>49.133571999753002</v>
      </c>
      <c r="E256" s="68">
        <v>15.462294175434002</v>
      </c>
      <c r="F256" s="68">
        <v>33.671277824318999</v>
      </c>
      <c r="G256" s="68">
        <v>14.290557655756</v>
      </c>
      <c r="H256" s="68">
        <v>31.145931987495075</v>
      </c>
      <c r="I256" s="81">
        <v>0</v>
      </c>
      <c r="J256" s="82">
        <f>VLOOKUP(B256,Data!B:K,10,FALSE)</f>
        <v>0</v>
      </c>
      <c r="K256" s="82">
        <f>VLOOKUP(B256,Data!B:L,11,FALSE)</f>
        <v>0</v>
      </c>
    </row>
    <row r="257" spans="1:11" hidden="1" x14ac:dyDescent="0.2">
      <c r="A257" s="82" t="s">
        <v>1120</v>
      </c>
      <c r="B257" s="82" t="s">
        <v>519</v>
      </c>
      <c r="C257" s="82" t="s">
        <v>518</v>
      </c>
      <c r="D257" s="83">
        <v>2.4237754891050001</v>
      </c>
      <c r="E257" s="68">
        <v>0.36330665064399997</v>
      </c>
      <c r="F257" s="68">
        <v>2.0604688384609999</v>
      </c>
      <c r="G257" s="68">
        <v>-10.384141969731999</v>
      </c>
      <c r="H257" s="68">
        <v>1.9059336755764251</v>
      </c>
      <c r="I257" s="81">
        <v>0.5</v>
      </c>
      <c r="J257" s="82" t="str">
        <f>VLOOKUP(B257,Data!B:K,10,FALSE)</f>
        <v>Greater Birmingham &amp; Solihull Business Rates Pool</v>
      </c>
      <c r="K257" s="82">
        <f>VLOOKUP(B257,Data!B:L,11,FALSE)</f>
        <v>0</v>
      </c>
    </row>
    <row r="258" spans="1:11" hidden="1" x14ac:dyDescent="0.2">
      <c r="A258" s="82" t="s">
        <v>1121</v>
      </c>
      <c r="B258" s="82" t="s">
        <v>521</v>
      </c>
      <c r="C258" s="82" t="s">
        <v>520</v>
      </c>
      <c r="D258" s="83">
        <v>2.2277972640530002</v>
      </c>
      <c r="E258" s="68" t="s">
        <v>61</v>
      </c>
      <c r="F258" s="68">
        <v>2.2277972640530002</v>
      </c>
      <c r="G258" s="68">
        <v>-18.412130289537</v>
      </c>
      <c r="H258" s="68">
        <v>2.0607124692490251</v>
      </c>
      <c r="I258" s="81">
        <v>0.5</v>
      </c>
      <c r="J258" s="82">
        <f>VLOOKUP(B258,Data!B:K,10,FALSE)</f>
        <v>0</v>
      </c>
      <c r="K258" s="82">
        <f>VLOOKUP(B258,Data!B:L,11,FALSE)</f>
        <v>0</v>
      </c>
    </row>
    <row r="259" spans="1:11" hidden="1" x14ac:dyDescent="0.2">
      <c r="A259" s="82" t="s">
        <v>1122</v>
      </c>
      <c r="B259" s="82" t="s">
        <v>523</v>
      </c>
      <c r="C259" s="82" t="s">
        <v>522</v>
      </c>
      <c r="D259" s="83">
        <v>1.5691428274549999</v>
      </c>
      <c r="E259" s="68">
        <v>0.30431868312599997</v>
      </c>
      <c r="F259" s="68">
        <v>1.264824144329</v>
      </c>
      <c r="G259" s="68">
        <v>-3.9974716253249998</v>
      </c>
      <c r="H259" s="68">
        <v>1.169962333504325</v>
      </c>
      <c r="I259" s="81">
        <v>0.5</v>
      </c>
      <c r="J259" s="82" t="str">
        <f>VLOOKUP(B259,Data!B:K,10,FALSE)</f>
        <v>Lancashire Business Rates Pool</v>
      </c>
      <c r="K259" s="82">
        <f>VLOOKUP(B259,Data!B:L,11,FALSE)</f>
        <v>0</v>
      </c>
    </row>
    <row r="260" spans="1:11" hidden="1" x14ac:dyDescent="0.2">
      <c r="A260" s="82" t="s">
        <v>1123</v>
      </c>
      <c r="B260" s="82" t="s">
        <v>525</v>
      </c>
      <c r="C260" s="82" t="s">
        <v>524</v>
      </c>
      <c r="D260" s="83">
        <v>24.534135986741003</v>
      </c>
      <c r="E260" s="68">
        <v>3.453166137932</v>
      </c>
      <c r="F260" s="68">
        <v>21.080969848809001</v>
      </c>
      <c r="G260" s="68">
        <v>-4.6403788248690008</v>
      </c>
      <c r="H260" s="68">
        <v>19.499897110148325</v>
      </c>
      <c r="I260" s="81">
        <v>0.18004902720255012</v>
      </c>
      <c r="J260" s="82">
        <f>VLOOKUP(B260,Data!B:K,10,FALSE)</f>
        <v>0</v>
      </c>
      <c r="K260" s="82">
        <f>VLOOKUP(B260,Data!B:L,11,FALSE)</f>
        <v>0</v>
      </c>
    </row>
    <row r="261" spans="1:11" hidden="1" x14ac:dyDescent="0.2">
      <c r="A261" s="82" t="s">
        <v>1124</v>
      </c>
      <c r="B261" s="82" t="s">
        <v>527</v>
      </c>
      <c r="C261" s="82" t="s">
        <v>526</v>
      </c>
      <c r="D261" s="83">
        <v>1.6451509274830001</v>
      </c>
      <c r="E261" s="68">
        <v>0.240377605726</v>
      </c>
      <c r="F261" s="68">
        <v>1.404773321757</v>
      </c>
      <c r="G261" s="68">
        <v>-3.7546411469120002</v>
      </c>
      <c r="H261" s="68">
        <v>1.299415322625225</v>
      </c>
      <c r="I261" s="81">
        <v>0.5</v>
      </c>
      <c r="J261" s="82" t="str">
        <f>VLOOKUP(B261,Data!B:K,10,FALSE)</f>
        <v>North Yorkshire Business Rates Pool</v>
      </c>
      <c r="K261" s="82">
        <f>VLOOKUP(B261,Data!B:L,11,FALSE)</f>
        <v>0</v>
      </c>
    </row>
    <row r="262" spans="1:11" x14ac:dyDescent="0.2">
      <c r="A262" s="82" t="s">
        <v>1125</v>
      </c>
      <c r="B262" s="82" t="s">
        <v>529</v>
      </c>
      <c r="C262" s="82" t="s">
        <v>528</v>
      </c>
      <c r="D262" s="83">
        <v>87.112303530190999</v>
      </c>
      <c r="E262" s="68">
        <v>29.812426162859001</v>
      </c>
      <c r="F262" s="68">
        <v>57.299877367331995</v>
      </c>
      <c r="G262" s="68">
        <v>30.134540211778997</v>
      </c>
      <c r="H262" s="68">
        <v>53.0023865647821</v>
      </c>
      <c r="I262" s="81">
        <v>0</v>
      </c>
      <c r="J262" s="82" t="str">
        <f>VLOOKUP(B262,Data!B:K,10,FALSE)</f>
        <v>Greater Manchester &amp; Cheshire Business Rates Pool</v>
      </c>
      <c r="K262" s="82" t="str">
        <f>VLOOKUP(B262,Data!B:L,11,FALSE)</f>
        <v>Pilot</v>
      </c>
    </row>
    <row r="263" spans="1:11" hidden="1" x14ac:dyDescent="0.2">
      <c r="A263" s="82" t="s">
        <v>1126</v>
      </c>
      <c r="B263" s="82" t="s">
        <v>531</v>
      </c>
      <c r="C263" s="82" t="s">
        <v>530</v>
      </c>
      <c r="D263" s="83">
        <v>1.6666165342770001</v>
      </c>
      <c r="E263" s="68">
        <v>4.3737496856000001E-2</v>
      </c>
      <c r="F263" s="68">
        <v>1.622879037421</v>
      </c>
      <c r="G263" s="68">
        <v>-4.7459852713229997</v>
      </c>
      <c r="H263" s="68">
        <v>1.5011631096144251</v>
      </c>
      <c r="I263" s="81">
        <v>0.5</v>
      </c>
      <c r="J263" s="82" t="str">
        <f>VLOOKUP(B263,Data!B:K,10,FALSE)</f>
        <v>Essex Business Rates Pool</v>
      </c>
      <c r="K263" s="82">
        <f>VLOOKUP(B263,Data!B:L,11,FALSE)</f>
        <v>0</v>
      </c>
    </row>
    <row r="264" spans="1:11" hidden="1" x14ac:dyDescent="0.2">
      <c r="A264" s="82" t="s">
        <v>1127</v>
      </c>
      <c r="B264" s="82" t="s">
        <v>533</v>
      </c>
      <c r="C264" s="82" t="s">
        <v>532</v>
      </c>
      <c r="D264" s="83">
        <v>2.5386700241270002</v>
      </c>
      <c r="E264" s="68">
        <v>0.50325132295399999</v>
      </c>
      <c r="F264" s="68">
        <v>2.0354187011730001</v>
      </c>
      <c r="G264" s="68">
        <v>-2.6163104023250003</v>
      </c>
      <c r="H264" s="68">
        <v>1.8827622985850252</v>
      </c>
      <c r="I264" s="81">
        <v>0.5</v>
      </c>
      <c r="J264" s="82" t="str">
        <f>VLOOKUP(B264,Data!B:K,10,FALSE)</f>
        <v>Lancashire Business Rates Pool</v>
      </c>
      <c r="K264" s="82">
        <f>VLOOKUP(B264,Data!B:L,11,FALSE)</f>
        <v>0</v>
      </c>
    </row>
    <row r="265" spans="1:11" hidden="1" x14ac:dyDescent="0.2">
      <c r="A265" s="82" t="s">
        <v>1128</v>
      </c>
      <c r="B265" s="82" t="s">
        <v>535</v>
      </c>
      <c r="C265" s="82" t="s">
        <v>534</v>
      </c>
      <c r="D265" s="83">
        <v>2.6678863916669999</v>
      </c>
      <c r="E265" s="68">
        <v>0.44957198096399997</v>
      </c>
      <c r="F265" s="68">
        <v>2.218314410703</v>
      </c>
      <c r="G265" s="68">
        <v>-4.7831321037790007</v>
      </c>
      <c r="H265" s="68">
        <v>2.0519408299002753</v>
      </c>
      <c r="I265" s="81">
        <v>0.5</v>
      </c>
      <c r="J265" s="82">
        <f>VLOOKUP(B265,Data!B:K,10,FALSE)</f>
        <v>0</v>
      </c>
      <c r="K265" s="82">
        <f>VLOOKUP(B265,Data!B:L,11,FALSE)</f>
        <v>0</v>
      </c>
    </row>
    <row r="266" spans="1:11" hidden="1" x14ac:dyDescent="0.2">
      <c r="A266" s="82" t="s">
        <v>1129</v>
      </c>
      <c r="B266" s="82" t="s">
        <v>537</v>
      </c>
      <c r="C266" s="82" t="s">
        <v>536</v>
      </c>
      <c r="D266" s="83">
        <v>88.897179465988998</v>
      </c>
      <c r="E266" s="68">
        <v>28.943052488393999</v>
      </c>
      <c r="F266" s="68">
        <v>59.954126977595003</v>
      </c>
      <c r="G266" s="68">
        <v>27.69178938556</v>
      </c>
      <c r="H266" s="68">
        <v>55.457567454275377</v>
      </c>
      <c r="I266" s="81">
        <v>0</v>
      </c>
      <c r="J266" s="82">
        <f>VLOOKUP(B266,Data!B:K,10,FALSE)</f>
        <v>0</v>
      </c>
      <c r="K266" s="82">
        <f>VLOOKUP(B266,Data!B:L,11,FALSE)</f>
        <v>0</v>
      </c>
    </row>
    <row r="267" spans="1:11" hidden="1" x14ac:dyDescent="0.2">
      <c r="A267" s="82" t="s">
        <v>1130</v>
      </c>
      <c r="B267" s="82" t="s">
        <v>539</v>
      </c>
      <c r="C267" s="82" t="s">
        <v>538</v>
      </c>
      <c r="D267" s="83">
        <v>2.7656252124550003</v>
      </c>
      <c r="E267" s="68">
        <v>0.51093309429099998</v>
      </c>
      <c r="F267" s="68">
        <v>2.2546921181640003</v>
      </c>
      <c r="G267" s="68">
        <v>-12.47374896645</v>
      </c>
      <c r="H267" s="68">
        <v>2.0855902093017002</v>
      </c>
      <c r="I267" s="81">
        <v>0.5</v>
      </c>
      <c r="J267" s="82" t="str">
        <f>VLOOKUP(B267,Data!B:K,10,FALSE)</f>
        <v>Coventry &amp; Warwickshire Business Rates Pool</v>
      </c>
      <c r="K267" s="82">
        <f>VLOOKUP(B267,Data!B:L,11,FALSE)</f>
        <v>0</v>
      </c>
    </row>
    <row r="268" spans="1:11" hidden="1" x14ac:dyDescent="0.2">
      <c r="A268" s="82" t="s">
        <v>1131</v>
      </c>
      <c r="B268" s="82" t="s">
        <v>541</v>
      </c>
      <c r="C268" s="82" t="s">
        <v>540</v>
      </c>
      <c r="D268" s="83">
        <v>2.019836434273</v>
      </c>
      <c r="E268" s="68">
        <v>0.28891109002699999</v>
      </c>
      <c r="F268" s="68">
        <v>1.730925344246</v>
      </c>
      <c r="G268" s="68">
        <v>-18.760438986462002</v>
      </c>
      <c r="H268" s="68">
        <v>1.6011059434275501</v>
      </c>
      <c r="I268" s="81">
        <v>0.5</v>
      </c>
      <c r="J268" s="82">
        <f>VLOOKUP(B268,Data!B:K,10,FALSE)</f>
        <v>0</v>
      </c>
      <c r="K268" s="82">
        <f>VLOOKUP(B268,Data!B:L,11,FALSE)</f>
        <v>0</v>
      </c>
    </row>
    <row r="269" spans="1:11" hidden="1" x14ac:dyDescent="0.2">
      <c r="A269" s="82" t="s">
        <v>1132</v>
      </c>
      <c r="B269" s="82" t="s">
        <v>543</v>
      </c>
      <c r="C269" s="82" t="s">
        <v>542</v>
      </c>
      <c r="D269" s="83">
        <v>2.6998338976980003</v>
      </c>
      <c r="E269" s="68">
        <v>0.47319141294100003</v>
      </c>
      <c r="F269" s="68">
        <v>2.2266424847570003</v>
      </c>
      <c r="G269" s="68">
        <v>-7.8466405203120004</v>
      </c>
      <c r="H269" s="68">
        <v>2.059644298400225</v>
      </c>
      <c r="I269" s="81">
        <v>0.5</v>
      </c>
      <c r="J269" s="82" t="str">
        <f>VLOOKUP(B269,Data!B:K,10,FALSE)</f>
        <v>Nottingham Business Rates Pool</v>
      </c>
      <c r="K269" s="82">
        <f>VLOOKUP(B269,Data!B:L,11,FALSE)</f>
        <v>0</v>
      </c>
    </row>
    <row r="270" spans="1:11" hidden="1" x14ac:dyDescent="0.2">
      <c r="A270" s="82" t="s">
        <v>1133</v>
      </c>
      <c r="B270" s="82" t="s">
        <v>545</v>
      </c>
      <c r="C270" s="82" t="s">
        <v>544</v>
      </c>
      <c r="D270" s="83">
        <v>2.7599186202619999</v>
      </c>
      <c r="E270" s="68">
        <v>0.53643910056699995</v>
      </c>
      <c r="F270" s="68">
        <v>2.2234795196949997</v>
      </c>
      <c r="G270" s="68">
        <v>-15.443245629055001</v>
      </c>
      <c r="H270" s="68">
        <v>2.0567185557178749</v>
      </c>
      <c r="I270" s="81">
        <v>0.5</v>
      </c>
      <c r="J270" s="82">
        <f>VLOOKUP(B270,Data!B:K,10,FALSE)</f>
        <v>0</v>
      </c>
      <c r="K270" s="82">
        <f>VLOOKUP(B270,Data!B:L,11,FALSE)</f>
        <v>0</v>
      </c>
    </row>
    <row r="271" spans="1:11" hidden="1" x14ac:dyDescent="0.2">
      <c r="A271" s="82" t="s">
        <v>1134</v>
      </c>
      <c r="B271" s="82" t="s">
        <v>547</v>
      </c>
      <c r="C271" s="82" t="s">
        <v>546</v>
      </c>
      <c r="D271" s="83">
        <v>5.0485867055459996</v>
      </c>
      <c r="E271" s="68">
        <v>0.88871641109800004</v>
      </c>
      <c r="F271" s="68">
        <v>4.1598702944479999</v>
      </c>
      <c r="G271" s="68">
        <v>-1.0099042687820001</v>
      </c>
      <c r="H271" s="68">
        <v>3.8478800223644005</v>
      </c>
      <c r="I271" s="81">
        <v>0.18920061567160273</v>
      </c>
      <c r="J271" s="82">
        <f>VLOOKUP(B271,Data!B:K,10,FALSE)</f>
        <v>0</v>
      </c>
      <c r="K271" s="82">
        <f>VLOOKUP(B271,Data!B:L,11,FALSE)</f>
        <v>0</v>
      </c>
    </row>
    <row r="272" spans="1:11" hidden="1" x14ac:dyDescent="0.2">
      <c r="A272" s="82" t="s">
        <v>1135</v>
      </c>
      <c r="B272" s="82" t="s">
        <v>549</v>
      </c>
      <c r="C272" s="82" t="s">
        <v>548</v>
      </c>
      <c r="D272" s="83">
        <v>1.9087562918080003</v>
      </c>
      <c r="E272" s="68">
        <v>0.37848765499100001</v>
      </c>
      <c r="F272" s="68">
        <v>1.5302686368170002</v>
      </c>
      <c r="G272" s="68">
        <v>-5.376244782383</v>
      </c>
      <c r="H272" s="68">
        <v>1.4154984890557252</v>
      </c>
      <c r="I272" s="81">
        <v>0.5</v>
      </c>
      <c r="J272" s="82" t="str">
        <f>VLOOKUP(B272,Data!B:K,10,FALSE)</f>
        <v>North Yorkshire Business Rates Pool</v>
      </c>
      <c r="K272" s="82">
        <f>VLOOKUP(B272,Data!B:L,11,FALSE)</f>
        <v>0</v>
      </c>
    </row>
    <row r="273" spans="1:11" x14ac:dyDescent="0.2">
      <c r="A273" s="82" t="s">
        <v>1136</v>
      </c>
      <c r="B273" s="82" t="s">
        <v>551</v>
      </c>
      <c r="C273" s="82" t="s">
        <v>550</v>
      </c>
      <c r="D273" s="83">
        <v>103.45734703129799</v>
      </c>
      <c r="E273" s="68">
        <v>35.628171556098998</v>
      </c>
      <c r="F273" s="68">
        <v>67.829175475198994</v>
      </c>
      <c r="G273" s="68">
        <v>31.849026286315002</v>
      </c>
      <c r="H273" s="68">
        <v>62.741987314559083</v>
      </c>
      <c r="I273" s="81">
        <v>0</v>
      </c>
      <c r="J273" s="82" t="str">
        <f>VLOOKUP(B273,Data!B:K,10,FALSE)</f>
        <v>Greater Manchester &amp; Cheshire Business Rates Pool</v>
      </c>
      <c r="K273" s="82" t="str">
        <f>VLOOKUP(B273,Data!B:L,11,FALSE)</f>
        <v>Pilot</v>
      </c>
    </row>
    <row r="274" spans="1:11" x14ac:dyDescent="0.2">
      <c r="A274" s="82" t="s">
        <v>1137</v>
      </c>
      <c r="B274" s="82" t="s">
        <v>553</v>
      </c>
      <c r="C274" s="82" t="s">
        <v>552</v>
      </c>
      <c r="D274" s="83">
        <v>148.30766288173601</v>
      </c>
      <c r="E274" s="68">
        <v>53.276376395303998</v>
      </c>
      <c r="F274" s="68">
        <v>95.031286486431995</v>
      </c>
      <c r="G274" s="68">
        <v>51.651894064446999</v>
      </c>
      <c r="H274" s="68">
        <v>87.9039399999496</v>
      </c>
      <c r="I274" s="81">
        <v>0</v>
      </c>
      <c r="J274" s="82">
        <f>VLOOKUP(B274,Data!B:K,10,FALSE)</f>
        <v>0</v>
      </c>
      <c r="K274" s="82" t="str">
        <f>VLOOKUP(B274,Data!B:L,11,FALSE)</f>
        <v>Pilot</v>
      </c>
    </row>
    <row r="275" spans="1:11" hidden="1" x14ac:dyDescent="0.2">
      <c r="A275" s="82" t="s">
        <v>1138</v>
      </c>
      <c r="B275" s="82" t="s">
        <v>555</v>
      </c>
      <c r="C275" s="82" t="s">
        <v>554</v>
      </c>
      <c r="D275" s="83">
        <v>5.2332150720559998</v>
      </c>
      <c r="E275" s="68">
        <v>1.2305938781969998</v>
      </c>
      <c r="F275" s="68">
        <v>4.0026211938590004</v>
      </c>
      <c r="G275" s="68">
        <v>-9.8761730696099992</v>
      </c>
      <c r="H275" s="68">
        <v>3.7024246043195754</v>
      </c>
      <c r="I275" s="81">
        <v>0.5</v>
      </c>
      <c r="J275" s="82" t="str">
        <f>VLOOKUP(B275,Data!B:K,10,FALSE)</f>
        <v>North Yorkshire Business Rates Pool</v>
      </c>
      <c r="K275" s="82">
        <f>VLOOKUP(B275,Data!B:L,11,FALSE)</f>
        <v>0</v>
      </c>
    </row>
    <row r="276" spans="1:11" hidden="1" x14ac:dyDescent="0.2">
      <c r="A276" s="82" t="s">
        <v>1139</v>
      </c>
      <c r="B276" s="82" t="s">
        <v>557</v>
      </c>
      <c r="C276" s="82" t="s">
        <v>556</v>
      </c>
      <c r="D276" s="83">
        <v>4.2308867971739996</v>
      </c>
      <c r="E276" s="68">
        <v>0.91298198046199996</v>
      </c>
      <c r="F276" s="68">
        <v>3.3179048167119998</v>
      </c>
      <c r="G276" s="68">
        <v>-10.219662898588</v>
      </c>
      <c r="H276" s="68">
        <v>3.0690619554586003</v>
      </c>
      <c r="I276" s="81">
        <v>0.5</v>
      </c>
      <c r="J276" s="82" t="str">
        <f>VLOOKUP(B276,Data!B:K,10,FALSE)</f>
        <v>Somerset Business Rates Pool</v>
      </c>
      <c r="K276" s="82">
        <f>VLOOKUP(B276,Data!B:L,11,FALSE)</f>
        <v>0</v>
      </c>
    </row>
    <row r="277" spans="1:11" x14ac:dyDescent="0.2">
      <c r="A277" s="82" t="s">
        <v>1140</v>
      </c>
      <c r="B277" s="82" t="s">
        <v>559</v>
      </c>
      <c r="C277" s="82" t="s">
        <v>558</v>
      </c>
      <c r="D277" s="83">
        <v>87.703965809305004</v>
      </c>
      <c r="E277" s="68">
        <v>27.058953943340999</v>
      </c>
      <c r="F277" s="68">
        <v>60.645011865964001</v>
      </c>
      <c r="G277" s="68">
        <v>27.410102843331003</v>
      </c>
      <c r="H277" s="68">
        <v>56.096635976016707</v>
      </c>
      <c r="I277" s="81">
        <v>0</v>
      </c>
      <c r="J277" s="82">
        <f>VLOOKUP(B277,Data!B:K,10,FALSE)</f>
        <v>0</v>
      </c>
      <c r="K277" s="82" t="str">
        <f>VLOOKUP(B277,Data!B:L,11,FALSE)</f>
        <v>Pilot</v>
      </c>
    </row>
    <row r="278" spans="1:11" hidden="1" x14ac:dyDescent="0.2">
      <c r="A278" s="82" t="s">
        <v>1141</v>
      </c>
      <c r="B278" s="82" t="s">
        <v>561</v>
      </c>
      <c r="C278" s="82" t="s">
        <v>560</v>
      </c>
      <c r="D278" s="83">
        <v>2.8888060627620002</v>
      </c>
      <c r="E278" s="68">
        <v>0.59267203864399998</v>
      </c>
      <c r="F278" s="68">
        <v>2.2961340241180004</v>
      </c>
      <c r="G278" s="68">
        <v>-13.038249387844001</v>
      </c>
      <c r="H278" s="68">
        <v>2.1239239723091501</v>
      </c>
      <c r="I278" s="81">
        <v>0.5</v>
      </c>
      <c r="J278" s="82">
        <f>VLOOKUP(B278,Data!B:K,10,FALSE)</f>
        <v>0</v>
      </c>
      <c r="K278" s="82">
        <f>VLOOKUP(B278,Data!B:L,11,FALSE)</f>
        <v>0</v>
      </c>
    </row>
    <row r="279" spans="1:11" hidden="1" x14ac:dyDescent="0.2">
      <c r="A279" s="82" t="s">
        <v>1142</v>
      </c>
      <c r="B279" s="82" t="s">
        <v>563</v>
      </c>
      <c r="C279" s="82" t="s">
        <v>562</v>
      </c>
      <c r="D279" s="83">
        <v>2.1518602799309998</v>
      </c>
      <c r="E279" s="68" t="s">
        <v>61</v>
      </c>
      <c r="F279" s="68">
        <v>2.1518602799309998</v>
      </c>
      <c r="G279" s="68">
        <v>-11.803048882308001</v>
      </c>
      <c r="H279" s="68">
        <v>1.9904707589361752</v>
      </c>
      <c r="I279" s="81">
        <v>0.5</v>
      </c>
      <c r="J279" s="82">
        <f>VLOOKUP(B279,Data!B:K,10,FALSE)</f>
        <v>0</v>
      </c>
      <c r="K279" s="82">
        <f>VLOOKUP(B279,Data!B:L,11,FALSE)</f>
        <v>0</v>
      </c>
    </row>
    <row r="280" spans="1:11" hidden="1" x14ac:dyDescent="0.2">
      <c r="A280" s="82" t="s">
        <v>1143</v>
      </c>
      <c r="B280" s="82" t="s">
        <v>565</v>
      </c>
      <c r="C280" s="82" t="s">
        <v>564</v>
      </c>
      <c r="D280" s="83">
        <v>202.98880024472101</v>
      </c>
      <c r="E280" s="68">
        <v>67.789514822159006</v>
      </c>
      <c r="F280" s="68">
        <v>135.19928542256201</v>
      </c>
      <c r="G280" s="68">
        <v>39.583398576020002</v>
      </c>
      <c r="H280" s="68">
        <v>125.05933901586985</v>
      </c>
      <c r="I280" s="81">
        <v>0</v>
      </c>
      <c r="J280" s="82">
        <f>VLOOKUP(B280,Data!B:K,10,FALSE)</f>
        <v>0</v>
      </c>
      <c r="K280" s="82">
        <f>VLOOKUP(B280,Data!B:L,11,FALSE)</f>
        <v>0</v>
      </c>
    </row>
    <row r="281" spans="1:11" hidden="1" x14ac:dyDescent="0.2">
      <c r="A281" s="82" t="s">
        <v>1144</v>
      </c>
      <c r="B281" s="82" t="s">
        <v>567</v>
      </c>
      <c r="C281" s="82" t="s">
        <v>566</v>
      </c>
      <c r="D281" s="83">
        <v>4.3338500236319994</v>
      </c>
      <c r="E281" s="68">
        <v>0.84814268619299993</v>
      </c>
      <c r="F281" s="68">
        <v>3.485707337439</v>
      </c>
      <c r="G281" s="68">
        <v>-6.0893217987789994</v>
      </c>
      <c r="H281" s="68">
        <v>3.2242792871310755</v>
      </c>
      <c r="I281" s="81">
        <v>0.5</v>
      </c>
      <c r="J281" s="82" t="str">
        <f>VLOOKUP(B281,Data!B:K,10,FALSE)</f>
        <v>Kent Business Rates Pool</v>
      </c>
      <c r="K281" s="82">
        <f>VLOOKUP(B281,Data!B:L,11,FALSE)</f>
        <v>0</v>
      </c>
    </row>
    <row r="282" spans="1:11" hidden="1" x14ac:dyDescent="0.2">
      <c r="A282" s="82" t="s">
        <v>1145</v>
      </c>
      <c r="B282" s="82" t="s">
        <v>569</v>
      </c>
      <c r="C282" s="82" t="s">
        <v>1146</v>
      </c>
      <c r="D282" s="83">
        <v>68.149285748735991</v>
      </c>
      <c r="E282" s="68">
        <v>20.447510690891001</v>
      </c>
      <c r="F282" s="68">
        <v>47.701775057844998</v>
      </c>
      <c r="G282" s="68">
        <v>9.4814292567620004</v>
      </c>
      <c r="H282" s="68">
        <v>44.124141928506617</v>
      </c>
      <c r="I282" s="81">
        <v>0</v>
      </c>
      <c r="J282" s="82">
        <f>VLOOKUP(B282,Data!B:K,10,FALSE)</f>
        <v>0</v>
      </c>
      <c r="K282" s="82">
        <f>VLOOKUP(B282,Data!B:L,11,FALSE)</f>
        <v>0</v>
      </c>
    </row>
    <row r="283" spans="1:11" hidden="1" x14ac:dyDescent="0.2">
      <c r="A283" s="82" t="s">
        <v>1147</v>
      </c>
      <c r="B283" s="82" t="s">
        <v>570</v>
      </c>
      <c r="C283" s="82" t="s">
        <v>1148</v>
      </c>
      <c r="D283" s="83">
        <v>5.6896947596959997</v>
      </c>
      <c r="E283" s="68">
        <v>2.0275686016879999</v>
      </c>
      <c r="F283" s="68">
        <v>3.6621261580079998</v>
      </c>
      <c r="G283" s="68">
        <v>2.2300538968250003</v>
      </c>
      <c r="H283" s="68">
        <v>3.3874666961574</v>
      </c>
      <c r="I283" s="81">
        <v>0</v>
      </c>
      <c r="J283" s="82">
        <f>VLOOKUP(B283,Data!B:K,10,FALSE)</f>
        <v>0</v>
      </c>
      <c r="K283" s="82">
        <f>VLOOKUP(B283,Data!B:L,11,FALSE)</f>
        <v>0</v>
      </c>
    </row>
    <row r="284" spans="1:11" hidden="1" x14ac:dyDescent="0.2">
      <c r="A284" s="82" t="s">
        <v>1149</v>
      </c>
      <c r="B284" s="82" t="s">
        <v>572</v>
      </c>
      <c r="C284" s="82" t="s">
        <v>571</v>
      </c>
      <c r="D284" s="83">
        <v>41.459562989125999</v>
      </c>
      <c r="E284" s="68">
        <v>13.180691462145999</v>
      </c>
      <c r="F284" s="68">
        <v>28.278871526980002</v>
      </c>
      <c r="G284" s="68">
        <v>-18.779028073717999</v>
      </c>
      <c r="H284" s="68">
        <v>26.1579561624565</v>
      </c>
      <c r="I284" s="81">
        <v>0.39407661557760099</v>
      </c>
      <c r="J284" s="82">
        <f>VLOOKUP(B284,Data!B:K,10,FALSE)</f>
        <v>0</v>
      </c>
      <c r="K284" s="82">
        <f>VLOOKUP(B284,Data!B:L,11,FALSE)</f>
        <v>0</v>
      </c>
    </row>
    <row r="285" spans="1:11" x14ac:dyDescent="0.2">
      <c r="A285" s="82" t="s">
        <v>1150</v>
      </c>
      <c r="B285" s="82" t="s">
        <v>574</v>
      </c>
      <c r="C285" s="82" t="s">
        <v>573</v>
      </c>
      <c r="D285" s="83">
        <v>40.087171208346</v>
      </c>
      <c r="E285" s="68">
        <v>11.871963487363999</v>
      </c>
      <c r="F285" s="68">
        <v>28.215207720982001</v>
      </c>
      <c r="G285" s="68">
        <v>-19.180128944704997</v>
      </c>
      <c r="H285" s="68">
        <v>26.09906714190835</v>
      </c>
      <c r="I285" s="81">
        <v>0</v>
      </c>
      <c r="J285" s="82" t="str">
        <f>VLOOKUP(B285,Data!B:K,10,FALSE)</f>
        <v>Greater Birmingham &amp; Solihull Business Rates Pool</v>
      </c>
      <c r="K285" s="82" t="str">
        <f>VLOOKUP(B285,Data!B:L,11,FALSE)</f>
        <v>Pilot</v>
      </c>
    </row>
    <row r="286" spans="1:11" hidden="1" x14ac:dyDescent="0.2">
      <c r="A286" s="82" t="s">
        <v>1151</v>
      </c>
      <c r="B286" s="82" t="s">
        <v>432</v>
      </c>
      <c r="C286" s="82" t="s">
        <v>810</v>
      </c>
      <c r="D286" s="83">
        <v>90.109138667741007</v>
      </c>
      <c r="E286" s="68">
        <v>26.323830134257001</v>
      </c>
      <c r="F286" s="68">
        <v>63.785308533483999</v>
      </c>
      <c r="G286" s="68">
        <v>49.260290436213005</v>
      </c>
      <c r="H286" s="68">
        <v>59.001410393472703</v>
      </c>
      <c r="I286" s="81">
        <v>0</v>
      </c>
      <c r="J286" s="82" t="str">
        <f>VLOOKUP(B286,Data!B:K,10,FALSE)</f>
        <v>Somerset Business Rates Pool</v>
      </c>
      <c r="K286" s="82">
        <f>VLOOKUP(B286,Data!B:L,11,FALSE)</f>
        <v>0</v>
      </c>
    </row>
    <row r="287" spans="1:11" hidden="1" x14ac:dyDescent="0.2">
      <c r="A287" s="82" t="s">
        <v>1152</v>
      </c>
      <c r="B287" s="82" t="s">
        <v>576</v>
      </c>
      <c r="C287" s="82" t="s">
        <v>575</v>
      </c>
      <c r="D287" s="83">
        <v>1.089874377673</v>
      </c>
      <c r="E287" s="68">
        <v>5.7310629767E-2</v>
      </c>
      <c r="F287" s="68">
        <v>1.0325637479059999</v>
      </c>
      <c r="G287" s="68">
        <v>-10.679575654013</v>
      </c>
      <c r="H287" s="68">
        <v>0.9551214668130501</v>
      </c>
      <c r="I287" s="81">
        <v>0.5</v>
      </c>
      <c r="J287" s="82" t="str">
        <f>VLOOKUP(B287,Data!B:K,10,FALSE)</f>
        <v>Buckinghamshire Business Rates Pool</v>
      </c>
      <c r="K287" s="82">
        <f>VLOOKUP(B287,Data!B:L,11,FALSE)</f>
        <v>0</v>
      </c>
    </row>
    <row r="288" spans="1:11" hidden="1" x14ac:dyDescent="0.2">
      <c r="A288" s="82" t="s">
        <v>1153</v>
      </c>
      <c r="B288" s="82" t="s">
        <v>578</v>
      </c>
      <c r="C288" s="82" t="s">
        <v>577</v>
      </c>
      <c r="D288" s="83">
        <v>2.7018408553070001</v>
      </c>
      <c r="E288" s="68">
        <v>0.22974470061800001</v>
      </c>
      <c r="F288" s="68">
        <v>2.4720961546889999</v>
      </c>
      <c r="G288" s="68">
        <v>-24.740003855453001</v>
      </c>
      <c r="H288" s="68">
        <v>2.286688943087325</v>
      </c>
      <c r="I288" s="81">
        <v>0.5</v>
      </c>
      <c r="J288" s="82">
        <f>VLOOKUP(B288,Data!B:K,10,FALSE)</f>
        <v>0</v>
      </c>
      <c r="K288" s="82">
        <f>VLOOKUP(B288,Data!B:L,11,FALSE)</f>
        <v>0</v>
      </c>
    </row>
    <row r="289" spans="1:11" hidden="1" x14ac:dyDescent="0.2">
      <c r="A289" s="82" t="s">
        <v>1154</v>
      </c>
      <c r="B289" s="82" t="s">
        <v>580</v>
      </c>
      <c r="C289" s="82" t="s">
        <v>579</v>
      </c>
      <c r="D289" s="83">
        <v>3.0251376838919999</v>
      </c>
      <c r="E289" s="68">
        <v>0.66823892989699996</v>
      </c>
      <c r="F289" s="68">
        <v>2.3568987539949999</v>
      </c>
      <c r="G289" s="68">
        <v>-6.1936771482650004</v>
      </c>
      <c r="H289" s="68">
        <v>2.180131347445375</v>
      </c>
      <c r="I289" s="81">
        <v>0.5</v>
      </c>
      <c r="J289" s="82" t="str">
        <f>VLOOKUP(B289,Data!B:K,10,FALSE)</f>
        <v>Derbyshire Business Rates Pool</v>
      </c>
      <c r="K289" s="82">
        <f>VLOOKUP(B289,Data!B:L,11,FALSE)</f>
        <v>0</v>
      </c>
    </row>
    <row r="290" spans="1:11" x14ac:dyDescent="0.2">
      <c r="A290" s="82" t="s">
        <v>1155</v>
      </c>
      <c r="B290" s="82" t="s">
        <v>582</v>
      </c>
      <c r="C290" s="82" t="s">
        <v>581</v>
      </c>
      <c r="D290" s="83">
        <v>51.030291096470002</v>
      </c>
      <c r="E290" s="68">
        <v>15.855172418555</v>
      </c>
      <c r="F290" s="68">
        <v>35.175118677915002</v>
      </c>
      <c r="G290" s="68">
        <v>-25.067485623768</v>
      </c>
      <c r="H290" s="68">
        <v>32.536984777071375</v>
      </c>
      <c r="I290" s="81">
        <v>0</v>
      </c>
      <c r="J290" s="82">
        <f>VLOOKUP(B290,Data!B:K,10,FALSE)</f>
        <v>0</v>
      </c>
      <c r="K290" s="82" t="str">
        <f>VLOOKUP(B290,Data!B:L,11,FALSE)</f>
        <v>Pilot</v>
      </c>
    </row>
    <row r="291" spans="1:11" hidden="1" x14ac:dyDescent="0.2">
      <c r="A291" s="82" t="s">
        <v>1156</v>
      </c>
      <c r="B291" s="82" t="s">
        <v>584</v>
      </c>
      <c r="C291" s="82" t="s">
        <v>583</v>
      </c>
      <c r="D291" s="83">
        <v>2.0462227031419999</v>
      </c>
      <c r="E291" s="68">
        <v>0.24539335705099999</v>
      </c>
      <c r="F291" s="68">
        <v>1.8008293460909999</v>
      </c>
      <c r="G291" s="68">
        <v>-11.362916741036999</v>
      </c>
      <c r="H291" s="68">
        <v>1.6657671451341749</v>
      </c>
      <c r="I291" s="81">
        <v>0.5</v>
      </c>
      <c r="J291" s="82">
        <f>VLOOKUP(B291,Data!B:K,10,FALSE)</f>
        <v>0</v>
      </c>
      <c r="K291" s="82">
        <f>VLOOKUP(B291,Data!B:L,11,FALSE)</f>
        <v>0</v>
      </c>
    </row>
    <row r="292" spans="1:11" hidden="1" x14ac:dyDescent="0.2">
      <c r="A292" s="82" t="s">
        <v>1157</v>
      </c>
      <c r="B292" s="82" t="s">
        <v>586</v>
      </c>
      <c r="C292" s="82" t="s">
        <v>585</v>
      </c>
      <c r="D292" s="83">
        <v>4.1961079455519998</v>
      </c>
      <c r="E292" s="68">
        <v>1.07163126276</v>
      </c>
      <c r="F292" s="68">
        <v>3.1244766827919999</v>
      </c>
      <c r="G292" s="68">
        <v>-5.1726422252519999</v>
      </c>
      <c r="H292" s="68">
        <v>2.8901409315826005</v>
      </c>
      <c r="I292" s="81">
        <v>0.5</v>
      </c>
      <c r="J292" s="82">
        <f>VLOOKUP(B292,Data!B:K,10,FALSE)</f>
        <v>0</v>
      </c>
      <c r="K292" s="82">
        <f>VLOOKUP(B292,Data!B:L,11,FALSE)</f>
        <v>0</v>
      </c>
    </row>
    <row r="293" spans="1:11" hidden="1" x14ac:dyDescent="0.2">
      <c r="A293" s="82" t="s">
        <v>1158</v>
      </c>
      <c r="B293" s="82" t="s">
        <v>588</v>
      </c>
      <c r="C293" s="82" t="s">
        <v>587</v>
      </c>
      <c r="D293" s="83">
        <v>4.3831928513439999</v>
      </c>
      <c r="E293" s="68">
        <v>0.95659141824999994</v>
      </c>
      <c r="F293" s="68">
        <v>3.426601433094</v>
      </c>
      <c r="G293" s="68">
        <v>-12.432120688178999</v>
      </c>
      <c r="H293" s="68">
        <v>3.1696063256119502</v>
      </c>
      <c r="I293" s="81">
        <v>0.5</v>
      </c>
      <c r="J293" s="82" t="str">
        <f>VLOOKUP(B293,Data!B:K,10,FALSE)</f>
        <v>Lincolnshire Business Rates Pool</v>
      </c>
      <c r="K293" s="82">
        <f>VLOOKUP(B293,Data!B:L,11,FALSE)</f>
        <v>0</v>
      </c>
    </row>
    <row r="294" spans="1:11" hidden="1" x14ac:dyDescent="0.2">
      <c r="A294" s="82" t="s">
        <v>1159</v>
      </c>
      <c r="B294" s="82" t="s">
        <v>590</v>
      </c>
      <c r="C294" s="82" t="s">
        <v>589</v>
      </c>
      <c r="D294" s="83">
        <v>2.3498215472089998</v>
      </c>
      <c r="E294" s="68">
        <v>0.24941777046999999</v>
      </c>
      <c r="F294" s="68">
        <v>2.1004037767389998</v>
      </c>
      <c r="G294" s="68">
        <v>-14.207782267327</v>
      </c>
      <c r="H294" s="68">
        <v>1.942873493483575</v>
      </c>
      <c r="I294" s="81">
        <v>0.5</v>
      </c>
      <c r="J294" s="82" t="str">
        <f>VLOOKUP(B294,Data!B:K,10,FALSE)</f>
        <v>Cumbria Business Rates Pool</v>
      </c>
      <c r="K294" s="82">
        <f>VLOOKUP(B294,Data!B:L,11,FALSE)</f>
        <v>0</v>
      </c>
    </row>
    <row r="295" spans="1:11" hidden="1" x14ac:dyDescent="0.2">
      <c r="A295" s="82" t="s">
        <v>1160</v>
      </c>
      <c r="B295" s="82" t="s">
        <v>592</v>
      </c>
      <c r="C295" s="82" t="s">
        <v>591</v>
      </c>
      <c r="D295" s="83">
        <v>3.7469710210610003</v>
      </c>
      <c r="E295" s="68">
        <v>0.83195595377200005</v>
      </c>
      <c r="F295" s="68">
        <v>2.9150150672890001</v>
      </c>
      <c r="G295" s="68">
        <v>-7.6649094176609998</v>
      </c>
      <c r="H295" s="68">
        <v>2.6963889372423249</v>
      </c>
      <c r="I295" s="81">
        <v>0.5</v>
      </c>
      <c r="J295" s="82" t="str">
        <f>VLOOKUP(B295,Data!B:K,10,FALSE)</f>
        <v>Norfolk Business Rates Pool</v>
      </c>
      <c r="K295" s="82">
        <f>VLOOKUP(B295,Data!B:L,11,FALSE)</f>
        <v>0</v>
      </c>
    </row>
    <row r="296" spans="1:11" hidden="1" x14ac:dyDescent="0.2">
      <c r="A296" s="82" t="s">
        <v>1161</v>
      </c>
      <c r="B296" s="82" t="s">
        <v>594</v>
      </c>
      <c r="C296" s="82" t="s">
        <v>593</v>
      </c>
      <c r="D296" s="83">
        <v>2.0482134993629999</v>
      </c>
      <c r="E296" s="68">
        <v>0.28711387013700002</v>
      </c>
      <c r="F296" s="68">
        <v>1.7610996292259999</v>
      </c>
      <c r="G296" s="68">
        <v>-6.0994937467580002</v>
      </c>
      <c r="H296" s="68">
        <v>1.6290171570340501</v>
      </c>
      <c r="I296" s="81">
        <v>0.5</v>
      </c>
      <c r="J296" s="82" t="str">
        <f>VLOOKUP(B296,Data!B:K,10,FALSE)</f>
        <v>Northamptonshire Business Rates Pool</v>
      </c>
      <c r="K296" s="82">
        <f>VLOOKUP(B296,Data!B:L,11,FALSE)</f>
        <v>0</v>
      </c>
    </row>
    <row r="297" spans="1:11" hidden="1" x14ac:dyDescent="0.2">
      <c r="A297" s="82" t="s">
        <v>1162</v>
      </c>
      <c r="B297" s="82" t="s">
        <v>596</v>
      </c>
      <c r="C297" s="82" t="s">
        <v>595</v>
      </c>
      <c r="D297" s="83">
        <v>3.0050101902609998</v>
      </c>
      <c r="E297" s="68">
        <v>0.57238588277200009</v>
      </c>
      <c r="F297" s="68">
        <v>2.4326243074889997</v>
      </c>
      <c r="G297" s="68">
        <v>-15.272457225802</v>
      </c>
      <c r="H297" s="68">
        <v>2.2501774844273248</v>
      </c>
      <c r="I297" s="81">
        <v>0.5</v>
      </c>
      <c r="J297" s="82">
        <f>VLOOKUP(B297,Data!B:K,10,FALSE)</f>
        <v>0</v>
      </c>
      <c r="K297" s="82">
        <f>VLOOKUP(B297,Data!B:L,11,FALSE)</f>
        <v>0</v>
      </c>
    </row>
    <row r="298" spans="1:11" hidden="1" x14ac:dyDescent="0.2">
      <c r="A298" s="82" t="s">
        <v>1163</v>
      </c>
      <c r="B298" s="82" t="s">
        <v>598</v>
      </c>
      <c r="C298" s="82" t="s">
        <v>597</v>
      </c>
      <c r="D298" s="83">
        <v>2.5368565566800001</v>
      </c>
      <c r="E298" s="68">
        <v>0.34558434152100004</v>
      </c>
      <c r="F298" s="68">
        <v>2.1912722151590001</v>
      </c>
      <c r="G298" s="68">
        <v>-9.7495562218109999</v>
      </c>
      <c r="H298" s="68">
        <v>2.0269267990220752</v>
      </c>
      <c r="I298" s="81">
        <v>0.5</v>
      </c>
      <c r="J298" s="82" t="str">
        <f>VLOOKUP(B298,Data!B:K,10,FALSE)</f>
        <v>Lancashire Business Rates Pool</v>
      </c>
      <c r="K298" s="82">
        <f>VLOOKUP(B298,Data!B:L,11,FALSE)</f>
        <v>0</v>
      </c>
    </row>
    <row r="299" spans="1:11" hidden="1" x14ac:dyDescent="0.2">
      <c r="A299" s="82" t="s">
        <v>1164</v>
      </c>
      <c r="B299" s="82" t="s">
        <v>600</v>
      </c>
      <c r="C299" s="82" t="s">
        <v>599</v>
      </c>
      <c r="D299" s="83">
        <v>4.2273238216709998</v>
      </c>
      <c r="E299" s="68">
        <v>0.80261993886500005</v>
      </c>
      <c r="F299" s="68">
        <v>3.4247038828059999</v>
      </c>
      <c r="G299" s="68">
        <v>-13.138794650001001</v>
      </c>
      <c r="H299" s="68">
        <v>3.16785109159555</v>
      </c>
      <c r="I299" s="81">
        <v>0.5</v>
      </c>
      <c r="J299" s="82">
        <f>VLOOKUP(B299,Data!B:K,10,FALSE)</f>
        <v>0</v>
      </c>
      <c r="K299" s="82">
        <f>VLOOKUP(B299,Data!B:L,11,FALSE)</f>
        <v>0</v>
      </c>
    </row>
    <row r="300" spans="1:11" hidden="1" x14ac:dyDescent="0.2">
      <c r="A300" s="82" t="s">
        <v>1165</v>
      </c>
      <c r="B300" s="82" t="s">
        <v>602</v>
      </c>
      <c r="C300" s="82" t="s">
        <v>601</v>
      </c>
      <c r="D300" s="83">
        <v>2.88575726461</v>
      </c>
      <c r="E300" s="68">
        <v>0.693184959426</v>
      </c>
      <c r="F300" s="68">
        <v>2.192572305184</v>
      </c>
      <c r="G300" s="68">
        <v>-5.4597379703210001</v>
      </c>
      <c r="H300" s="68">
        <v>2.0281293822952002</v>
      </c>
      <c r="I300" s="81">
        <v>0.5</v>
      </c>
      <c r="J300" s="82" t="str">
        <f>VLOOKUP(B300,Data!B:K,10,FALSE)</f>
        <v>Staffordshire &amp; Stoke on Trent Business Rates Pool</v>
      </c>
      <c r="K300" s="82">
        <f>VLOOKUP(B300,Data!B:L,11,FALSE)</f>
        <v>0</v>
      </c>
    </row>
    <row r="301" spans="1:11" hidden="1" x14ac:dyDescent="0.2">
      <c r="A301" s="82" t="s">
        <v>1166</v>
      </c>
      <c r="B301" s="82" t="s">
        <v>604</v>
      </c>
      <c r="C301" s="82" t="s">
        <v>603</v>
      </c>
      <c r="D301" s="83">
        <v>70.866874674388001</v>
      </c>
      <c r="E301" s="68">
        <v>24.677199860011001</v>
      </c>
      <c r="F301" s="68">
        <v>46.189674814377</v>
      </c>
      <c r="G301" s="68">
        <v>32.623798355546</v>
      </c>
      <c r="H301" s="68">
        <v>42.72544920329873</v>
      </c>
      <c r="I301" s="81">
        <v>0</v>
      </c>
      <c r="J301" s="82">
        <f>VLOOKUP(B301,Data!B:K,10,FALSE)</f>
        <v>0</v>
      </c>
      <c r="K301" s="82">
        <f>VLOOKUP(B301,Data!B:L,11,FALSE)</f>
        <v>0</v>
      </c>
    </row>
    <row r="302" spans="1:11" hidden="1" x14ac:dyDescent="0.2">
      <c r="A302" s="82" t="s">
        <v>1167</v>
      </c>
      <c r="B302" s="82" t="s">
        <v>74</v>
      </c>
      <c r="C302" s="82" t="s">
        <v>784</v>
      </c>
      <c r="D302" s="83">
        <v>25.059369553164998</v>
      </c>
      <c r="E302" s="68">
        <v>10.421526247366</v>
      </c>
      <c r="F302" s="68">
        <v>14.637843305799001</v>
      </c>
      <c r="G302" s="68">
        <v>10.775781577764999</v>
      </c>
      <c r="H302" s="68">
        <v>13.540005057864075</v>
      </c>
      <c r="I302" s="81">
        <v>0</v>
      </c>
      <c r="J302" s="82">
        <f>VLOOKUP(B302,Data!B:K,10,FALSE)</f>
        <v>0</v>
      </c>
      <c r="K302" s="82">
        <f>VLOOKUP(B302,Data!B:L,11,FALSE)</f>
        <v>0</v>
      </c>
    </row>
    <row r="303" spans="1:11" hidden="1" x14ac:dyDescent="0.2">
      <c r="A303" s="82" t="s">
        <v>1168</v>
      </c>
      <c r="B303" s="82" t="s">
        <v>606</v>
      </c>
      <c r="C303" s="82" t="s">
        <v>605</v>
      </c>
      <c r="D303" s="83">
        <v>74.941589523974002</v>
      </c>
      <c r="E303" s="68">
        <v>23.247713747747998</v>
      </c>
      <c r="F303" s="68">
        <v>51.693875776226001</v>
      </c>
      <c r="G303" s="68">
        <v>3.7833787114819999</v>
      </c>
      <c r="H303" s="68">
        <v>47.816835093009054</v>
      </c>
      <c r="I303" s="81">
        <v>0</v>
      </c>
      <c r="J303" s="82">
        <f>VLOOKUP(B303,Data!B:K,10,FALSE)</f>
        <v>0</v>
      </c>
      <c r="K303" s="82">
        <f>VLOOKUP(B303,Data!B:L,11,FALSE)</f>
        <v>0</v>
      </c>
    </row>
    <row r="304" spans="1:11" hidden="1" x14ac:dyDescent="0.2">
      <c r="A304" s="82" t="s">
        <v>1169</v>
      </c>
      <c r="B304" s="82" t="s">
        <v>608</v>
      </c>
      <c r="C304" s="82" t="s">
        <v>607</v>
      </c>
      <c r="D304" s="83">
        <v>47.641788885482001</v>
      </c>
      <c r="E304" s="68">
        <v>14.681364415318999</v>
      </c>
      <c r="F304" s="68">
        <v>32.960424470162998</v>
      </c>
      <c r="G304" s="68">
        <v>11.684605007330001</v>
      </c>
      <c r="H304" s="68">
        <v>30.488392634900777</v>
      </c>
      <c r="I304" s="81">
        <v>0</v>
      </c>
      <c r="J304" s="82">
        <f>VLOOKUP(B304,Data!B:K,10,FALSE)</f>
        <v>0</v>
      </c>
      <c r="K304" s="82">
        <f>VLOOKUP(B304,Data!B:L,11,FALSE)</f>
        <v>0</v>
      </c>
    </row>
    <row r="305" spans="1:11" hidden="1" x14ac:dyDescent="0.2">
      <c r="A305" s="82" t="s">
        <v>1170</v>
      </c>
      <c r="B305" s="82" t="s">
        <v>610</v>
      </c>
      <c r="C305" s="82" t="s">
        <v>609</v>
      </c>
      <c r="D305" s="83">
        <v>165.99618451806501</v>
      </c>
      <c r="E305" s="68">
        <v>57.789763769631001</v>
      </c>
      <c r="F305" s="68">
        <v>108.20642074843401</v>
      </c>
      <c r="G305" s="68">
        <v>33.899735704878005</v>
      </c>
      <c r="H305" s="68">
        <v>100.09093919230146</v>
      </c>
      <c r="I305" s="81">
        <v>0</v>
      </c>
      <c r="J305" s="82">
        <f>VLOOKUP(B305,Data!B:K,10,FALSE)</f>
        <v>0</v>
      </c>
      <c r="K305" s="82">
        <f>VLOOKUP(B305,Data!B:L,11,FALSE)</f>
        <v>0</v>
      </c>
    </row>
    <row r="306" spans="1:11" hidden="1" x14ac:dyDescent="0.2">
      <c r="A306" s="82" t="s">
        <v>1171</v>
      </c>
      <c r="B306" s="82" t="s">
        <v>612</v>
      </c>
      <c r="C306" s="82" t="s">
        <v>611</v>
      </c>
      <c r="D306" s="83">
        <v>1.8013089560140001</v>
      </c>
      <c r="E306" s="68" t="s">
        <v>61</v>
      </c>
      <c r="F306" s="68">
        <v>1.8013089560140001</v>
      </c>
      <c r="G306" s="68">
        <v>-15.001129721158</v>
      </c>
      <c r="H306" s="68">
        <v>1.6662107843129501</v>
      </c>
      <c r="I306" s="81">
        <v>0.5</v>
      </c>
      <c r="J306" s="82" t="str">
        <f>VLOOKUP(B306,Data!B:K,10,FALSE)</f>
        <v>Surrey-Croydon Business Rates Pool</v>
      </c>
      <c r="K306" s="82">
        <f>VLOOKUP(B306,Data!B:L,11,FALSE)</f>
        <v>0</v>
      </c>
    </row>
    <row r="307" spans="1:11" hidden="1" x14ac:dyDescent="0.2">
      <c r="A307" s="82" t="s">
        <v>1172</v>
      </c>
      <c r="B307" s="82" t="s">
        <v>614</v>
      </c>
      <c r="C307" s="82" t="s">
        <v>613</v>
      </c>
      <c r="D307" s="83">
        <v>2.5132283610060004</v>
      </c>
      <c r="E307" s="68">
        <v>0.155158709295</v>
      </c>
      <c r="F307" s="68">
        <v>2.3580696517110002</v>
      </c>
      <c r="G307" s="68">
        <v>-21.595409780049998</v>
      </c>
      <c r="H307" s="68">
        <v>2.1812144278326753</v>
      </c>
      <c r="I307" s="81">
        <v>0.5</v>
      </c>
      <c r="J307" s="82">
        <f>VLOOKUP(B307,Data!B:K,10,FALSE)</f>
        <v>0</v>
      </c>
      <c r="K307" s="82">
        <f>VLOOKUP(B307,Data!B:L,11,FALSE)</f>
        <v>0</v>
      </c>
    </row>
    <row r="308" spans="1:11" hidden="1" x14ac:dyDescent="0.2">
      <c r="A308" s="82" t="s">
        <v>1173</v>
      </c>
      <c r="B308" s="82" t="s">
        <v>616</v>
      </c>
      <c r="C308" s="82" t="s">
        <v>615</v>
      </c>
      <c r="D308" s="83">
        <v>2.8741049039219999</v>
      </c>
      <c r="E308" s="68">
        <v>0.52109286539099997</v>
      </c>
      <c r="F308" s="68">
        <v>2.3530120385309998</v>
      </c>
      <c r="G308" s="68">
        <v>-14.638619278711001</v>
      </c>
      <c r="H308" s="68">
        <v>2.1765361356411748</v>
      </c>
      <c r="I308" s="81">
        <v>0.5</v>
      </c>
      <c r="J308" s="82" t="str">
        <f>VLOOKUP(B308,Data!B:K,10,FALSE)</f>
        <v>Suffolk Business Rates Pool</v>
      </c>
      <c r="K308" s="82">
        <f>VLOOKUP(B308,Data!B:L,11,FALSE)</f>
        <v>0</v>
      </c>
    </row>
    <row r="309" spans="1:11" x14ac:dyDescent="0.2">
      <c r="A309" s="82" t="s">
        <v>1174</v>
      </c>
      <c r="B309" s="82" t="s">
        <v>618</v>
      </c>
      <c r="C309" s="82" t="s">
        <v>617</v>
      </c>
      <c r="D309" s="83">
        <v>63.808770727500999</v>
      </c>
      <c r="E309" s="68">
        <v>20.644917555776001</v>
      </c>
      <c r="F309" s="68">
        <v>43.163853171724995</v>
      </c>
      <c r="G309" s="68">
        <v>21.346808981362997</v>
      </c>
      <c r="H309" s="68">
        <v>39.926564183845628</v>
      </c>
      <c r="I309" s="81">
        <v>0</v>
      </c>
      <c r="J309" s="82" t="str">
        <f>VLOOKUP(B309,Data!B:K,10,FALSE)</f>
        <v>Mid Merseyside Business Rates Pool</v>
      </c>
      <c r="K309" s="82" t="str">
        <f>VLOOKUP(B309,Data!B:L,11,FALSE)</f>
        <v>Pilot</v>
      </c>
    </row>
    <row r="310" spans="1:11" hidden="1" x14ac:dyDescent="0.2">
      <c r="A310" s="82" t="s">
        <v>1175</v>
      </c>
      <c r="B310" s="82" t="s">
        <v>620</v>
      </c>
      <c r="C310" s="82" t="s">
        <v>619</v>
      </c>
      <c r="D310" s="83">
        <v>3.2558723611150002</v>
      </c>
      <c r="E310" s="68">
        <v>0.61823496321900007</v>
      </c>
      <c r="F310" s="68">
        <v>2.6376373978960004</v>
      </c>
      <c r="G310" s="68">
        <v>-13.472337111159</v>
      </c>
      <c r="H310" s="68">
        <v>2.4398145930538004</v>
      </c>
      <c r="I310" s="81">
        <v>0.5</v>
      </c>
      <c r="J310" s="82" t="str">
        <f>VLOOKUP(B310,Data!B:K,10,FALSE)</f>
        <v>Staffordshire &amp; Stoke on Trent Business Rates Pool</v>
      </c>
      <c r="K310" s="82">
        <f>VLOOKUP(B310,Data!B:L,11,FALSE)</f>
        <v>0</v>
      </c>
    </row>
    <row r="311" spans="1:11" hidden="1" x14ac:dyDescent="0.2">
      <c r="A311" s="82" t="s">
        <v>1176</v>
      </c>
      <c r="B311" s="82" t="s">
        <v>171</v>
      </c>
      <c r="C311" s="82" t="s">
        <v>811</v>
      </c>
      <c r="D311" s="83">
        <v>135.187167401983</v>
      </c>
      <c r="E311" s="68">
        <v>40.687196357704998</v>
      </c>
      <c r="F311" s="68">
        <v>94.499971044277999</v>
      </c>
      <c r="G311" s="68">
        <v>71.679822432674001</v>
      </c>
      <c r="H311" s="68">
        <v>87.412473215957149</v>
      </c>
      <c r="I311" s="81">
        <v>0</v>
      </c>
      <c r="J311" s="82" t="str">
        <f>VLOOKUP(B311,Data!B:K,10,FALSE)</f>
        <v>Staffordshire &amp; Stoke on Trent Business Rates Pool</v>
      </c>
      <c r="K311" s="82">
        <f>VLOOKUP(B311,Data!B:L,11,FALSE)</f>
        <v>0</v>
      </c>
    </row>
    <row r="312" spans="1:11" hidden="1" x14ac:dyDescent="0.2">
      <c r="A312" s="82" t="s">
        <v>1177</v>
      </c>
      <c r="B312" s="82" t="s">
        <v>172</v>
      </c>
      <c r="C312" s="82" t="s">
        <v>1178</v>
      </c>
      <c r="D312" s="83">
        <v>15.202735353999</v>
      </c>
      <c r="E312" s="68">
        <v>6.2200690295959999</v>
      </c>
      <c r="F312" s="68">
        <v>8.9826663244029987</v>
      </c>
      <c r="G312" s="68">
        <v>5.6407949536429998</v>
      </c>
      <c r="H312" s="68">
        <v>8.3089663500727742</v>
      </c>
      <c r="I312" s="81">
        <v>0</v>
      </c>
      <c r="J312" s="82" t="str">
        <f>VLOOKUP(B312,Data!B:K,10,FALSE)</f>
        <v>Staffordshire &amp; Stoke on Trent Business Rates Pool</v>
      </c>
      <c r="K312" s="82">
        <f>VLOOKUP(B312,Data!B:L,11,FALSE)</f>
        <v>0</v>
      </c>
    </row>
    <row r="313" spans="1:11" hidden="1" x14ac:dyDescent="0.2">
      <c r="A313" s="82" t="s">
        <v>1179</v>
      </c>
      <c r="B313" s="82" t="s">
        <v>622</v>
      </c>
      <c r="C313" s="82" t="s">
        <v>621</v>
      </c>
      <c r="D313" s="83">
        <v>3.1404469462070002</v>
      </c>
      <c r="E313" s="68">
        <v>0.69144773554200001</v>
      </c>
      <c r="F313" s="68">
        <v>2.4489992106650003</v>
      </c>
      <c r="G313" s="68">
        <v>-5.1623300200739992</v>
      </c>
      <c r="H313" s="68">
        <v>2.2653242698651255</v>
      </c>
      <c r="I313" s="81">
        <v>0.5</v>
      </c>
      <c r="J313" s="82" t="str">
        <f>VLOOKUP(B313,Data!B:K,10,FALSE)</f>
        <v>Staffordshire &amp; Stoke on Trent Business Rates Pool</v>
      </c>
      <c r="K313" s="82">
        <f>VLOOKUP(B313,Data!B:L,11,FALSE)</f>
        <v>0</v>
      </c>
    </row>
    <row r="314" spans="1:11" hidden="1" x14ac:dyDescent="0.2">
      <c r="A314" s="82" t="s">
        <v>1180</v>
      </c>
      <c r="B314" s="82" t="s">
        <v>624</v>
      </c>
      <c r="C314" s="82" t="s">
        <v>623</v>
      </c>
      <c r="D314" s="83">
        <v>3.0922860970179999</v>
      </c>
      <c r="E314" s="68">
        <v>0.68996853587100004</v>
      </c>
      <c r="F314" s="68">
        <v>2.402317561147</v>
      </c>
      <c r="G314" s="68">
        <v>-14.306739752693</v>
      </c>
      <c r="H314" s="68">
        <v>2.2221437440609755</v>
      </c>
      <c r="I314" s="81">
        <v>0.5</v>
      </c>
      <c r="J314" s="82">
        <f>VLOOKUP(B314,Data!B:K,10,FALSE)</f>
        <v>0</v>
      </c>
      <c r="K314" s="82">
        <f>VLOOKUP(B314,Data!B:L,11,FALSE)</f>
        <v>0</v>
      </c>
    </row>
    <row r="315" spans="1:11" x14ac:dyDescent="0.2">
      <c r="A315" s="82" t="s">
        <v>1181</v>
      </c>
      <c r="B315" s="82" t="s">
        <v>626</v>
      </c>
      <c r="C315" s="82" t="s">
        <v>625</v>
      </c>
      <c r="D315" s="83">
        <v>62.023498967343997</v>
      </c>
      <c r="E315" s="68">
        <v>17.276649131528</v>
      </c>
      <c r="F315" s="68">
        <v>44.746849835816001</v>
      </c>
      <c r="G315" s="68">
        <v>5.3885378104930002</v>
      </c>
      <c r="H315" s="68">
        <v>41.390836098129803</v>
      </c>
      <c r="I315" s="81">
        <v>0</v>
      </c>
      <c r="J315" s="82" t="str">
        <f>VLOOKUP(B315,Data!B:K,10,FALSE)</f>
        <v>Greater Manchester &amp; Cheshire Business Rates Pool</v>
      </c>
      <c r="K315" s="82" t="str">
        <f>VLOOKUP(B315,Data!B:L,11,FALSE)</f>
        <v>Pilot</v>
      </c>
    </row>
    <row r="316" spans="1:11" hidden="1" x14ac:dyDescent="0.2">
      <c r="A316" s="82" t="s">
        <v>1182</v>
      </c>
      <c r="B316" s="82" t="s">
        <v>628</v>
      </c>
      <c r="C316" s="82" t="s">
        <v>627</v>
      </c>
      <c r="D316" s="83">
        <v>51.694547847603999</v>
      </c>
      <c r="E316" s="68">
        <v>14.647904298856</v>
      </c>
      <c r="F316" s="68">
        <v>37.046643548748001</v>
      </c>
      <c r="G316" s="68">
        <v>1.6335816547940001</v>
      </c>
      <c r="H316" s="68">
        <v>34.268145282591902</v>
      </c>
      <c r="I316" s="81">
        <v>0</v>
      </c>
      <c r="J316" s="82">
        <f>VLOOKUP(B316,Data!B:K,10,FALSE)</f>
        <v>0</v>
      </c>
      <c r="K316" s="82">
        <f>VLOOKUP(B316,Data!B:L,11,FALSE)</f>
        <v>0</v>
      </c>
    </row>
    <row r="317" spans="1:11" hidden="1" x14ac:dyDescent="0.2">
      <c r="A317" s="82" t="s">
        <v>1183</v>
      </c>
      <c r="B317" s="82" t="s">
        <v>630</v>
      </c>
      <c r="C317" s="82" t="s">
        <v>629</v>
      </c>
      <c r="D317" s="83">
        <v>105.808529067688</v>
      </c>
      <c r="E317" s="68">
        <v>37.759630042658998</v>
      </c>
      <c r="F317" s="68">
        <v>68.048899025029002</v>
      </c>
      <c r="G317" s="68">
        <v>28.531363577645998</v>
      </c>
      <c r="H317" s="68">
        <v>62.945231598151835</v>
      </c>
      <c r="I317" s="81">
        <v>0</v>
      </c>
      <c r="J317" s="82" t="str">
        <f>VLOOKUP(B317,Data!B:K,10,FALSE)</f>
        <v>Staffordshire &amp; Stoke on Trent Business Rates Pool</v>
      </c>
      <c r="K317" s="82">
        <f>VLOOKUP(B317,Data!B:L,11,FALSE)</f>
        <v>0</v>
      </c>
    </row>
    <row r="318" spans="1:11" hidden="1" x14ac:dyDescent="0.2">
      <c r="A318" s="82" t="s">
        <v>1184</v>
      </c>
      <c r="B318" s="82" t="s">
        <v>632</v>
      </c>
      <c r="C318" s="82" t="s">
        <v>631</v>
      </c>
      <c r="D318" s="83">
        <v>2.7984372370069996</v>
      </c>
      <c r="E318" s="68">
        <v>0.49140015342900001</v>
      </c>
      <c r="F318" s="68">
        <v>2.3070370835779999</v>
      </c>
      <c r="G318" s="68">
        <v>-17.946167124279999</v>
      </c>
      <c r="H318" s="68">
        <v>2.13400930230965</v>
      </c>
      <c r="I318" s="81">
        <v>0.5</v>
      </c>
      <c r="J318" s="82" t="str">
        <f>VLOOKUP(B318,Data!B:K,10,FALSE)</f>
        <v>Coventry &amp; Warwickshire Business Rates Pool</v>
      </c>
      <c r="K318" s="82">
        <f>VLOOKUP(B318,Data!B:L,11,FALSE)</f>
        <v>0</v>
      </c>
    </row>
    <row r="319" spans="1:11" hidden="1" x14ac:dyDescent="0.2">
      <c r="A319" s="82" t="s">
        <v>1185</v>
      </c>
      <c r="B319" s="82" t="s">
        <v>634</v>
      </c>
      <c r="C319" s="82" t="s">
        <v>633</v>
      </c>
      <c r="D319" s="83">
        <v>2.6534160954199995</v>
      </c>
      <c r="E319" s="68">
        <v>0.34660971413799996</v>
      </c>
      <c r="F319" s="68">
        <v>2.3068063812819997</v>
      </c>
      <c r="G319" s="68">
        <v>-7.3947474756330003</v>
      </c>
      <c r="H319" s="68">
        <v>2.1337959026858497</v>
      </c>
      <c r="I319" s="81">
        <v>0.5</v>
      </c>
      <c r="J319" s="82" t="str">
        <f>VLOOKUP(B319,Data!B:K,10,FALSE)</f>
        <v>Gloucestershire Business Rates Pool</v>
      </c>
      <c r="K319" s="82">
        <f>VLOOKUP(B319,Data!B:L,11,FALSE)</f>
        <v>0</v>
      </c>
    </row>
    <row r="320" spans="1:11" hidden="1" x14ac:dyDescent="0.2">
      <c r="A320" s="82" t="s">
        <v>1186</v>
      </c>
      <c r="B320" s="82" t="s">
        <v>64</v>
      </c>
      <c r="C320" s="82" t="s">
        <v>812</v>
      </c>
      <c r="D320" s="83">
        <v>141.103634355738</v>
      </c>
      <c r="E320" s="68">
        <v>45.190955648120003</v>
      </c>
      <c r="F320" s="68">
        <v>95.912678707617999</v>
      </c>
      <c r="G320" s="68">
        <v>72.934026797713997</v>
      </c>
      <c r="H320" s="68">
        <v>88.719227804546648</v>
      </c>
      <c r="I320" s="81">
        <v>0</v>
      </c>
      <c r="J320" s="82" t="str">
        <f>VLOOKUP(B320,Data!B:K,10,FALSE)</f>
        <v>Suffolk Business Rates Pool</v>
      </c>
      <c r="K320" s="82">
        <f>VLOOKUP(B320,Data!B:L,11,FALSE)</f>
        <v>0</v>
      </c>
    </row>
    <row r="321" spans="1:11" hidden="1" x14ac:dyDescent="0.2">
      <c r="A321" s="82" t="s">
        <v>1187</v>
      </c>
      <c r="B321" s="82" t="s">
        <v>636</v>
      </c>
      <c r="C321" s="82" t="s">
        <v>635</v>
      </c>
      <c r="D321" s="83">
        <v>3.2882325029750001</v>
      </c>
      <c r="E321" s="68">
        <v>0.59784957959200002</v>
      </c>
      <c r="F321" s="68">
        <v>2.6903829233829999</v>
      </c>
      <c r="G321" s="68">
        <v>-14.813660406145999</v>
      </c>
      <c r="H321" s="68">
        <v>2.4886042041292749</v>
      </c>
      <c r="I321" s="81">
        <v>0.5</v>
      </c>
      <c r="J321" s="82" t="str">
        <f>VLOOKUP(B321,Data!B:K,10,FALSE)</f>
        <v>Suffolk Business Rates Pool</v>
      </c>
      <c r="K321" s="82">
        <f>VLOOKUP(B321,Data!B:L,11,FALSE)</f>
        <v>0</v>
      </c>
    </row>
    <row r="322" spans="1:11" hidden="1" x14ac:dyDescent="0.2">
      <c r="A322" s="82" t="s">
        <v>1188</v>
      </c>
      <c r="B322" s="82" t="s">
        <v>638</v>
      </c>
      <c r="C322" s="82" t="s">
        <v>637</v>
      </c>
      <c r="D322" s="83">
        <v>124.90238603472001</v>
      </c>
      <c r="E322" s="68">
        <v>44.711689965673997</v>
      </c>
      <c r="F322" s="68">
        <v>80.190696069046012</v>
      </c>
      <c r="G322" s="68">
        <v>40.699064650277002</v>
      </c>
      <c r="H322" s="68">
        <v>74.17639386386756</v>
      </c>
      <c r="I322" s="81">
        <v>0</v>
      </c>
      <c r="J322" s="82">
        <f>VLOOKUP(B322,Data!B:K,10,FALSE)</f>
        <v>0</v>
      </c>
      <c r="K322" s="82">
        <f>VLOOKUP(B322,Data!B:L,11,FALSE)</f>
        <v>0</v>
      </c>
    </row>
    <row r="323" spans="1:11" hidden="1" x14ac:dyDescent="0.2">
      <c r="A323" s="82" t="s">
        <v>1189</v>
      </c>
      <c r="B323" s="82" t="s">
        <v>287</v>
      </c>
      <c r="C323" s="82" t="s">
        <v>813</v>
      </c>
      <c r="D323" s="83">
        <v>135.503948308074</v>
      </c>
      <c r="E323" s="68">
        <v>27.995584043953002</v>
      </c>
      <c r="F323" s="68">
        <v>107.508364264121</v>
      </c>
      <c r="G323" s="68">
        <v>58.551670129440005</v>
      </c>
      <c r="H323" s="68">
        <v>99.44523694431193</v>
      </c>
      <c r="I323" s="81">
        <v>0</v>
      </c>
      <c r="J323" s="82" t="str">
        <f>VLOOKUP(B323,Data!B:K,10,FALSE)</f>
        <v>Surrey-Croydon Business Rates Pool</v>
      </c>
      <c r="K323" s="82">
        <f>VLOOKUP(B323,Data!B:L,11,FALSE)</f>
        <v>0</v>
      </c>
    </row>
    <row r="324" spans="1:11" hidden="1" x14ac:dyDescent="0.2">
      <c r="A324" s="82" t="s">
        <v>1190</v>
      </c>
      <c r="B324" s="82" t="s">
        <v>640</v>
      </c>
      <c r="C324" s="82" t="s">
        <v>639</v>
      </c>
      <c r="D324" s="83">
        <v>1.464663325187</v>
      </c>
      <c r="E324" s="68" t="s">
        <v>61</v>
      </c>
      <c r="F324" s="68">
        <v>1.464663325187</v>
      </c>
      <c r="G324" s="68">
        <v>-11.925168934490001</v>
      </c>
      <c r="H324" s="68">
        <v>1.3548135757979751</v>
      </c>
      <c r="I324" s="81">
        <v>0.5</v>
      </c>
      <c r="J324" s="82" t="str">
        <f>VLOOKUP(B324,Data!B:K,10,FALSE)</f>
        <v>Surrey-Croydon Business Rates Pool</v>
      </c>
      <c r="K324" s="82">
        <f>VLOOKUP(B324,Data!B:L,11,FALSE)</f>
        <v>0</v>
      </c>
    </row>
    <row r="325" spans="1:11" hidden="1" x14ac:dyDescent="0.2">
      <c r="A325" s="82" t="s">
        <v>1191</v>
      </c>
      <c r="B325" s="82" t="s">
        <v>642</v>
      </c>
      <c r="C325" s="82" t="s">
        <v>641</v>
      </c>
      <c r="D325" s="83">
        <v>50.839296312057002</v>
      </c>
      <c r="E325" s="68">
        <v>16.830344827975999</v>
      </c>
      <c r="F325" s="68">
        <v>34.008951484081003</v>
      </c>
      <c r="G325" s="68">
        <v>18.111971068277001</v>
      </c>
      <c r="H325" s="68">
        <v>31.458280122774926</v>
      </c>
      <c r="I325" s="81">
        <v>0</v>
      </c>
      <c r="J325" s="82">
        <f>VLOOKUP(B325,Data!B:K,10,FALSE)</f>
        <v>0</v>
      </c>
      <c r="K325" s="82">
        <f>VLOOKUP(B325,Data!B:L,11,FALSE)</f>
        <v>0</v>
      </c>
    </row>
    <row r="326" spans="1:11" hidden="1" x14ac:dyDescent="0.2">
      <c r="A326" s="82" t="s">
        <v>1192</v>
      </c>
      <c r="B326" s="82" t="s">
        <v>644</v>
      </c>
      <c r="C326" s="82" t="s">
        <v>643</v>
      </c>
      <c r="D326" s="83">
        <v>5.2446906674889995</v>
      </c>
      <c r="E326" s="68">
        <v>1.238108486609</v>
      </c>
      <c r="F326" s="68">
        <v>4.0065821808799997</v>
      </c>
      <c r="G326" s="68">
        <v>-10.872979189644999</v>
      </c>
      <c r="H326" s="68">
        <v>3.7060885173139999</v>
      </c>
      <c r="I326" s="81">
        <v>0.5</v>
      </c>
      <c r="J326" s="82" t="str">
        <f>VLOOKUP(B326,Data!B:K,10,FALSE)</f>
        <v>Kent Business Rates Pool</v>
      </c>
      <c r="K326" s="82">
        <f>VLOOKUP(B326,Data!B:L,11,FALSE)</f>
        <v>0</v>
      </c>
    </row>
    <row r="327" spans="1:11" hidden="1" x14ac:dyDescent="0.2">
      <c r="A327" s="82" t="s">
        <v>1193</v>
      </c>
      <c r="B327" s="82" t="s">
        <v>646</v>
      </c>
      <c r="C327" s="82" t="s">
        <v>645</v>
      </c>
      <c r="D327" s="83">
        <v>43.732472761989996</v>
      </c>
      <c r="E327" s="68">
        <v>13.577378599346998</v>
      </c>
      <c r="F327" s="68">
        <v>30.155094162643</v>
      </c>
      <c r="G327" s="68">
        <v>-15.969472265509999</v>
      </c>
      <c r="H327" s="68">
        <v>27.893462100444776</v>
      </c>
      <c r="I327" s="81">
        <v>0.34870230905869937</v>
      </c>
      <c r="J327" s="82">
        <f>VLOOKUP(B327,Data!B:K,10,FALSE)</f>
        <v>0</v>
      </c>
      <c r="K327" s="82">
        <f>VLOOKUP(B327,Data!B:L,11,FALSE)</f>
        <v>0</v>
      </c>
    </row>
    <row r="328" spans="1:11" x14ac:dyDescent="0.2">
      <c r="A328" s="82" t="s">
        <v>1194</v>
      </c>
      <c r="B328" s="82" t="s">
        <v>648</v>
      </c>
      <c r="C328" s="82" t="s">
        <v>647</v>
      </c>
      <c r="D328" s="83">
        <v>78.023972072855003</v>
      </c>
      <c r="E328" s="68">
        <v>25.448941589797002</v>
      </c>
      <c r="F328" s="68">
        <v>52.575030483058001</v>
      </c>
      <c r="G328" s="68">
        <v>27.975534661715002</v>
      </c>
      <c r="H328" s="68">
        <v>48.631903196828645</v>
      </c>
      <c r="I328" s="81">
        <v>0</v>
      </c>
      <c r="J328" s="82" t="str">
        <f>VLOOKUP(B328,Data!B:K,10,FALSE)</f>
        <v>Greater Manchester &amp; Cheshire Business Rates Pool</v>
      </c>
      <c r="K328" s="82" t="str">
        <f>VLOOKUP(B328,Data!B:L,11,FALSE)</f>
        <v>Pilot</v>
      </c>
    </row>
    <row r="329" spans="1:11" hidden="1" x14ac:dyDescent="0.2">
      <c r="A329" s="82" t="s">
        <v>1195</v>
      </c>
      <c r="B329" s="82" t="s">
        <v>650</v>
      </c>
      <c r="C329" s="82" t="s">
        <v>649</v>
      </c>
      <c r="D329" s="83">
        <v>2.9548517448810001</v>
      </c>
      <c r="E329" s="68">
        <v>0.77099628343399995</v>
      </c>
      <c r="F329" s="68">
        <v>2.183855461447</v>
      </c>
      <c r="G329" s="68">
        <v>-9.7917080107740002</v>
      </c>
      <c r="H329" s="68">
        <v>2.020066301838475</v>
      </c>
      <c r="I329" s="81">
        <v>0.5</v>
      </c>
      <c r="J329" s="82" t="str">
        <f>VLOOKUP(B329,Data!B:K,10,FALSE)</f>
        <v>Greater Birmingham &amp; Solihull Business Rates Pool</v>
      </c>
      <c r="K329" s="82">
        <f>VLOOKUP(B329,Data!B:L,11,FALSE)</f>
        <v>0</v>
      </c>
    </row>
    <row r="330" spans="1:11" hidden="1" x14ac:dyDescent="0.2">
      <c r="A330" s="82" t="s">
        <v>1196</v>
      </c>
      <c r="B330" s="82" t="s">
        <v>652</v>
      </c>
      <c r="C330" s="82" t="s">
        <v>651</v>
      </c>
      <c r="D330" s="83">
        <v>1.3626629727890001</v>
      </c>
      <c r="E330" s="68" t="s">
        <v>61</v>
      </c>
      <c r="F330" s="68">
        <v>1.3626629727890001</v>
      </c>
      <c r="G330" s="68">
        <v>-7.196823495956</v>
      </c>
      <c r="H330" s="68">
        <v>1.2604632498298249</v>
      </c>
      <c r="I330" s="81">
        <v>0.5</v>
      </c>
      <c r="J330" s="82">
        <f>VLOOKUP(B330,Data!B:K,10,FALSE)</f>
        <v>0</v>
      </c>
      <c r="K330" s="82">
        <f>VLOOKUP(B330,Data!B:L,11,FALSE)</f>
        <v>0</v>
      </c>
    </row>
    <row r="331" spans="1:11" hidden="1" x14ac:dyDescent="0.2">
      <c r="A331" s="82" t="s">
        <v>1197</v>
      </c>
      <c r="B331" s="82" t="s">
        <v>654</v>
      </c>
      <c r="C331" s="82" t="s">
        <v>653</v>
      </c>
      <c r="D331" s="83">
        <v>3.1738355491479995</v>
      </c>
      <c r="E331" s="68">
        <v>0.644801269934</v>
      </c>
      <c r="F331" s="68">
        <v>2.5290342792139997</v>
      </c>
      <c r="G331" s="68">
        <v>-12.262201245612999</v>
      </c>
      <c r="H331" s="68">
        <v>2.3393567082729496</v>
      </c>
      <c r="I331" s="81">
        <v>0.5</v>
      </c>
      <c r="J331" s="82">
        <f>VLOOKUP(B331,Data!B:K,10,FALSE)</f>
        <v>0</v>
      </c>
      <c r="K331" s="82">
        <f>VLOOKUP(B331,Data!B:L,11,FALSE)</f>
        <v>0</v>
      </c>
    </row>
    <row r="332" spans="1:11" hidden="1" x14ac:dyDescent="0.2">
      <c r="A332" s="82" t="s">
        <v>1198</v>
      </c>
      <c r="B332" s="82" t="s">
        <v>656</v>
      </c>
      <c r="C332" s="82" t="s">
        <v>655</v>
      </c>
      <c r="D332" s="83">
        <v>4.0163943411699998</v>
      </c>
      <c r="E332" s="68">
        <v>0.84703880688299993</v>
      </c>
      <c r="F332" s="68">
        <v>3.1693555342869999</v>
      </c>
      <c r="G332" s="68">
        <v>-8.4960966151459996</v>
      </c>
      <c r="H332" s="68">
        <v>2.9316538692154754</v>
      </c>
      <c r="I332" s="81">
        <v>0.5</v>
      </c>
      <c r="J332" s="82" t="str">
        <f>VLOOKUP(B332,Data!B:K,10,FALSE)</f>
        <v>Devon Business Rates Pool</v>
      </c>
      <c r="K332" s="82">
        <f>VLOOKUP(B332,Data!B:L,11,FALSE)</f>
        <v>0</v>
      </c>
    </row>
    <row r="333" spans="1:11" hidden="1" x14ac:dyDescent="0.2">
      <c r="A333" s="82" t="s">
        <v>1199</v>
      </c>
      <c r="B333" s="82" t="s">
        <v>658</v>
      </c>
      <c r="C333" s="82" t="s">
        <v>657</v>
      </c>
      <c r="D333" s="83">
        <v>54.634977647713001</v>
      </c>
      <c r="E333" s="68">
        <v>18.456519447721</v>
      </c>
      <c r="F333" s="68">
        <v>36.178458199992001</v>
      </c>
      <c r="G333" s="68">
        <v>4.3644533160860002</v>
      </c>
      <c r="H333" s="68">
        <v>33.465073834992602</v>
      </c>
      <c r="I333" s="81">
        <v>0</v>
      </c>
      <c r="J333" s="82">
        <f>VLOOKUP(B333,Data!B:K,10,FALSE)</f>
        <v>0</v>
      </c>
      <c r="K333" s="82">
        <f>VLOOKUP(B333,Data!B:L,11,FALSE)</f>
        <v>0</v>
      </c>
    </row>
    <row r="334" spans="1:11" hidden="1" x14ac:dyDescent="0.2">
      <c r="A334" s="82" t="s">
        <v>1200</v>
      </c>
      <c r="B334" s="82" t="s">
        <v>660</v>
      </c>
      <c r="C334" s="82" t="s">
        <v>659</v>
      </c>
      <c r="D334" s="83">
        <v>6.3747802680939998</v>
      </c>
      <c r="E334" s="68">
        <v>1.6504133769390001</v>
      </c>
      <c r="F334" s="68">
        <v>4.7243668911549994</v>
      </c>
      <c r="G334" s="68">
        <v>-5.154477130629</v>
      </c>
      <c r="H334" s="68">
        <v>4.3700393743183756</v>
      </c>
      <c r="I334" s="81">
        <v>0.5</v>
      </c>
      <c r="J334" s="82" t="str">
        <f>VLOOKUP(B334,Data!B:K,10,FALSE)</f>
        <v>Essex Business Rates Pool</v>
      </c>
      <c r="K334" s="82">
        <f>VLOOKUP(B334,Data!B:L,11,FALSE)</f>
        <v>0</v>
      </c>
    </row>
    <row r="335" spans="1:11" hidden="1" x14ac:dyDescent="0.2">
      <c r="A335" s="82" t="s">
        <v>1201</v>
      </c>
      <c r="B335" s="82" t="s">
        <v>662</v>
      </c>
      <c r="C335" s="82" t="s">
        <v>661</v>
      </c>
      <c r="D335" s="83">
        <v>2.6412942023710002</v>
      </c>
      <c r="E335" s="68">
        <v>0.41749258503499997</v>
      </c>
      <c r="F335" s="68">
        <v>2.223801617336</v>
      </c>
      <c r="G335" s="68">
        <v>-16.069560498649</v>
      </c>
      <c r="H335" s="68">
        <v>2.0570164960357999</v>
      </c>
      <c r="I335" s="81">
        <v>0.5</v>
      </c>
      <c r="J335" s="82">
        <f>VLOOKUP(B335,Data!B:K,10,FALSE)</f>
        <v>0</v>
      </c>
      <c r="K335" s="82">
        <f>VLOOKUP(B335,Data!B:L,11,FALSE)</f>
        <v>0</v>
      </c>
    </row>
    <row r="336" spans="1:11" hidden="1" x14ac:dyDescent="0.2">
      <c r="A336" s="82" t="s">
        <v>1202</v>
      </c>
      <c r="B336" s="82" t="s">
        <v>664</v>
      </c>
      <c r="C336" s="82" t="s">
        <v>663</v>
      </c>
      <c r="D336" s="83">
        <v>2.239390863183</v>
      </c>
      <c r="E336" s="68">
        <v>0.51525257242</v>
      </c>
      <c r="F336" s="68">
        <v>1.7241382907630001</v>
      </c>
      <c r="G336" s="68">
        <v>-12.323406757255999</v>
      </c>
      <c r="H336" s="68">
        <v>1.5948279189557752</v>
      </c>
      <c r="I336" s="81">
        <v>0.5</v>
      </c>
      <c r="J336" s="82">
        <f>VLOOKUP(B336,Data!B:K,10,FALSE)</f>
        <v>0</v>
      </c>
      <c r="K336" s="82">
        <f>VLOOKUP(B336,Data!B:L,11,FALSE)</f>
        <v>0</v>
      </c>
    </row>
    <row r="337" spans="1:11" hidden="1" x14ac:dyDescent="0.2">
      <c r="A337" s="82" t="s">
        <v>1203</v>
      </c>
      <c r="B337" s="82" t="s">
        <v>666</v>
      </c>
      <c r="C337" s="82" t="s">
        <v>665</v>
      </c>
      <c r="D337" s="83">
        <v>6.1654080174399999</v>
      </c>
      <c r="E337" s="68">
        <v>1.4457755077819998</v>
      </c>
      <c r="F337" s="68">
        <v>4.7196325096580001</v>
      </c>
      <c r="G337" s="68">
        <v>-7.9810288961899998</v>
      </c>
      <c r="H337" s="68">
        <v>4.3656600714336502</v>
      </c>
      <c r="I337" s="81">
        <v>0.5</v>
      </c>
      <c r="J337" s="82" t="str">
        <f>VLOOKUP(B337,Data!B:K,10,FALSE)</f>
        <v>Kent Business Rates Pool</v>
      </c>
      <c r="K337" s="82">
        <f>VLOOKUP(B337,Data!B:L,11,FALSE)</f>
        <v>0</v>
      </c>
    </row>
    <row r="338" spans="1:11" hidden="1" x14ac:dyDescent="0.2">
      <c r="A338" s="82" t="s">
        <v>1204</v>
      </c>
      <c r="B338" s="82" t="s">
        <v>668</v>
      </c>
      <c r="C338" s="82" t="s">
        <v>667</v>
      </c>
      <c r="D338" s="83">
        <v>2.1989370061880003</v>
      </c>
      <c r="E338" s="68">
        <v>0.33605824259200001</v>
      </c>
      <c r="F338" s="68">
        <v>1.862878763596</v>
      </c>
      <c r="G338" s="68">
        <v>-8.0524976660610008</v>
      </c>
      <c r="H338" s="68">
        <v>1.7231628563263</v>
      </c>
      <c r="I338" s="81">
        <v>0.5</v>
      </c>
      <c r="J338" s="82">
        <f>VLOOKUP(B338,Data!B:K,10,FALSE)</f>
        <v>0</v>
      </c>
      <c r="K338" s="82">
        <f>VLOOKUP(B338,Data!B:L,11,FALSE)</f>
        <v>0</v>
      </c>
    </row>
    <row r="339" spans="1:11" hidden="1" x14ac:dyDescent="0.2">
      <c r="A339" s="82" t="s">
        <v>1205</v>
      </c>
      <c r="B339" s="82" t="s">
        <v>670</v>
      </c>
      <c r="C339" s="82" t="s">
        <v>669</v>
      </c>
      <c r="D339" s="83">
        <v>45.670660960440003</v>
      </c>
      <c r="E339" s="68">
        <v>14.659645832915</v>
      </c>
      <c r="F339" s="68">
        <v>31.011015127525003</v>
      </c>
      <c r="G339" s="68">
        <v>-18.959377556129002</v>
      </c>
      <c r="H339" s="68">
        <v>28.685188992960629</v>
      </c>
      <c r="I339" s="81">
        <v>0.40447706958375951</v>
      </c>
      <c r="J339" s="82" t="str">
        <f>VLOOKUP(B339,Data!B:K,10,FALSE)</f>
        <v>East London / South Essex Business Rates Pool</v>
      </c>
      <c r="K339" s="82">
        <f>VLOOKUP(B339,Data!B:L,11,FALSE)</f>
        <v>0</v>
      </c>
    </row>
    <row r="340" spans="1:11" hidden="1" x14ac:dyDescent="0.2">
      <c r="A340" s="82" t="s">
        <v>1206</v>
      </c>
      <c r="B340" s="82" t="s">
        <v>672</v>
      </c>
      <c r="C340" s="82" t="s">
        <v>671</v>
      </c>
      <c r="D340" s="83">
        <v>2.14953158912</v>
      </c>
      <c r="E340" s="68" t="s">
        <v>61</v>
      </c>
      <c r="F340" s="68">
        <v>2.14953158912</v>
      </c>
      <c r="G340" s="68">
        <v>-19.970635324564</v>
      </c>
      <c r="H340" s="68">
        <v>1.9883167199360001</v>
      </c>
      <c r="I340" s="81">
        <v>0.5</v>
      </c>
      <c r="J340" s="82" t="str">
        <f>VLOOKUP(B340,Data!B:K,10,FALSE)</f>
        <v>Kent Business Rates Pool</v>
      </c>
      <c r="K340" s="82">
        <f>VLOOKUP(B340,Data!B:L,11,FALSE)</f>
        <v>0</v>
      </c>
    </row>
    <row r="341" spans="1:11" hidden="1" x14ac:dyDescent="0.2">
      <c r="A341" s="82" t="s">
        <v>1207</v>
      </c>
      <c r="B341" s="82" t="s">
        <v>674</v>
      </c>
      <c r="C341" s="82" t="s">
        <v>673</v>
      </c>
      <c r="D341" s="83">
        <v>44.576464444896004</v>
      </c>
      <c r="E341" s="68">
        <v>14.187913320934999</v>
      </c>
      <c r="F341" s="68">
        <v>30.388551123961001</v>
      </c>
      <c r="G341" s="68">
        <v>13.997304728267999</v>
      </c>
      <c r="H341" s="68">
        <v>28.109409789663928</v>
      </c>
      <c r="I341" s="81">
        <v>0</v>
      </c>
      <c r="J341" s="82" t="str">
        <f>VLOOKUP(B341,Data!B:K,10,FALSE)</f>
        <v>Devon Business Rates Pool</v>
      </c>
      <c r="K341" s="82">
        <f>VLOOKUP(B341,Data!B:L,11,FALSE)</f>
        <v>0</v>
      </c>
    </row>
    <row r="342" spans="1:11" hidden="1" x14ac:dyDescent="0.2">
      <c r="A342" s="82" t="s">
        <v>1208</v>
      </c>
      <c r="B342" s="82" t="s">
        <v>676</v>
      </c>
      <c r="C342" s="82" t="s">
        <v>675</v>
      </c>
      <c r="D342" s="83">
        <v>2.9391681157809999</v>
      </c>
      <c r="E342" s="68">
        <v>0.71606046293799996</v>
      </c>
      <c r="F342" s="68">
        <v>2.2231076528429998</v>
      </c>
      <c r="G342" s="68">
        <v>-2.2380664513649999</v>
      </c>
      <c r="H342" s="68">
        <v>2.0563745788797752</v>
      </c>
      <c r="I342" s="81">
        <v>0.5</v>
      </c>
      <c r="J342" s="82" t="str">
        <f>VLOOKUP(B342,Data!B:K,10,FALSE)</f>
        <v>Devon Business Rates Pool</v>
      </c>
      <c r="K342" s="82">
        <f>VLOOKUP(B342,Data!B:L,11,FALSE)</f>
        <v>0</v>
      </c>
    </row>
    <row r="343" spans="1:11" hidden="1" x14ac:dyDescent="0.2">
      <c r="A343" s="82" t="s">
        <v>1209</v>
      </c>
      <c r="B343" s="82" t="s">
        <v>678</v>
      </c>
      <c r="C343" s="82" t="s">
        <v>677</v>
      </c>
      <c r="D343" s="83">
        <v>158.10480406105401</v>
      </c>
      <c r="E343" s="68">
        <v>53.958157431031999</v>
      </c>
      <c r="F343" s="68">
        <v>104.146646630022</v>
      </c>
      <c r="G343" s="68">
        <v>-5.7052380841129997</v>
      </c>
      <c r="H343" s="68">
        <v>96.335648132770359</v>
      </c>
      <c r="I343" s="81">
        <v>5.1264022283958988E-2</v>
      </c>
      <c r="J343" s="82">
        <f>VLOOKUP(B343,Data!B:K,10,FALSE)</f>
        <v>0</v>
      </c>
      <c r="K343" s="82">
        <f>VLOOKUP(B343,Data!B:L,11,FALSE)</f>
        <v>0</v>
      </c>
    </row>
    <row r="344" spans="1:11" x14ac:dyDescent="0.2">
      <c r="A344" s="82" t="s">
        <v>1210</v>
      </c>
      <c r="B344" s="82" t="s">
        <v>680</v>
      </c>
      <c r="C344" s="82" t="s">
        <v>679</v>
      </c>
      <c r="D344" s="83">
        <v>49.286124742157995</v>
      </c>
      <c r="E344" s="68">
        <v>15.276405367039001</v>
      </c>
      <c r="F344" s="68">
        <v>34.009719375118998</v>
      </c>
      <c r="G344" s="68">
        <v>-34.987985112269996</v>
      </c>
      <c r="H344" s="68">
        <v>31.458990421985078</v>
      </c>
      <c r="I344" s="230">
        <v>0</v>
      </c>
      <c r="J344" s="82" t="str">
        <f>VLOOKUP(B344,Data!B:K,10,FALSE)</f>
        <v>Greater Manchester &amp; Cheshire Business Rates Pool</v>
      </c>
      <c r="K344" s="82" t="str">
        <f>VLOOKUP(B344,Data!B:L,11,FALSE)</f>
        <v>Pilot</v>
      </c>
    </row>
    <row r="345" spans="1:11" hidden="1" x14ac:dyDescent="0.2">
      <c r="A345" s="82" t="s">
        <v>1211</v>
      </c>
      <c r="B345" s="82" t="s">
        <v>682</v>
      </c>
      <c r="C345" s="82" t="s">
        <v>681</v>
      </c>
      <c r="D345" s="83">
        <v>2.4192497063159997</v>
      </c>
      <c r="E345" s="68">
        <v>0.20160925528099999</v>
      </c>
      <c r="F345" s="68">
        <v>2.2176404510349998</v>
      </c>
      <c r="G345" s="68">
        <v>-17.348655595293</v>
      </c>
      <c r="H345" s="68">
        <v>2.0513174172073749</v>
      </c>
      <c r="I345" s="81">
        <v>0.5</v>
      </c>
      <c r="J345" s="82" t="str">
        <f>VLOOKUP(B345,Data!B:K,10,FALSE)</f>
        <v>Kent Business Rates Pool</v>
      </c>
      <c r="K345" s="82">
        <f>VLOOKUP(B345,Data!B:L,11,FALSE)</f>
        <v>0</v>
      </c>
    </row>
    <row r="346" spans="1:11" hidden="1" x14ac:dyDescent="0.2">
      <c r="A346" s="82" t="s">
        <v>1212</v>
      </c>
      <c r="B346" s="82" t="s">
        <v>310</v>
      </c>
      <c r="C346" s="82" t="s">
        <v>785</v>
      </c>
      <c r="D346" s="83">
        <v>25.414989808214003</v>
      </c>
      <c r="E346" s="68">
        <v>10.897790573813001</v>
      </c>
      <c r="F346" s="68">
        <v>14.517199234401001</v>
      </c>
      <c r="G346" s="68">
        <v>10.687827027082999</v>
      </c>
      <c r="H346" s="68">
        <v>13.428409291820927</v>
      </c>
      <c r="I346" s="81">
        <v>0</v>
      </c>
      <c r="J346" s="82">
        <f>VLOOKUP(B346,Data!B:K,10,FALSE)</f>
        <v>0</v>
      </c>
      <c r="K346" s="82">
        <f>VLOOKUP(B346,Data!B:L,11,FALSE)</f>
        <v>0</v>
      </c>
    </row>
    <row r="347" spans="1:11" hidden="1" x14ac:dyDescent="0.2">
      <c r="A347" s="82" t="s">
        <v>1213</v>
      </c>
      <c r="B347" s="82" t="s">
        <v>684</v>
      </c>
      <c r="C347" s="82" t="s">
        <v>683</v>
      </c>
      <c r="D347" s="83">
        <v>1.701156226358</v>
      </c>
      <c r="E347" s="68">
        <v>0.25153282710899999</v>
      </c>
      <c r="F347" s="68">
        <v>1.449623399249</v>
      </c>
      <c r="G347" s="68">
        <v>-14.317151813774</v>
      </c>
      <c r="H347" s="68">
        <v>1.3409016443053252</v>
      </c>
      <c r="I347" s="81">
        <v>0.5</v>
      </c>
      <c r="J347" s="82" t="str">
        <f>VLOOKUP(B347,Data!B:K,10,FALSE)</f>
        <v>Essex Business Rates Pool</v>
      </c>
      <c r="K347" s="82">
        <f>VLOOKUP(B347,Data!B:L,11,FALSE)</f>
        <v>0</v>
      </c>
    </row>
    <row r="348" spans="1:11" hidden="1" x14ac:dyDescent="0.2">
      <c r="A348" s="82" t="s">
        <v>1214</v>
      </c>
      <c r="B348" s="82" t="s">
        <v>686</v>
      </c>
      <c r="C348" s="82" t="s">
        <v>685</v>
      </c>
      <c r="D348" s="83">
        <v>2.7260271492600001</v>
      </c>
      <c r="E348" s="68">
        <v>0.51271701845899997</v>
      </c>
      <c r="F348" s="68">
        <v>2.2133101308010001</v>
      </c>
      <c r="G348" s="68">
        <v>-19.615005640193999</v>
      </c>
      <c r="H348" s="68">
        <v>2.0473118709909253</v>
      </c>
      <c r="I348" s="81">
        <v>0.5</v>
      </c>
      <c r="J348" s="82">
        <f>VLOOKUP(B348,Data!B:K,10,FALSE)</f>
        <v>0</v>
      </c>
      <c r="K348" s="82">
        <f>VLOOKUP(B348,Data!B:L,11,FALSE)</f>
        <v>0</v>
      </c>
    </row>
    <row r="349" spans="1:11" hidden="1" x14ac:dyDescent="0.2">
      <c r="A349" s="82" t="s">
        <v>1215</v>
      </c>
      <c r="B349" s="82" t="s">
        <v>688</v>
      </c>
      <c r="C349" s="82" t="s">
        <v>687</v>
      </c>
      <c r="D349" s="83">
        <v>97.931248309224003</v>
      </c>
      <c r="E349" s="68">
        <v>30.566875262248999</v>
      </c>
      <c r="F349" s="68">
        <v>67.364373046975004</v>
      </c>
      <c r="G349" s="68">
        <v>13.043435406358</v>
      </c>
      <c r="H349" s="68">
        <v>62.31204506845188</v>
      </c>
      <c r="I349" s="81">
        <v>0</v>
      </c>
      <c r="J349" s="82" t="str">
        <f>VLOOKUP(B349,Data!B:K,10,FALSE)</f>
        <v>Leeds City Region Business Rates Pool</v>
      </c>
      <c r="K349" s="82">
        <f>VLOOKUP(B349,Data!B:L,11,FALSE)</f>
        <v>0</v>
      </c>
    </row>
    <row r="350" spans="1:11" x14ac:dyDescent="0.2">
      <c r="A350" s="82" t="s">
        <v>1216</v>
      </c>
      <c r="B350" s="82" t="s">
        <v>690</v>
      </c>
      <c r="C350" s="82" t="s">
        <v>689</v>
      </c>
      <c r="D350" s="83">
        <v>103.57426788727699</v>
      </c>
      <c r="E350" s="68">
        <v>33.756658400086998</v>
      </c>
      <c r="F350" s="68">
        <v>69.817609487189998</v>
      </c>
      <c r="G350" s="68">
        <v>34.673781712328001</v>
      </c>
      <c r="H350" s="68">
        <v>64.581288775650748</v>
      </c>
      <c r="I350" s="81">
        <v>0</v>
      </c>
      <c r="J350" s="82">
        <f>VLOOKUP(B350,Data!B:K,10,FALSE)</f>
        <v>0</v>
      </c>
      <c r="K350" s="82" t="str">
        <f>VLOOKUP(B350,Data!B:L,11,FALSE)</f>
        <v>Pilot</v>
      </c>
    </row>
    <row r="351" spans="1:11" hidden="1" x14ac:dyDescent="0.2">
      <c r="A351" s="82" t="s">
        <v>1217</v>
      </c>
      <c r="B351" s="82" t="s">
        <v>692</v>
      </c>
      <c r="C351" s="82" t="s">
        <v>691</v>
      </c>
      <c r="D351" s="83">
        <v>98.97915617820999</v>
      </c>
      <c r="E351" s="68">
        <v>33.462636202006998</v>
      </c>
      <c r="F351" s="68">
        <v>65.516519976203</v>
      </c>
      <c r="G351" s="68">
        <v>44.636517864510999</v>
      </c>
      <c r="H351" s="68">
        <v>60.602780977987784</v>
      </c>
      <c r="I351" s="81">
        <v>0</v>
      </c>
      <c r="J351" s="82">
        <f>VLOOKUP(B351,Data!B:K,10,FALSE)</f>
        <v>0</v>
      </c>
      <c r="K351" s="82">
        <f>VLOOKUP(B351,Data!B:L,11,FALSE)</f>
        <v>0</v>
      </c>
    </row>
    <row r="352" spans="1:11" hidden="1" x14ac:dyDescent="0.2">
      <c r="A352" s="82" t="s">
        <v>1218</v>
      </c>
      <c r="B352" s="82" t="s">
        <v>694</v>
      </c>
      <c r="C352" s="82" t="s">
        <v>693</v>
      </c>
      <c r="D352" s="83">
        <v>106.03694041500302</v>
      </c>
      <c r="E352" s="68">
        <v>37.013873989816005</v>
      </c>
      <c r="F352" s="68">
        <v>69.023066425187011</v>
      </c>
      <c r="G352" s="68">
        <v>34.538346931146002</v>
      </c>
      <c r="H352" s="68">
        <v>63.846336443297979</v>
      </c>
      <c r="I352" s="81">
        <v>0</v>
      </c>
      <c r="J352" s="82">
        <f>VLOOKUP(B352,Data!B:K,10,FALSE)</f>
        <v>0</v>
      </c>
      <c r="K352" s="82">
        <f>VLOOKUP(B352,Data!B:L,11,FALSE)</f>
        <v>0</v>
      </c>
    </row>
    <row r="353" spans="1:11" hidden="1" x14ac:dyDescent="0.2">
      <c r="A353" s="82" t="s">
        <v>1219</v>
      </c>
      <c r="B353" s="82" t="s">
        <v>696</v>
      </c>
      <c r="C353" s="82" t="s">
        <v>695</v>
      </c>
      <c r="D353" s="83">
        <v>39.517439109477003</v>
      </c>
      <c r="E353" s="68">
        <v>10.259171326532</v>
      </c>
      <c r="F353" s="68">
        <v>29.258267782945001</v>
      </c>
      <c r="G353" s="68">
        <v>-16.228129590127001</v>
      </c>
      <c r="H353" s="68">
        <v>27.063897699224125</v>
      </c>
      <c r="I353" s="81">
        <v>0.35227278415315866</v>
      </c>
      <c r="J353" s="82" t="str">
        <f>VLOOKUP(B353,Data!B:K,10,FALSE)</f>
        <v>Mid Merseyside Business Rates Pool</v>
      </c>
      <c r="K353" s="82">
        <f>VLOOKUP(B353,Data!B:L,11,FALSE)</f>
        <v>0</v>
      </c>
    </row>
    <row r="354" spans="1:11" hidden="1" x14ac:dyDescent="0.2">
      <c r="A354" s="82" t="s">
        <v>1220</v>
      </c>
      <c r="B354" s="82" t="s">
        <v>698</v>
      </c>
      <c r="C354" s="82" t="s">
        <v>697</v>
      </c>
      <c r="D354" s="83">
        <v>4.012595344088</v>
      </c>
      <c r="E354" s="68">
        <v>0.79367535847699999</v>
      </c>
      <c r="F354" s="68">
        <v>3.218919985611</v>
      </c>
      <c r="G354" s="68">
        <v>-21.658850150481999</v>
      </c>
      <c r="H354" s="68">
        <v>2.9775009866901754</v>
      </c>
      <c r="I354" s="81">
        <v>0.5</v>
      </c>
      <c r="J354" s="82" t="str">
        <f>VLOOKUP(B354,Data!B:K,10,FALSE)</f>
        <v>Coventry &amp; Warwickshire Business Rates Pool</v>
      </c>
      <c r="K354" s="82">
        <f>VLOOKUP(B354,Data!B:L,11,FALSE)</f>
        <v>0</v>
      </c>
    </row>
    <row r="355" spans="1:11" hidden="1" x14ac:dyDescent="0.2">
      <c r="A355" s="82" t="s">
        <v>1221</v>
      </c>
      <c r="B355" s="82" t="s">
        <v>479</v>
      </c>
      <c r="C355" s="82" t="s">
        <v>814</v>
      </c>
      <c r="D355" s="83">
        <v>80.245863406962002</v>
      </c>
      <c r="E355" s="68">
        <v>20.388670907386999</v>
      </c>
      <c r="F355" s="68">
        <v>59.857192499575</v>
      </c>
      <c r="G355" s="68">
        <v>37.774489456520996</v>
      </c>
      <c r="H355" s="68">
        <v>55.367903062106876</v>
      </c>
      <c r="I355" s="81">
        <v>0</v>
      </c>
      <c r="J355" s="82" t="str">
        <f>VLOOKUP(B355,Data!B:K,10,FALSE)</f>
        <v>Coventry &amp; Warwickshire Business Rates Pool</v>
      </c>
      <c r="K355" s="82">
        <f>VLOOKUP(B355,Data!B:L,11,FALSE)</f>
        <v>0</v>
      </c>
    </row>
    <row r="356" spans="1:11" hidden="1" x14ac:dyDescent="0.2">
      <c r="A356" s="82" t="s">
        <v>1222</v>
      </c>
      <c r="B356" s="82" t="s">
        <v>700</v>
      </c>
      <c r="C356" s="82" t="s">
        <v>699</v>
      </c>
      <c r="D356" s="83">
        <v>3.2165624156370001</v>
      </c>
      <c r="E356" s="68">
        <v>0.56519583865100009</v>
      </c>
      <c r="F356" s="68">
        <v>2.6513665769859998</v>
      </c>
      <c r="G356" s="68">
        <v>-22.121117086093999</v>
      </c>
      <c r="H356" s="68">
        <v>2.45251408371205</v>
      </c>
      <c r="I356" s="81">
        <v>0.5</v>
      </c>
      <c r="J356" s="82">
        <f>VLOOKUP(B356,Data!B:K,10,FALSE)</f>
        <v>0</v>
      </c>
      <c r="K356" s="82">
        <f>VLOOKUP(B356,Data!B:L,11,FALSE)</f>
        <v>0</v>
      </c>
    </row>
    <row r="357" spans="1:11" hidden="1" x14ac:dyDescent="0.2">
      <c r="A357" s="82" t="s">
        <v>1223</v>
      </c>
      <c r="B357" s="82" t="s">
        <v>702</v>
      </c>
      <c r="C357" s="82" t="s">
        <v>701</v>
      </c>
      <c r="D357" s="83">
        <v>5.0723537550769997</v>
      </c>
      <c r="E357" s="68">
        <v>1.2957276215089999</v>
      </c>
      <c r="F357" s="68">
        <v>3.776626133568</v>
      </c>
      <c r="G357" s="68">
        <v>-6.9906287690089997</v>
      </c>
      <c r="H357" s="68">
        <v>3.4933791735504003</v>
      </c>
      <c r="I357" s="81">
        <v>0.5</v>
      </c>
      <c r="J357" s="82" t="str">
        <f>VLOOKUP(B357,Data!B:K,10,FALSE)</f>
        <v>Suffolk Business Rates Pool</v>
      </c>
      <c r="K357" s="82">
        <f>VLOOKUP(B357,Data!B:L,11,FALSE)</f>
        <v>0</v>
      </c>
    </row>
    <row r="358" spans="1:11" hidden="1" x14ac:dyDescent="0.2">
      <c r="A358" s="82" t="s">
        <v>1224</v>
      </c>
      <c r="B358" s="82" t="s">
        <v>704</v>
      </c>
      <c r="C358" s="82" t="s">
        <v>703</v>
      </c>
      <c r="D358" s="83">
        <v>1.931113726233</v>
      </c>
      <c r="E358" s="68">
        <v>6.0909009607999998E-2</v>
      </c>
      <c r="F358" s="68">
        <v>1.870204716625</v>
      </c>
      <c r="G358" s="68">
        <v>-13.518062892593001</v>
      </c>
      <c r="H358" s="68">
        <v>1.729939362878125</v>
      </c>
      <c r="I358" s="81">
        <v>0.5</v>
      </c>
      <c r="J358" s="82">
        <f>VLOOKUP(B358,Data!B:K,10,FALSE)</f>
        <v>0</v>
      </c>
      <c r="K358" s="82">
        <f>VLOOKUP(B358,Data!B:L,11,FALSE)</f>
        <v>0</v>
      </c>
    </row>
    <row r="359" spans="1:11" hidden="1" x14ac:dyDescent="0.2">
      <c r="A359" s="82" t="s">
        <v>1225</v>
      </c>
      <c r="B359" s="82" t="s">
        <v>706</v>
      </c>
      <c r="C359" s="82" t="s">
        <v>705</v>
      </c>
      <c r="D359" s="83">
        <v>3.0453184887680003</v>
      </c>
      <c r="E359" s="68">
        <v>0.28772412222000004</v>
      </c>
      <c r="F359" s="68">
        <v>2.7575943665480001</v>
      </c>
      <c r="G359" s="68">
        <v>-9.2391528813639994</v>
      </c>
      <c r="H359" s="68">
        <v>2.5507747890568999</v>
      </c>
      <c r="I359" s="81">
        <v>0.5</v>
      </c>
      <c r="J359" s="82">
        <f>VLOOKUP(B359,Data!B:K,10,FALSE)</f>
        <v>0</v>
      </c>
      <c r="K359" s="82">
        <f>VLOOKUP(B359,Data!B:L,11,FALSE)</f>
        <v>0</v>
      </c>
    </row>
    <row r="360" spans="1:11" hidden="1" x14ac:dyDescent="0.2">
      <c r="A360" s="82" t="s">
        <v>1226</v>
      </c>
      <c r="B360" s="82" t="s">
        <v>708</v>
      </c>
      <c r="C360" s="82" t="s">
        <v>707</v>
      </c>
      <c r="D360" s="83">
        <v>3.0664453176080002</v>
      </c>
      <c r="E360" s="68">
        <v>0.80605487136300003</v>
      </c>
      <c r="F360" s="68">
        <v>2.2603904462450002</v>
      </c>
      <c r="G360" s="68">
        <v>-7.4959057508170002</v>
      </c>
      <c r="H360" s="68">
        <v>2.0908611627766254</v>
      </c>
      <c r="I360" s="81">
        <v>0.5</v>
      </c>
      <c r="J360" s="82" t="str">
        <f>VLOOKUP(B360,Data!B:K,10,FALSE)</f>
        <v>Northamptonshire Business Rates Pool</v>
      </c>
      <c r="K360" s="82">
        <f>VLOOKUP(B360,Data!B:L,11,FALSE)</f>
        <v>0</v>
      </c>
    </row>
    <row r="361" spans="1:11" hidden="1" x14ac:dyDescent="0.2">
      <c r="A361" s="82" t="s">
        <v>1227</v>
      </c>
      <c r="B361" s="82" t="s">
        <v>710</v>
      </c>
      <c r="C361" s="82" t="s">
        <v>709</v>
      </c>
      <c r="D361" s="83">
        <v>3.276351968777</v>
      </c>
      <c r="E361" s="68">
        <v>0.55794130681700005</v>
      </c>
      <c r="F361" s="68">
        <v>2.7184106619600001</v>
      </c>
      <c r="G361" s="68">
        <v>-19.157423239307001</v>
      </c>
      <c r="H361" s="68">
        <v>2.5145298623130006</v>
      </c>
      <c r="I361" s="81">
        <v>0.5</v>
      </c>
      <c r="J361" s="82">
        <f>VLOOKUP(B361,Data!B:K,10,FALSE)</f>
        <v>0</v>
      </c>
      <c r="K361" s="82">
        <f>VLOOKUP(B361,Data!B:L,11,FALSE)</f>
        <v>0</v>
      </c>
    </row>
    <row r="362" spans="1:11" hidden="1" x14ac:dyDescent="0.2">
      <c r="A362" s="82" t="s">
        <v>1228</v>
      </c>
      <c r="B362" s="82" t="s">
        <v>712</v>
      </c>
      <c r="C362" s="82" t="s">
        <v>711</v>
      </c>
      <c r="D362" s="83">
        <v>20.600098891465997</v>
      </c>
      <c r="E362" s="68">
        <v>3.6963063189619998</v>
      </c>
      <c r="F362" s="68">
        <v>16.903792572503999</v>
      </c>
      <c r="G362" s="68">
        <v>-20.763844851670999</v>
      </c>
      <c r="H362" s="68">
        <v>15.6360081295662</v>
      </c>
      <c r="I362" s="81">
        <v>0.5</v>
      </c>
      <c r="J362" s="82">
        <f>VLOOKUP(B362,Data!B:K,10,FALSE)</f>
        <v>0</v>
      </c>
      <c r="K362" s="82">
        <f>VLOOKUP(B362,Data!B:L,11,FALSE)</f>
        <v>0</v>
      </c>
    </row>
    <row r="363" spans="1:11" hidden="1" x14ac:dyDescent="0.2">
      <c r="A363" s="82" t="s">
        <v>1229</v>
      </c>
      <c r="B363" s="82" t="s">
        <v>714</v>
      </c>
      <c r="C363" s="82" t="s">
        <v>713</v>
      </c>
      <c r="D363" s="83">
        <v>1.7622570489859999</v>
      </c>
      <c r="E363" s="68">
        <v>0.22328423793300001</v>
      </c>
      <c r="F363" s="68">
        <v>1.5389728110529999</v>
      </c>
      <c r="G363" s="68">
        <v>-2.9655833603650001</v>
      </c>
      <c r="H363" s="68">
        <v>1.4235498502240251</v>
      </c>
      <c r="I363" s="81">
        <v>0.5</v>
      </c>
      <c r="J363" s="82" t="str">
        <f>VLOOKUP(B363,Data!B:K,10,FALSE)</f>
        <v>Devon Business Rates Pool</v>
      </c>
      <c r="K363" s="82">
        <f>VLOOKUP(B363,Data!B:L,11,FALSE)</f>
        <v>0</v>
      </c>
    </row>
    <row r="364" spans="1:11" hidden="1" x14ac:dyDescent="0.2">
      <c r="A364" s="82" t="s">
        <v>1230</v>
      </c>
      <c r="B364" s="82" t="s">
        <v>716</v>
      </c>
      <c r="C364" s="82" t="s">
        <v>715</v>
      </c>
      <c r="D364" s="83">
        <v>3.4143582734390003</v>
      </c>
      <c r="E364" s="68">
        <v>0.68406343690500004</v>
      </c>
      <c r="F364" s="68">
        <v>2.7302948365340001</v>
      </c>
      <c r="G364" s="68">
        <v>-9.7796461171269993</v>
      </c>
      <c r="H364" s="68">
        <v>2.5255227237939502</v>
      </c>
      <c r="I364" s="81">
        <v>0.5</v>
      </c>
      <c r="J364" s="82">
        <f>VLOOKUP(B364,Data!B:K,10,FALSE)</f>
        <v>0</v>
      </c>
      <c r="K364" s="82">
        <f>VLOOKUP(B364,Data!B:L,11,FALSE)</f>
        <v>0</v>
      </c>
    </row>
    <row r="365" spans="1:11" hidden="1" x14ac:dyDescent="0.2">
      <c r="A365" s="82" t="s">
        <v>1231</v>
      </c>
      <c r="B365" s="82" t="s">
        <v>718</v>
      </c>
      <c r="C365" s="82" t="s">
        <v>717</v>
      </c>
      <c r="D365" s="83">
        <v>3.9662808035429995</v>
      </c>
      <c r="E365" s="68">
        <v>0.87075757060400005</v>
      </c>
      <c r="F365" s="68">
        <v>3.0955232329389997</v>
      </c>
      <c r="G365" s="68">
        <v>-8.2269216639879996</v>
      </c>
      <c r="H365" s="68">
        <v>2.863358990468575</v>
      </c>
      <c r="I365" s="81">
        <v>0.5</v>
      </c>
      <c r="J365" s="82" t="str">
        <f>VLOOKUP(B365,Data!B:K,10,FALSE)</f>
        <v>Lancashire Business Rates Pool</v>
      </c>
      <c r="K365" s="82">
        <f>VLOOKUP(B365,Data!B:L,11,FALSE)</f>
        <v>0</v>
      </c>
    </row>
    <row r="366" spans="1:11" hidden="1" x14ac:dyDescent="0.2">
      <c r="A366" s="82" t="s">
        <v>1232</v>
      </c>
      <c r="B366" s="82" t="s">
        <v>720</v>
      </c>
      <c r="C366" s="82" t="s">
        <v>719</v>
      </c>
      <c r="D366" s="83">
        <v>3.583597872535</v>
      </c>
      <c r="E366" s="68">
        <v>0.76080142311099996</v>
      </c>
      <c r="F366" s="68">
        <v>2.8227964494240001</v>
      </c>
      <c r="G366" s="68">
        <v>-3.3885222690269998</v>
      </c>
      <c r="H366" s="68">
        <v>2.6110867157172</v>
      </c>
      <c r="I366" s="81">
        <v>0.5</v>
      </c>
      <c r="J366" s="82" t="str">
        <f>VLOOKUP(B366,Data!B:K,10,FALSE)</f>
        <v>Lincolnshire Business Rates Pool</v>
      </c>
      <c r="K366" s="82">
        <f>VLOOKUP(B366,Data!B:L,11,FALSE)</f>
        <v>0</v>
      </c>
    </row>
    <row r="367" spans="1:11" hidden="1" x14ac:dyDescent="0.2">
      <c r="A367" s="82" t="s">
        <v>1233</v>
      </c>
      <c r="B367" s="82" t="s">
        <v>98</v>
      </c>
      <c r="C367" s="82" t="s">
        <v>786</v>
      </c>
      <c r="D367" s="83">
        <v>54.703243135160001</v>
      </c>
      <c r="E367" s="68">
        <v>23.202040320750001</v>
      </c>
      <c r="F367" s="68">
        <v>31.50120281441</v>
      </c>
      <c r="G367" s="68">
        <v>22.287112761875999</v>
      </c>
      <c r="H367" s="68">
        <v>29.138612603329253</v>
      </c>
      <c r="I367" s="81">
        <v>0</v>
      </c>
      <c r="J367" s="82">
        <f>VLOOKUP(B367,Data!B:K,10,FALSE)</f>
        <v>0</v>
      </c>
      <c r="K367" s="82">
        <f>VLOOKUP(B367,Data!B:L,11,FALSE)</f>
        <v>0</v>
      </c>
    </row>
    <row r="368" spans="1:11" hidden="1" x14ac:dyDescent="0.2">
      <c r="A368" s="82" t="s">
        <v>1234</v>
      </c>
      <c r="B368" s="82" t="s">
        <v>722</v>
      </c>
      <c r="C368" s="82" t="s">
        <v>721</v>
      </c>
      <c r="D368" s="83">
        <v>2.64074164654</v>
      </c>
      <c r="E368" s="68">
        <v>0.63659699809300008</v>
      </c>
      <c r="F368" s="68">
        <v>2.0041446484469998</v>
      </c>
      <c r="G368" s="68">
        <v>-11.239870091612</v>
      </c>
      <c r="H368" s="68">
        <v>1.8538337998134751</v>
      </c>
      <c r="I368" s="81">
        <v>0.5</v>
      </c>
      <c r="J368" s="82" t="str">
        <f>VLOOKUP(B368,Data!B:K,10,FALSE)</f>
        <v>North Oxfordshire Business Rates Pool</v>
      </c>
      <c r="K368" s="82">
        <f>VLOOKUP(B368,Data!B:L,11,FALSE)</f>
        <v>0</v>
      </c>
    </row>
    <row r="369" spans="1:11" hidden="1" x14ac:dyDescent="0.2">
      <c r="A369" s="82" t="s">
        <v>1235</v>
      </c>
      <c r="B369" s="82" t="s">
        <v>724</v>
      </c>
      <c r="C369" s="82" t="s">
        <v>723</v>
      </c>
      <c r="D369" s="83">
        <v>1.44005157689</v>
      </c>
      <c r="E369" s="68">
        <v>0.31688541044200003</v>
      </c>
      <c r="F369" s="68">
        <v>1.1231661664479999</v>
      </c>
      <c r="G369" s="68">
        <v>-6.058368708792</v>
      </c>
      <c r="H369" s="68">
        <v>1.0389287039644</v>
      </c>
      <c r="I369" s="81">
        <v>0.5</v>
      </c>
      <c r="J369" s="82">
        <f>VLOOKUP(B369,Data!B:K,10,FALSE)</f>
        <v>0</v>
      </c>
      <c r="K369" s="82">
        <f>VLOOKUP(B369,Data!B:L,11,FALSE)</f>
        <v>0</v>
      </c>
    </row>
    <row r="370" spans="1:11" hidden="1" x14ac:dyDescent="0.2">
      <c r="A370" s="82" t="s">
        <v>1236</v>
      </c>
      <c r="B370" s="82" t="s">
        <v>35</v>
      </c>
      <c r="C370" s="82" t="s">
        <v>815</v>
      </c>
      <c r="D370" s="83">
        <v>101.70809823208799</v>
      </c>
      <c r="E370" s="68">
        <v>27.692695396095999</v>
      </c>
      <c r="F370" s="68">
        <v>74.015402835991992</v>
      </c>
      <c r="G370" s="68">
        <v>42.636628637213995</v>
      </c>
      <c r="H370" s="68">
        <v>68.464247623292593</v>
      </c>
      <c r="I370" s="81">
        <v>0</v>
      </c>
      <c r="J370" s="82" t="str">
        <f>VLOOKUP(B370,Data!B:K,10,FALSE)</f>
        <v>West Sussex Business Rates Pool</v>
      </c>
      <c r="K370" s="82">
        <f>VLOOKUP(B370,Data!B:L,11,FALSE)</f>
        <v>0</v>
      </c>
    </row>
    <row r="371" spans="1:11" hidden="1" x14ac:dyDescent="0.2">
      <c r="A371" s="82" t="s">
        <v>1237</v>
      </c>
      <c r="B371" s="82" t="s">
        <v>125</v>
      </c>
      <c r="C371" s="82" t="s">
        <v>787</v>
      </c>
      <c r="D371" s="83">
        <v>39.851268824217001</v>
      </c>
      <c r="E371" s="68">
        <v>16.751228249733</v>
      </c>
      <c r="F371" s="68">
        <v>23.100040574484002</v>
      </c>
      <c r="G371" s="68">
        <v>15.785238697609</v>
      </c>
      <c r="H371" s="68">
        <v>21.367537531397705</v>
      </c>
      <c r="I371" s="81">
        <v>0</v>
      </c>
      <c r="J371" s="82">
        <f>VLOOKUP(B371,Data!B:K,10,FALSE)</f>
        <v>0</v>
      </c>
      <c r="K371" s="82">
        <f>VLOOKUP(B371,Data!B:L,11,FALSE)</f>
        <v>0</v>
      </c>
    </row>
    <row r="372" spans="1:11" hidden="1" x14ac:dyDescent="0.2">
      <c r="A372" s="82" t="s">
        <v>1238</v>
      </c>
      <c r="B372" s="82" t="s">
        <v>726</v>
      </c>
      <c r="C372" s="82" t="s">
        <v>725</v>
      </c>
      <c r="D372" s="83">
        <v>130.57105719284601</v>
      </c>
      <c r="E372" s="68">
        <v>46.165872166153001</v>
      </c>
      <c r="F372" s="68">
        <v>84.405185026693005</v>
      </c>
      <c r="G372" s="68">
        <v>-538.45159184646707</v>
      </c>
      <c r="H372" s="68">
        <v>78.074796149691025</v>
      </c>
      <c r="I372" s="81">
        <v>0.5</v>
      </c>
      <c r="J372" s="82">
        <f>VLOOKUP(B372,Data!B:K,10,FALSE)</f>
        <v>0</v>
      </c>
      <c r="K372" s="82">
        <f>VLOOKUP(B372,Data!B:L,11,FALSE)</f>
        <v>0</v>
      </c>
    </row>
    <row r="373" spans="1:11" hidden="1" x14ac:dyDescent="0.2">
      <c r="A373" s="82" t="s">
        <v>1239</v>
      </c>
      <c r="B373" s="82" t="s">
        <v>728</v>
      </c>
      <c r="C373" s="82" t="s">
        <v>727</v>
      </c>
      <c r="D373" s="83">
        <v>2.107409168637</v>
      </c>
      <c r="E373" s="68">
        <v>0.20305128068200001</v>
      </c>
      <c r="F373" s="68">
        <v>1.9043578879549998</v>
      </c>
      <c r="G373" s="68">
        <v>-4.5598393464090003</v>
      </c>
      <c r="H373" s="68">
        <v>1.7615310463583751</v>
      </c>
      <c r="I373" s="81">
        <v>0.5</v>
      </c>
      <c r="J373" s="82">
        <f>VLOOKUP(B373,Data!B:K,10,FALSE)</f>
        <v>0</v>
      </c>
      <c r="K373" s="82">
        <f>VLOOKUP(B373,Data!B:L,11,FALSE)</f>
        <v>0</v>
      </c>
    </row>
    <row r="374" spans="1:11" x14ac:dyDescent="0.2">
      <c r="A374" s="82" t="s">
        <v>1240</v>
      </c>
      <c r="B374" s="82" t="s">
        <v>730</v>
      </c>
      <c r="C374" s="82" t="s">
        <v>729</v>
      </c>
      <c r="D374" s="83">
        <v>97.831665221880996</v>
      </c>
      <c r="E374" s="68">
        <v>31.906821018383997</v>
      </c>
      <c r="F374" s="68">
        <v>65.924844203497003</v>
      </c>
      <c r="G374" s="68">
        <v>30.281543228339999</v>
      </c>
      <c r="H374" s="68">
        <v>60.98048088823473</v>
      </c>
      <c r="I374" s="81">
        <v>0</v>
      </c>
      <c r="J374" s="82" t="str">
        <f>VLOOKUP(B374,Data!B:K,10,FALSE)</f>
        <v>Greater Manchester &amp; Cheshire Business Rates Pool</v>
      </c>
      <c r="K374" s="82" t="str">
        <f>VLOOKUP(B374,Data!B:L,11,FALSE)</f>
        <v>Pilot</v>
      </c>
    </row>
    <row r="375" spans="1:11" hidden="1" x14ac:dyDescent="0.2">
      <c r="A375" s="82" t="s">
        <v>1241</v>
      </c>
      <c r="B375" s="82" t="s">
        <v>732</v>
      </c>
      <c r="C375" s="82" t="s">
        <v>1242</v>
      </c>
      <c r="D375" s="83">
        <v>72.348949062559996</v>
      </c>
      <c r="E375" s="68">
        <v>18.287662089970997</v>
      </c>
      <c r="F375" s="68">
        <v>54.061286972589002</v>
      </c>
      <c r="G375" s="68">
        <v>-13.642375441334</v>
      </c>
      <c r="H375" s="68">
        <v>50.006690449644829</v>
      </c>
      <c r="I375" s="81">
        <v>0.19817517300948018</v>
      </c>
      <c r="J375" s="82">
        <f>VLOOKUP(B375,Data!B:K,10,FALSE)</f>
        <v>0</v>
      </c>
      <c r="K375" s="82">
        <f>VLOOKUP(B375,Data!B:L,11,FALSE)</f>
        <v>0</v>
      </c>
    </row>
    <row r="376" spans="1:11" hidden="1" x14ac:dyDescent="0.2">
      <c r="A376" s="82" t="s">
        <v>1243</v>
      </c>
      <c r="B376" s="82" t="s">
        <v>734</v>
      </c>
      <c r="C376" s="82" t="s">
        <v>733</v>
      </c>
      <c r="D376" s="83">
        <v>2.4635776986939999</v>
      </c>
      <c r="E376" s="68">
        <v>0.38101160984599997</v>
      </c>
      <c r="F376" s="68">
        <v>2.082566088848</v>
      </c>
      <c r="G376" s="68">
        <v>-19.060658691769998</v>
      </c>
      <c r="H376" s="68">
        <v>1.9263736321844001</v>
      </c>
      <c r="I376" s="81">
        <v>0.5</v>
      </c>
      <c r="J376" s="82">
        <f>VLOOKUP(B376,Data!B:K,10,FALSE)</f>
        <v>0</v>
      </c>
      <c r="K376" s="82">
        <f>VLOOKUP(B376,Data!B:L,11,FALSE)</f>
        <v>0</v>
      </c>
    </row>
    <row r="377" spans="1:11" hidden="1" x14ac:dyDescent="0.2">
      <c r="A377" s="82" t="s">
        <v>1244</v>
      </c>
      <c r="B377" s="82" t="s">
        <v>736</v>
      </c>
      <c r="C377" s="82" t="s">
        <v>735</v>
      </c>
      <c r="D377" s="83">
        <v>15.102902499252</v>
      </c>
      <c r="E377" s="68">
        <v>3.2169683369789999</v>
      </c>
      <c r="F377" s="68">
        <v>11.885934162273001</v>
      </c>
      <c r="G377" s="68">
        <v>-30.384730097068001</v>
      </c>
      <c r="H377" s="68">
        <v>10.994489100102527</v>
      </c>
      <c r="I377" s="81">
        <v>0.5</v>
      </c>
      <c r="J377" s="82">
        <f>VLOOKUP(B377,Data!B:K,10,FALSE)</f>
        <v>0</v>
      </c>
      <c r="K377" s="82">
        <f>VLOOKUP(B377,Data!B:L,11,FALSE)</f>
        <v>0</v>
      </c>
    </row>
    <row r="378" spans="1:11" x14ac:dyDescent="0.2">
      <c r="A378" s="82" t="s">
        <v>1245</v>
      </c>
      <c r="B378" s="82" t="s">
        <v>738</v>
      </c>
      <c r="C378" s="82" t="s">
        <v>737</v>
      </c>
      <c r="D378" s="83">
        <v>113.039062596213</v>
      </c>
      <c r="E378" s="68">
        <v>36.966072113160003</v>
      </c>
      <c r="F378" s="68">
        <v>76.072990483053005</v>
      </c>
      <c r="G378" s="68">
        <v>45.086844676783002</v>
      </c>
      <c r="H378" s="68">
        <v>70.367516196824027</v>
      </c>
      <c r="I378" s="81">
        <v>0</v>
      </c>
      <c r="J378" s="82">
        <f>VLOOKUP(B378,Data!B:K,10,FALSE)</f>
        <v>0</v>
      </c>
      <c r="K378" s="82" t="str">
        <f>VLOOKUP(B378,Data!B:L,11,FALSE)</f>
        <v>Pilot</v>
      </c>
    </row>
    <row r="379" spans="1:11" hidden="1" x14ac:dyDescent="0.2">
      <c r="A379" s="82" t="s">
        <v>1246</v>
      </c>
      <c r="B379" s="82" t="s">
        <v>740</v>
      </c>
      <c r="C379" s="82" t="s">
        <v>739</v>
      </c>
      <c r="D379" s="83">
        <v>1.993457667718</v>
      </c>
      <c r="E379" s="68" t="s">
        <v>61</v>
      </c>
      <c r="F379" s="68">
        <v>1.993457667718</v>
      </c>
      <c r="G379" s="68">
        <v>-15.290107595564001</v>
      </c>
      <c r="H379" s="68">
        <v>1.8439483426391501</v>
      </c>
      <c r="I379" s="81">
        <v>0.5</v>
      </c>
      <c r="J379" s="82">
        <f>VLOOKUP(B379,Data!B:K,10,FALSE)</f>
        <v>0</v>
      </c>
      <c r="K379" s="82">
        <f>VLOOKUP(B379,Data!B:L,11,FALSE)</f>
        <v>0</v>
      </c>
    </row>
    <row r="380" spans="1:11" hidden="1" x14ac:dyDescent="0.2">
      <c r="A380" s="82" t="s">
        <v>1247</v>
      </c>
      <c r="B380" s="82" t="s">
        <v>742</v>
      </c>
      <c r="C380" s="82" t="s">
        <v>741</v>
      </c>
      <c r="D380" s="83">
        <v>13.345068793259999</v>
      </c>
      <c r="E380" s="68">
        <v>0.15758326380099999</v>
      </c>
      <c r="F380" s="68">
        <v>13.187485529459</v>
      </c>
      <c r="G380" s="68">
        <v>-17.062899751614999</v>
      </c>
      <c r="H380" s="68">
        <v>12.198424114749574</v>
      </c>
      <c r="I380" s="81">
        <v>0.5</v>
      </c>
      <c r="J380" s="82">
        <f>VLOOKUP(B380,Data!B:K,10,FALSE)</f>
        <v>0</v>
      </c>
      <c r="K380" s="82">
        <f>VLOOKUP(B380,Data!B:L,11,FALSE)</f>
        <v>0</v>
      </c>
    </row>
    <row r="381" spans="1:11" x14ac:dyDescent="0.2">
      <c r="A381" s="82" t="s">
        <v>1248</v>
      </c>
      <c r="B381" s="82" t="s">
        <v>744</v>
      </c>
      <c r="C381" s="82" t="s">
        <v>743</v>
      </c>
      <c r="D381" s="83">
        <v>112.797539791435</v>
      </c>
      <c r="E381" s="68">
        <v>38.392214832636995</v>
      </c>
      <c r="F381" s="68">
        <v>74.405324958798005</v>
      </c>
      <c r="G381" s="68">
        <v>39.416457917288</v>
      </c>
      <c r="H381" s="68">
        <v>68.82492558688817</v>
      </c>
      <c r="I381" s="81">
        <v>0</v>
      </c>
      <c r="J381" s="82">
        <f>VLOOKUP(B381,Data!B:K,10,FALSE)</f>
        <v>0</v>
      </c>
      <c r="K381" s="82" t="str">
        <f>VLOOKUP(B381,Data!B:L,11,FALSE)</f>
        <v>Pilot</v>
      </c>
    </row>
    <row r="382" spans="1:11" hidden="1" x14ac:dyDescent="0.2">
      <c r="A382" s="82" t="s">
        <v>1249</v>
      </c>
      <c r="B382" s="82" t="s">
        <v>746</v>
      </c>
      <c r="C382" s="82" t="s">
        <v>745</v>
      </c>
      <c r="D382" s="83">
        <v>3.0953512914469998</v>
      </c>
      <c r="E382" s="68">
        <v>0.65312548619800004</v>
      </c>
      <c r="F382" s="68">
        <v>2.442225805249</v>
      </c>
      <c r="G382" s="68">
        <v>-12.505512446108</v>
      </c>
      <c r="H382" s="68">
        <v>2.2590588698553251</v>
      </c>
      <c r="I382" s="81">
        <v>0.5</v>
      </c>
      <c r="J382" s="82" t="str">
        <f>VLOOKUP(B382,Data!B:K,10,FALSE)</f>
        <v>Worcestershire Business Rates Pool</v>
      </c>
      <c r="K382" s="82">
        <f>VLOOKUP(B382,Data!B:L,11,FALSE)</f>
        <v>0</v>
      </c>
    </row>
    <row r="383" spans="1:11" hidden="1" x14ac:dyDescent="0.2">
      <c r="A383" s="82" t="s">
        <v>1250</v>
      </c>
      <c r="B383" s="82" t="s">
        <v>149</v>
      </c>
      <c r="C383" s="82" t="s">
        <v>816</v>
      </c>
      <c r="D383" s="83">
        <v>79.186944929033999</v>
      </c>
      <c r="E383" s="68">
        <v>19.897084802122002</v>
      </c>
      <c r="F383" s="68">
        <v>59.289860126911996</v>
      </c>
      <c r="G383" s="68">
        <v>43.810748819597997</v>
      </c>
      <c r="H383" s="68">
        <v>54.843120617393595</v>
      </c>
      <c r="I383" s="81">
        <v>0</v>
      </c>
      <c r="J383" s="82" t="str">
        <f>VLOOKUP(B383,Data!B:K,10,FALSE)</f>
        <v>Worcestershire Business Rates Pool</v>
      </c>
      <c r="K383" s="82">
        <f>VLOOKUP(B383,Data!B:L,11,FALSE)</f>
        <v>0</v>
      </c>
    </row>
    <row r="384" spans="1:11" hidden="1" x14ac:dyDescent="0.2">
      <c r="A384" s="82" t="s">
        <v>1251</v>
      </c>
      <c r="B384" s="82" t="s">
        <v>748</v>
      </c>
      <c r="C384" s="82" t="s">
        <v>747</v>
      </c>
      <c r="D384" s="83">
        <v>2.9674120605429999</v>
      </c>
      <c r="E384" s="68">
        <v>0.45292404153300003</v>
      </c>
      <c r="F384" s="68">
        <v>2.5144880190099999</v>
      </c>
      <c r="G384" s="68">
        <v>-9.5402779865749991</v>
      </c>
      <c r="H384" s="68">
        <v>2.3259014175842503</v>
      </c>
      <c r="I384" s="81">
        <v>0.5</v>
      </c>
      <c r="J384" s="82" t="str">
        <f>VLOOKUP(B384,Data!B:K,10,FALSE)</f>
        <v>West Sussex Business Rates Pool</v>
      </c>
      <c r="K384" s="82">
        <f>VLOOKUP(B384,Data!B:L,11,FALSE)</f>
        <v>0</v>
      </c>
    </row>
    <row r="385" spans="1:11" hidden="1" x14ac:dyDescent="0.2">
      <c r="A385" s="82" t="s">
        <v>1252</v>
      </c>
      <c r="B385" s="82" t="s">
        <v>750</v>
      </c>
      <c r="C385" s="82" t="s">
        <v>749</v>
      </c>
      <c r="D385" s="83">
        <v>3.0435078720679996</v>
      </c>
      <c r="E385" s="68">
        <v>0.56665339525399994</v>
      </c>
      <c r="F385" s="68">
        <v>2.4768544768139997</v>
      </c>
      <c r="G385" s="68">
        <v>-12.578489281765</v>
      </c>
      <c r="H385" s="68">
        <v>2.2910903910529501</v>
      </c>
      <c r="I385" s="81">
        <v>0.5</v>
      </c>
      <c r="J385" s="82" t="str">
        <f>VLOOKUP(B385,Data!B:K,10,FALSE)</f>
        <v>Worcestershire Business Rates Pool</v>
      </c>
      <c r="K385" s="82">
        <f>VLOOKUP(B385,Data!B:L,11,FALSE)</f>
        <v>0</v>
      </c>
    </row>
    <row r="386" spans="1:11" hidden="1" x14ac:dyDescent="0.2">
      <c r="A386" s="82" t="s">
        <v>1253</v>
      </c>
      <c r="B386" s="82" t="s">
        <v>752</v>
      </c>
      <c r="C386" s="82" t="s">
        <v>751</v>
      </c>
      <c r="D386" s="83">
        <v>3.7600494077809996</v>
      </c>
      <c r="E386" s="68">
        <v>0.63512180934999996</v>
      </c>
      <c r="F386" s="68">
        <v>3.1249275984309999</v>
      </c>
      <c r="G386" s="68">
        <v>-23.626155444378</v>
      </c>
      <c r="H386" s="68">
        <v>2.8905580285486749</v>
      </c>
      <c r="I386" s="81">
        <v>0.5</v>
      </c>
      <c r="J386" s="82">
        <f>VLOOKUP(B386,Data!B:K,10,FALSE)</f>
        <v>0</v>
      </c>
      <c r="K386" s="82">
        <f>VLOOKUP(B386,Data!B:L,11,FALSE)</f>
        <v>0</v>
      </c>
    </row>
    <row r="387" spans="1:11" hidden="1" x14ac:dyDescent="0.2">
      <c r="A387" s="82" t="s">
        <v>1254</v>
      </c>
      <c r="B387" s="82" t="s">
        <v>754</v>
      </c>
      <c r="C387" s="82" t="s">
        <v>753</v>
      </c>
      <c r="D387" s="83">
        <v>4.0960002810800002</v>
      </c>
      <c r="E387" s="68">
        <v>0.9121987601449999</v>
      </c>
      <c r="F387" s="68">
        <v>3.1838015209349999</v>
      </c>
      <c r="G387" s="68">
        <v>-6.4063661449659994</v>
      </c>
      <c r="H387" s="68">
        <v>2.945016406864875</v>
      </c>
      <c r="I387" s="81">
        <v>0.5</v>
      </c>
      <c r="J387" s="82" t="str">
        <f>VLOOKUP(B387,Data!B:K,10,FALSE)</f>
        <v>Lancashire Business Rates Pool</v>
      </c>
      <c r="K387" s="82">
        <f>VLOOKUP(B387,Data!B:L,11,FALSE)</f>
        <v>0</v>
      </c>
    </row>
    <row r="388" spans="1:11" hidden="1" x14ac:dyDescent="0.2">
      <c r="A388" s="82" t="s">
        <v>1255</v>
      </c>
      <c r="B388" s="82" t="s">
        <v>756</v>
      </c>
      <c r="C388" s="82" t="s">
        <v>755</v>
      </c>
      <c r="D388" s="83">
        <v>3.1654009403219998</v>
      </c>
      <c r="E388" s="68">
        <v>0.51021764282600002</v>
      </c>
      <c r="F388" s="68">
        <v>2.6551832974959999</v>
      </c>
      <c r="G388" s="68">
        <v>-7.9253363711519995</v>
      </c>
      <c r="H388" s="68">
        <v>2.4560445501838002</v>
      </c>
      <c r="I388" s="81">
        <v>0.5</v>
      </c>
      <c r="J388" s="82" t="str">
        <f>VLOOKUP(B388,Data!B:K,10,FALSE)</f>
        <v>Worcestershire Business Rates Pool</v>
      </c>
      <c r="K388" s="82">
        <f>VLOOKUP(B388,Data!B:L,11,FALSE)</f>
        <v>0</v>
      </c>
    </row>
    <row r="389" spans="1:11" hidden="1" x14ac:dyDescent="0.2">
      <c r="A389" s="82" t="s">
        <v>1256</v>
      </c>
      <c r="B389" s="82" t="s">
        <v>758</v>
      </c>
      <c r="C389" s="82" t="s">
        <v>757</v>
      </c>
      <c r="D389" s="83">
        <v>33.378419033061</v>
      </c>
      <c r="E389" s="68">
        <v>8.5795396228100014</v>
      </c>
      <c r="F389" s="68">
        <v>24.798879410251001</v>
      </c>
      <c r="G389" s="68">
        <v>-20.378560748404997</v>
      </c>
      <c r="H389" s="68">
        <v>22.938963454482174</v>
      </c>
      <c r="I389" s="81">
        <v>0.44804887119890724</v>
      </c>
      <c r="J389" s="82" t="str">
        <f>VLOOKUP(B389,Data!B:K,10,FALSE)</f>
        <v>Leeds City Region Business Rates Pool</v>
      </c>
      <c r="K389" s="82">
        <f>VLOOKUP(B389,Data!B:L,11,FALSE)</f>
        <v>0</v>
      </c>
    </row>
    <row r="391" spans="1:11" x14ac:dyDescent="0.2">
      <c r="B391" s="82"/>
      <c r="D391" s="71"/>
    </row>
    <row r="392" spans="1:11" x14ac:dyDescent="0.2">
      <c r="B392" s="82"/>
    </row>
    <row r="393" spans="1:11" x14ac:dyDescent="0.2">
      <c r="B393" s="82"/>
    </row>
    <row r="394" spans="1:11" x14ac:dyDescent="0.2">
      <c r="B394" s="82"/>
    </row>
    <row r="395" spans="1:11" x14ac:dyDescent="0.2">
      <c r="B395" s="82"/>
    </row>
    <row r="396" spans="1:11" x14ac:dyDescent="0.2">
      <c r="B396" s="82"/>
    </row>
    <row r="397" spans="1:11" x14ac:dyDescent="0.2">
      <c r="B397" s="82"/>
    </row>
    <row r="398" spans="1:11" x14ac:dyDescent="0.2">
      <c r="B398" s="82"/>
    </row>
    <row r="399" spans="1:11" x14ac:dyDescent="0.2">
      <c r="B399" s="82"/>
    </row>
    <row r="400" spans="1:11" x14ac:dyDescent="0.2">
      <c r="B400" s="82"/>
    </row>
    <row r="401" spans="2:2" x14ac:dyDescent="0.2">
      <c r="B401" s="82"/>
    </row>
    <row r="402" spans="2:2" x14ac:dyDescent="0.2">
      <c r="B402" s="82"/>
    </row>
    <row r="403" spans="2:2" x14ac:dyDescent="0.2">
      <c r="B403" s="82"/>
    </row>
    <row r="404" spans="2:2" x14ac:dyDescent="0.2">
      <c r="B404" s="82"/>
    </row>
    <row r="405" spans="2:2" x14ac:dyDescent="0.2">
      <c r="B405" s="82"/>
    </row>
    <row r="406" spans="2:2" x14ac:dyDescent="0.2">
      <c r="B406" s="82"/>
    </row>
    <row r="407" spans="2:2" x14ac:dyDescent="0.2">
      <c r="B407" s="82"/>
    </row>
    <row r="408" spans="2:2" x14ac:dyDescent="0.2">
      <c r="B408" s="82"/>
    </row>
    <row r="409" spans="2:2" x14ac:dyDescent="0.2">
      <c r="B409" s="82"/>
    </row>
    <row r="410" spans="2:2" x14ac:dyDescent="0.2">
      <c r="B410" s="82"/>
    </row>
    <row r="411" spans="2:2" x14ac:dyDescent="0.2">
      <c r="B411" s="82"/>
    </row>
    <row r="412" spans="2:2" x14ac:dyDescent="0.2">
      <c r="B412" s="82"/>
    </row>
    <row r="413" spans="2:2" x14ac:dyDescent="0.2">
      <c r="B413" s="82"/>
    </row>
    <row r="414" spans="2:2" x14ac:dyDescent="0.2">
      <c r="B414" s="82"/>
    </row>
    <row r="415" spans="2:2" x14ac:dyDescent="0.2">
      <c r="B415" s="82"/>
    </row>
    <row r="416" spans="2:2" x14ac:dyDescent="0.2">
      <c r="B416" s="82"/>
    </row>
    <row r="417" spans="2:2" x14ac:dyDescent="0.2">
      <c r="B417" s="82"/>
    </row>
  </sheetData>
  <autoFilter ref="A6:O389">
    <filterColumn colId="10">
      <filters>
        <filter val="Pilot"/>
      </filters>
    </filterColumn>
  </autoFilter>
  <pageMargins left="0.7" right="0.7" top="0.75" bottom="0.75" header="0.3" footer="0.3"/>
  <pageSetup paperSize="8"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1"/>
  <sheetViews>
    <sheetView zoomScale="80" zoomScaleNormal="80" workbookViewId="0">
      <pane xSplit="5" ySplit="4" topLeftCell="F121" activePane="bottomRight" state="frozen"/>
      <selection activeCell="K23" sqref="K23"/>
      <selection pane="topRight" activeCell="K23" sqref="K23"/>
      <selection pane="bottomLeft" activeCell="K23" sqref="K23"/>
      <selection pane="bottomRight" activeCell="K132" sqref="K132"/>
    </sheetView>
  </sheetViews>
  <sheetFormatPr defaultColWidth="9.140625" defaultRowHeight="15" x14ac:dyDescent="0.25"/>
  <cols>
    <col min="1" max="4" width="9.140625" style="122" customWidth="1"/>
    <col min="5" max="5" width="39.5703125" style="122" customWidth="1"/>
    <col min="6" max="6" width="8.7109375" style="152" bestFit="1" customWidth="1"/>
    <col min="7" max="7" width="16.42578125" style="125" bestFit="1" customWidth="1"/>
    <col min="8" max="8" width="15.42578125" style="125" bestFit="1" customWidth="1"/>
    <col min="9" max="9" width="16.42578125" style="125" bestFit="1" customWidth="1"/>
    <col min="10" max="10" width="14.5703125" style="125" bestFit="1" customWidth="1"/>
    <col min="11" max="11" width="12.42578125" style="125" bestFit="1" customWidth="1"/>
    <col min="12" max="12" width="14.5703125" style="125" bestFit="1" customWidth="1"/>
    <col min="13" max="13" width="15.42578125" style="125" bestFit="1" customWidth="1"/>
    <col min="14" max="14" width="9" style="126" bestFit="1" customWidth="1"/>
    <col min="15" max="16384" width="9.140625" style="122"/>
  </cols>
  <sheetData>
    <row r="1" spans="1:15" x14ac:dyDescent="0.25">
      <c r="A1" s="121"/>
      <c r="E1" s="123" t="s">
        <v>1267</v>
      </c>
      <c r="F1" s="124"/>
    </row>
    <row r="2" spans="1:15" ht="15.75" thickBot="1" x14ac:dyDescent="0.3">
      <c r="E2" s="121" t="s">
        <v>1268</v>
      </c>
      <c r="F2" s="124"/>
      <c r="G2" s="127"/>
      <c r="H2" s="127"/>
      <c r="I2" s="127"/>
      <c r="J2" s="127"/>
      <c r="K2" s="127"/>
      <c r="L2" s="127"/>
      <c r="M2" s="127"/>
      <c r="N2" s="128"/>
    </row>
    <row r="3" spans="1:15" x14ac:dyDescent="0.25">
      <c r="A3" s="129"/>
      <c r="B3" s="129"/>
      <c r="C3" s="129"/>
      <c r="D3" s="129"/>
      <c r="E3" s="130"/>
      <c r="F3" s="131"/>
      <c r="G3" s="234" t="s">
        <v>1269</v>
      </c>
      <c r="H3" s="235"/>
      <c r="I3" s="235"/>
      <c r="J3" s="235"/>
      <c r="K3" s="235"/>
      <c r="L3" s="235"/>
      <c r="M3" s="235"/>
      <c r="N3" s="132"/>
    </row>
    <row r="4" spans="1:15" ht="61.5" customHeight="1" thickBot="1" x14ac:dyDescent="0.3">
      <c r="A4" s="133" t="s">
        <v>822</v>
      </c>
      <c r="B4" s="133" t="s">
        <v>1270</v>
      </c>
      <c r="C4" s="133" t="s">
        <v>1271</v>
      </c>
      <c r="D4" s="134" t="s">
        <v>1272</v>
      </c>
      <c r="E4" s="135" t="s">
        <v>25</v>
      </c>
      <c r="F4" s="136" t="s">
        <v>1263</v>
      </c>
      <c r="G4" s="137" t="s">
        <v>823</v>
      </c>
      <c r="H4" s="137" t="s">
        <v>824</v>
      </c>
      <c r="I4" s="137" t="s">
        <v>825</v>
      </c>
      <c r="J4" s="138" t="s">
        <v>1273</v>
      </c>
      <c r="K4" s="138" t="s">
        <v>1274</v>
      </c>
      <c r="L4" s="138" t="s">
        <v>1275</v>
      </c>
      <c r="M4" s="138" t="s">
        <v>1276</v>
      </c>
      <c r="N4" s="139" t="s">
        <v>1277</v>
      </c>
      <c r="O4" s="122" t="s">
        <v>1265</v>
      </c>
    </row>
    <row r="5" spans="1:15" x14ac:dyDescent="0.25">
      <c r="A5" s="140"/>
      <c r="B5" s="140"/>
      <c r="C5" s="140"/>
      <c r="D5" s="140"/>
      <c r="E5" s="141"/>
      <c r="F5" s="142"/>
      <c r="G5" s="143"/>
      <c r="H5" s="143"/>
      <c r="I5" s="143"/>
      <c r="J5" s="143"/>
      <c r="K5" s="143"/>
      <c r="L5" s="143"/>
      <c r="M5" s="143"/>
      <c r="N5" s="144"/>
    </row>
    <row r="6" spans="1:15" x14ac:dyDescent="0.25">
      <c r="A6" s="140" t="s">
        <v>827</v>
      </c>
      <c r="B6" s="140"/>
      <c r="C6" s="140"/>
      <c r="D6" s="140"/>
      <c r="E6" s="145" t="s">
        <v>828</v>
      </c>
      <c r="F6" s="146"/>
      <c r="G6" s="147">
        <v>16943.063819713134</v>
      </c>
      <c r="H6" s="147">
        <v>1378.990876994168</v>
      </c>
      <c r="I6" s="147">
        <v>15564.072942718964</v>
      </c>
      <c r="J6" s="147"/>
      <c r="K6" s="147"/>
    </row>
    <row r="7" spans="1:15" x14ac:dyDescent="0.25">
      <c r="A7" s="140" t="s">
        <v>829</v>
      </c>
      <c r="B7" s="140" t="s">
        <v>34</v>
      </c>
      <c r="C7" s="140" t="s">
        <v>1278</v>
      </c>
      <c r="D7" s="140">
        <v>0</v>
      </c>
      <c r="E7" s="145" t="s">
        <v>33</v>
      </c>
      <c r="F7" s="146">
        <v>0.4</v>
      </c>
      <c r="G7" s="125">
        <v>1.6998669914752291</v>
      </c>
      <c r="H7" s="125">
        <v>0</v>
      </c>
      <c r="I7" s="125">
        <v>1.6998669914752291</v>
      </c>
      <c r="J7" s="125">
        <v>-4.930584534149407</v>
      </c>
      <c r="K7" s="125">
        <v>-0.14567736011526744</v>
      </c>
      <c r="L7" s="125">
        <v>-5.0762618942646744</v>
      </c>
      <c r="M7" s="125">
        <v>1.5723769671145871</v>
      </c>
      <c r="N7" s="148">
        <v>0.5</v>
      </c>
      <c r="O7" s="122" t="str">
        <f>VLOOKUP(B7,Data!B:K,10,FALSE)</f>
        <v>West Sussex Business Rates Pool</v>
      </c>
    </row>
    <row r="8" spans="1:15" x14ac:dyDescent="0.25">
      <c r="A8" s="140" t="s">
        <v>831</v>
      </c>
      <c r="B8" s="140" t="s">
        <v>39</v>
      </c>
      <c r="C8" s="140" t="s">
        <v>1278</v>
      </c>
      <c r="D8" s="140">
        <v>0</v>
      </c>
      <c r="E8" s="145" t="s">
        <v>38</v>
      </c>
      <c r="F8" s="146">
        <v>0.4</v>
      </c>
      <c r="G8" s="125">
        <v>4.1687747163904634</v>
      </c>
      <c r="H8" s="125">
        <v>0.65236288677438725</v>
      </c>
      <c r="I8" s="125">
        <v>3.516411829616076</v>
      </c>
      <c r="J8" s="125">
        <v>-7.1352185932181227</v>
      </c>
      <c r="K8" s="125">
        <v>3.9269162958106563E-3</v>
      </c>
      <c r="L8" s="125">
        <v>-7.131291676922312</v>
      </c>
      <c r="M8" s="125">
        <v>3.2526809423948704</v>
      </c>
      <c r="N8" s="148">
        <v>0.5</v>
      </c>
      <c r="O8" s="122" t="str">
        <f>VLOOKUP(B8,Data!B:K,10,FALSE)</f>
        <v>Cumbria Business Rates Pool</v>
      </c>
    </row>
    <row r="9" spans="1:15" x14ac:dyDescent="0.25">
      <c r="A9" s="140" t="s">
        <v>832</v>
      </c>
      <c r="B9" s="140" t="s">
        <v>43</v>
      </c>
      <c r="C9" s="140" t="s">
        <v>1278</v>
      </c>
      <c r="D9" s="140" t="s">
        <v>1279</v>
      </c>
      <c r="E9" s="145" t="s">
        <v>42</v>
      </c>
      <c r="F9" s="146">
        <v>0.5</v>
      </c>
      <c r="G9" s="125">
        <v>3.5672971992404525</v>
      </c>
      <c r="H9" s="125">
        <v>0</v>
      </c>
      <c r="I9" s="125">
        <v>3.5672971992404525</v>
      </c>
      <c r="J9" s="125">
        <v>-11.463238677610674</v>
      </c>
      <c r="K9" s="125">
        <v>-4.8595435485941252E-2</v>
      </c>
      <c r="L9" s="125">
        <v>-11.511834113096615</v>
      </c>
      <c r="M9" s="125">
        <v>3.4602782832632388</v>
      </c>
      <c r="N9" s="148">
        <v>0</v>
      </c>
      <c r="O9" s="122" t="str">
        <f>VLOOKUP(B9,Data!B:K,10,FALSE)</f>
        <v>Derbyshire Business Rates Pool</v>
      </c>
    </row>
    <row r="10" spans="1:15" x14ac:dyDescent="0.25">
      <c r="A10" s="140" t="s">
        <v>833</v>
      </c>
      <c r="B10" s="140" t="s">
        <v>47</v>
      </c>
      <c r="C10" s="140" t="s">
        <v>1278</v>
      </c>
      <c r="D10" s="140">
        <v>0</v>
      </c>
      <c r="E10" s="145" t="s">
        <v>46</v>
      </c>
      <c r="F10" s="146">
        <v>0.4</v>
      </c>
      <c r="G10" s="125">
        <v>3.7227570143325699</v>
      </c>
      <c r="H10" s="125">
        <v>0.19375508735884725</v>
      </c>
      <c r="I10" s="125">
        <v>3.5290019269737227</v>
      </c>
      <c r="J10" s="125">
        <v>-8.6984914223374314</v>
      </c>
      <c r="K10" s="125">
        <v>0.24272486804123794</v>
      </c>
      <c r="L10" s="125">
        <v>-8.4557665542961935</v>
      </c>
      <c r="M10" s="125">
        <v>3.2643267824506936</v>
      </c>
      <c r="N10" s="148">
        <v>0.5</v>
      </c>
      <c r="O10" s="122" t="str">
        <f>VLOOKUP(B10,Data!B:K,10,FALSE)</f>
        <v>West Sussex Business Rates Pool</v>
      </c>
    </row>
    <row r="11" spans="1:15" x14ac:dyDescent="0.25">
      <c r="A11" s="140" t="s">
        <v>834</v>
      </c>
      <c r="B11" s="140" t="s">
        <v>49</v>
      </c>
      <c r="C11" s="140" t="s">
        <v>1278</v>
      </c>
      <c r="D11" s="140">
        <v>0</v>
      </c>
      <c r="E11" s="145" t="s">
        <v>48</v>
      </c>
      <c r="F11" s="146">
        <v>0.4</v>
      </c>
      <c r="G11" s="125">
        <v>4.4346194572479849</v>
      </c>
      <c r="H11" s="125">
        <v>0.69733867523623161</v>
      </c>
      <c r="I11" s="125">
        <v>3.7372807820117533</v>
      </c>
      <c r="J11" s="125">
        <v>-9.4133431052899521</v>
      </c>
      <c r="K11" s="125">
        <v>-5.1736714124281491E-2</v>
      </c>
      <c r="L11" s="125">
        <v>-9.4650798194142336</v>
      </c>
      <c r="M11" s="125">
        <v>3.4569847233608719</v>
      </c>
      <c r="N11" s="148">
        <v>0.5</v>
      </c>
      <c r="O11" s="122" t="str">
        <f>VLOOKUP(B11,Data!B:K,10,FALSE)</f>
        <v>Nottingham Business Rates Pool</v>
      </c>
    </row>
    <row r="12" spans="1:15" x14ac:dyDescent="0.25">
      <c r="A12" s="140" t="s">
        <v>836</v>
      </c>
      <c r="B12" s="140" t="s">
        <v>53</v>
      </c>
      <c r="C12" s="140" t="s">
        <v>1278</v>
      </c>
      <c r="D12" s="140" t="s">
        <v>1280</v>
      </c>
      <c r="E12" s="145" t="s">
        <v>52</v>
      </c>
      <c r="F12" s="146">
        <v>0.4</v>
      </c>
      <c r="G12" s="125">
        <v>3.0640164820489244</v>
      </c>
      <c r="H12" s="125">
        <v>0</v>
      </c>
      <c r="I12" s="125">
        <v>3.0640164820489244</v>
      </c>
      <c r="J12" s="125">
        <v>-15.208529426258735</v>
      </c>
      <c r="K12" s="125">
        <v>0.21017298366544068</v>
      </c>
      <c r="L12" s="125">
        <v>-14.998356442593295</v>
      </c>
      <c r="M12" s="125">
        <v>2.9720959875874566</v>
      </c>
      <c r="N12" s="148">
        <v>0</v>
      </c>
      <c r="O12" s="122" t="str">
        <f>VLOOKUP(B12,Data!B:K,10,FALSE)</f>
        <v>Kent Business Rates Pool</v>
      </c>
    </row>
    <row r="13" spans="1:15" x14ac:dyDescent="0.25">
      <c r="A13" s="140" t="s">
        <v>838</v>
      </c>
      <c r="B13" s="140" t="s">
        <v>89</v>
      </c>
      <c r="C13" s="140" t="s">
        <v>1281</v>
      </c>
      <c r="D13" s="140">
        <v>0</v>
      </c>
      <c r="E13" s="145" t="s">
        <v>839</v>
      </c>
      <c r="F13" s="146">
        <v>0.01</v>
      </c>
      <c r="G13" s="125">
        <v>16.162299494568288</v>
      </c>
      <c r="H13" s="125">
        <v>5.6702635142815341</v>
      </c>
      <c r="I13" s="125">
        <v>10.492035980286753</v>
      </c>
      <c r="J13" s="125">
        <v>5.9024360861998826</v>
      </c>
      <c r="K13" s="125">
        <v>-1.7732005212975466E-2</v>
      </c>
      <c r="L13" s="125">
        <v>5.8847040809869071</v>
      </c>
      <c r="M13" s="125">
        <v>9.7051332817652458</v>
      </c>
      <c r="N13" s="148">
        <v>0</v>
      </c>
      <c r="O13" s="122">
        <f>VLOOKUP(B13,Data!B:K,10,FALSE)</f>
        <v>0</v>
      </c>
    </row>
    <row r="14" spans="1:15" x14ac:dyDescent="0.25">
      <c r="A14" s="140" t="s">
        <v>840</v>
      </c>
      <c r="B14" s="140" t="s">
        <v>58</v>
      </c>
      <c r="C14" s="140" t="s">
        <v>1278</v>
      </c>
      <c r="D14" s="140">
        <v>0</v>
      </c>
      <c r="E14" s="145" t="s">
        <v>57</v>
      </c>
      <c r="F14" s="146">
        <v>0.4</v>
      </c>
      <c r="G14" s="125">
        <v>3.8313110779415447</v>
      </c>
      <c r="H14" s="125">
        <v>0</v>
      </c>
      <c r="I14" s="125">
        <v>3.8313110779415447</v>
      </c>
      <c r="J14" s="125">
        <v>-15.967250646067448</v>
      </c>
      <c r="K14" s="125">
        <v>-1.3215690569744254E-2</v>
      </c>
      <c r="L14" s="125">
        <v>-15.980466336637193</v>
      </c>
      <c r="M14" s="125">
        <v>3.5439627470959292</v>
      </c>
      <c r="N14" s="148">
        <v>0.5</v>
      </c>
      <c r="O14" s="122" t="str">
        <f>VLOOKUP(B14,Data!B:K,10,FALSE)</f>
        <v>Buckinghamshire Business Rates Pool</v>
      </c>
    </row>
    <row r="15" spans="1:15" x14ac:dyDescent="0.25">
      <c r="A15" s="140" t="s">
        <v>842</v>
      </c>
      <c r="B15" s="140" t="s">
        <v>63</v>
      </c>
      <c r="C15" s="140" t="s">
        <v>1278</v>
      </c>
      <c r="D15" s="140" t="s">
        <v>1282</v>
      </c>
      <c r="E15" s="145" t="s">
        <v>62</v>
      </c>
      <c r="F15" s="146">
        <v>0.8</v>
      </c>
      <c r="G15" s="125">
        <v>2.4881265574732181</v>
      </c>
      <c r="H15" s="125">
        <v>0</v>
      </c>
      <c r="I15" s="125">
        <v>2.4881265574732181</v>
      </c>
      <c r="J15" s="125">
        <v>-15.468854107114197</v>
      </c>
      <c r="K15" s="125">
        <v>-3.6501419324643791E-3</v>
      </c>
      <c r="L15" s="125">
        <v>-15.472504249046661</v>
      </c>
      <c r="M15" s="125">
        <v>2.4134827607490217</v>
      </c>
      <c r="N15" s="148">
        <v>0</v>
      </c>
      <c r="O15" s="122" t="str">
        <f>VLOOKUP(B15,Data!B:K,10,FALSE)</f>
        <v>Suffolk Business Rates Pool</v>
      </c>
    </row>
    <row r="16" spans="1:15" x14ac:dyDescent="0.25">
      <c r="A16" s="140" t="s">
        <v>843</v>
      </c>
      <c r="B16" s="140" t="s">
        <v>67</v>
      </c>
      <c r="C16" s="140" t="s">
        <v>1283</v>
      </c>
      <c r="D16" s="140" t="s">
        <v>1284</v>
      </c>
      <c r="E16" s="145" t="s">
        <v>66</v>
      </c>
      <c r="F16" s="146">
        <v>0.64</v>
      </c>
      <c r="G16" s="125">
        <v>78.793496220425126</v>
      </c>
      <c r="H16" s="125">
        <v>0</v>
      </c>
      <c r="I16" s="125">
        <v>78.793496220425126</v>
      </c>
      <c r="J16" s="125">
        <v>40.088044343923485</v>
      </c>
      <c r="K16" s="125">
        <v>-0.1647800280218874</v>
      </c>
      <c r="L16" s="125">
        <v>39.923264315901598</v>
      </c>
      <c r="M16" s="125">
        <v>76.429691333812372</v>
      </c>
      <c r="N16" s="148">
        <v>0</v>
      </c>
      <c r="O16" s="122" t="str">
        <f>VLOOKUP(B16,Data!B:K,10,FALSE)</f>
        <v>East London / South Essex Business Rates Pool</v>
      </c>
    </row>
    <row r="17" spans="1:15" x14ac:dyDescent="0.25">
      <c r="A17" s="140" t="s">
        <v>844</v>
      </c>
      <c r="B17" s="140" t="s">
        <v>71</v>
      </c>
      <c r="C17" s="140" t="s">
        <v>1283</v>
      </c>
      <c r="D17" s="140" t="s">
        <v>1284</v>
      </c>
      <c r="E17" s="145" t="s">
        <v>70</v>
      </c>
      <c r="F17" s="146">
        <v>0.64</v>
      </c>
      <c r="G17" s="125">
        <v>71.35938969463632</v>
      </c>
      <c r="H17" s="125">
        <v>0</v>
      </c>
      <c r="I17" s="125">
        <v>71.35938969463632</v>
      </c>
      <c r="J17" s="125">
        <v>-8.6719443972217594</v>
      </c>
      <c r="K17" s="125">
        <v>6.3980150726248297E-2</v>
      </c>
      <c r="L17" s="125">
        <v>-8.6079642464955111</v>
      </c>
      <c r="M17" s="125">
        <v>69.218608003797229</v>
      </c>
      <c r="N17" s="148">
        <v>0</v>
      </c>
      <c r="O17" s="122">
        <f>VLOOKUP(B17,Data!B:K,10,FALSE)</f>
        <v>0</v>
      </c>
    </row>
    <row r="18" spans="1:15" x14ac:dyDescent="0.25">
      <c r="A18" s="140" t="s">
        <v>845</v>
      </c>
      <c r="B18" s="140" t="s">
        <v>73</v>
      </c>
      <c r="C18" s="140" t="s">
        <v>1285</v>
      </c>
      <c r="D18" s="140">
        <v>0</v>
      </c>
      <c r="E18" s="145" t="s">
        <v>72</v>
      </c>
      <c r="F18" s="146">
        <v>0.49</v>
      </c>
      <c r="G18" s="125">
        <v>73.788635666178848</v>
      </c>
      <c r="H18" s="125">
        <v>19.021847368095944</v>
      </c>
      <c r="I18" s="125">
        <v>54.766788298082901</v>
      </c>
      <c r="J18" s="125">
        <v>31.4886174154706</v>
      </c>
      <c r="K18" s="125">
        <v>0.22835690388049201</v>
      </c>
      <c r="L18" s="125">
        <v>31.716974319351092</v>
      </c>
      <c r="M18" s="125">
        <v>50.659279175726688</v>
      </c>
      <c r="N18" s="148">
        <v>0</v>
      </c>
      <c r="O18" s="122">
        <f>VLOOKUP(B18,Data!B:K,10,FALSE)</f>
        <v>0</v>
      </c>
    </row>
    <row r="19" spans="1:15" x14ac:dyDescent="0.25">
      <c r="A19" s="140" t="s">
        <v>846</v>
      </c>
      <c r="B19" s="140" t="s">
        <v>76</v>
      </c>
      <c r="C19" s="140" t="s">
        <v>1278</v>
      </c>
      <c r="D19" s="140">
        <v>0</v>
      </c>
      <c r="E19" s="145" t="s">
        <v>75</v>
      </c>
      <c r="F19" s="146">
        <v>0.4</v>
      </c>
      <c r="G19" s="125">
        <v>4.698712481442648</v>
      </c>
      <c r="H19" s="125">
        <v>1.6883961691344249</v>
      </c>
      <c r="I19" s="125">
        <v>3.0103163123082233</v>
      </c>
      <c r="J19" s="125">
        <v>-4.9740394173311158</v>
      </c>
      <c r="K19" s="125">
        <v>5.3931736080212289E-2</v>
      </c>
      <c r="L19" s="125">
        <v>-4.9201076812509035</v>
      </c>
      <c r="M19" s="125">
        <v>2.7845425888851065</v>
      </c>
      <c r="N19" s="148">
        <v>0.5</v>
      </c>
      <c r="O19" s="122" t="str">
        <f>VLOOKUP(B19,Data!B:K,10,FALSE)</f>
        <v>Cumbria Business Rates Pool</v>
      </c>
    </row>
    <row r="20" spans="1:15" x14ac:dyDescent="0.25">
      <c r="A20" s="140" t="s">
        <v>847</v>
      </c>
      <c r="B20" s="140" t="s">
        <v>78</v>
      </c>
      <c r="C20" s="140" t="s">
        <v>1278</v>
      </c>
      <c r="D20" s="140">
        <v>0</v>
      </c>
      <c r="E20" s="145" t="s">
        <v>77</v>
      </c>
      <c r="F20" s="146">
        <v>0.4</v>
      </c>
      <c r="G20" s="125">
        <v>5.7663962648376028</v>
      </c>
      <c r="H20" s="125">
        <v>0.28201560636289419</v>
      </c>
      <c r="I20" s="125">
        <v>5.4843806584747083</v>
      </c>
      <c r="J20" s="125">
        <v>-24.692454468958495</v>
      </c>
      <c r="K20" s="125">
        <v>0.67669588280468318</v>
      </c>
      <c r="L20" s="125">
        <v>-24.015758586153812</v>
      </c>
      <c r="M20" s="125">
        <v>5.0730521090891054</v>
      </c>
      <c r="N20" s="148">
        <v>0.5</v>
      </c>
      <c r="O20" s="122" t="str">
        <f>VLOOKUP(B20,Data!B:K,10,FALSE)</f>
        <v>East London / South Essex Business Rates Pool</v>
      </c>
    </row>
    <row r="21" spans="1:15" x14ac:dyDescent="0.25">
      <c r="A21" s="140" t="s">
        <v>848</v>
      </c>
      <c r="B21" s="140" t="s">
        <v>82</v>
      </c>
      <c r="C21" s="140" t="s">
        <v>1278</v>
      </c>
      <c r="D21" s="140">
        <v>0</v>
      </c>
      <c r="E21" s="145" t="s">
        <v>849</v>
      </c>
      <c r="F21" s="146">
        <v>0.4</v>
      </c>
      <c r="G21" s="125">
        <v>3.2406683292421508</v>
      </c>
      <c r="H21" s="125">
        <v>0.30470580502972006</v>
      </c>
      <c r="I21" s="125">
        <v>2.9359625242124308</v>
      </c>
      <c r="J21" s="125">
        <v>-26.364580945741888</v>
      </c>
      <c r="K21" s="125">
        <v>-0.13050758323565859</v>
      </c>
      <c r="L21" s="125">
        <v>-26.495088528977547</v>
      </c>
      <c r="M21" s="125">
        <v>2.7157653348964987</v>
      </c>
      <c r="N21" s="148">
        <v>0.5</v>
      </c>
      <c r="O21" s="122">
        <f>VLOOKUP(B21,Data!B:K,10,FALSE)</f>
        <v>0</v>
      </c>
    </row>
    <row r="22" spans="1:15" x14ac:dyDescent="0.25">
      <c r="A22" s="140" t="s">
        <v>850</v>
      </c>
      <c r="B22" s="140" t="s">
        <v>86</v>
      </c>
      <c r="C22" s="140" t="s">
        <v>1278</v>
      </c>
      <c r="D22" s="140">
        <v>0</v>
      </c>
      <c r="E22" s="145" t="s">
        <v>85</v>
      </c>
      <c r="F22" s="146">
        <v>0.4</v>
      </c>
      <c r="G22" s="125">
        <v>4.6357893888569812</v>
      </c>
      <c r="H22" s="125">
        <v>0.73400380107877217</v>
      </c>
      <c r="I22" s="125">
        <v>3.9017855877782091</v>
      </c>
      <c r="J22" s="125">
        <v>-12.314289582253526</v>
      </c>
      <c r="K22" s="125">
        <v>0.43508513808117399</v>
      </c>
      <c r="L22" s="125">
        <v>-11.879204444172352</v>
      </c>
      <c r="M22" s="125">
        <v>3.6091516686948437</v>
      </c>
      <c r="N22" s="148">
        <v>0.5</v>
      </c>
      <c r="O22" s="122" t="str">
        <f>VLOOKUP(B22,Data!B:K,10,FALSE)</f>
        <v>Nottingham Business Rates Pool</v>
      </c>
    </row>
    <row r="23" spans="1:15" x14ac:dyDescent="0.25">
      <c r="A23" s="140" t="s">
        <v>851</v>
      </c>
      <c r="B23" s="140" t="s">
        <v>88</v>
      </c>
      <c r="C23" s="140" t="s">
        <v>1286</v>
      </c>
      <c r="D23" s="140" t="s">
        <v>1287</v>
      </c>
      <c r="E23" s="145" t="s">
        <v>87</v>
      </c>
      <c r="F23" s="146">
        <v>0.94</v>
      </c>
      <c r="G23" s="125">
        <v>27.170502639060334</v>
      </c>
      <c r="H23" s="125">
        <v>0</v>
      </c>
      <c r="I23" s="125">
        <v>27.170502639060334</v>
      </c>
      <c r="J23" s="125">
        <v>-34.19937395662771</v>
      </c>
      <c r="K23" s="125">
        <v>-5.9766850874019894E-2</v>
      </c>
      <c r="L23" s="125">
        <v>-34.25914080750173</v>
      </c>
      <c r="M23" s="125">
        <v>26.355387559888523</v>
      </c>
      <c r="N23" s="148">
        <v>0</v>
      </c>
      <c r="O23" s="122">
        <f>VLOOKUP(B23,Data!B:K,10,FALSE)</f>
        <v>0</v>
      </c>
    </row>
    <row r="24" spans="1:15" x14ac:dyDescent="0.25">
      <c r="A24" s="140" t="s">
        <v>852</v>
      </c>
      <c r="B24" s="140" t="s">
        <v>92</v>
      </c>
      <c r="C24" s="140" t="s">
        <v>1286</v>
      </c>
      <c r="D24" s="140">
        <v>0</v>
      </c>
      <c r="E24" s="145" t="s">
        <v>853</v>
      </c>
      <c r="F24" s="146">
        <v>0.49</v>
      </c>
      <c r="G24" s="125">
        <v>41.116789971870666</v>
      </c>
      <c r="H24" s="125">
        <v>10.201232752392846</v>
      </c>
      <c r="I24" s="125">
        <v>30.915557219477822</v>
      </c>
      <c r="J24" s="125">
        <v>2.3825621642975814</v>
      </c>
      <c r="K24" s="125">
        <v>0.1484537242361883</v>
      </c>
      <c r="L24" s="125">
        <v>2.5310158885337697</v>
      </c>
      <c r="M24" s="125">
        <v>28.596890428016987</v>
      </c>
      <c r="N24" s="148">
        <v>0</v>
      </c>
      <c r="O24" s="122">
        <f>VLOOKUP(B24,Data!B:K,10,FALSE)</f>
        <v>0</v>
      </c>
    </row>
    <row r="25" spans="1:15" x14ac:dyDescent="0.25">
      <c r="A25" s="140" t="s">
        <v>854</v>
      </c>
      <c r="B25" s="140" t="s">
        <v>93</v>
      </c>
      <c r="C25" s="140" t="s">
        <v>1281</v>
      </c>
      <c r="D25" s="140">
        <v>0</v>
      </c>
      <c r="E25" s="145" t="s">
        <v>855</v>
      </c>
      <c r="F25" s="146">
        <v>0.01</v>
      </c>
      <c r="G25" s="125">
        <v>8.5714277793103673</v>
      </c>
      <c r="H25" s="125">
        <v>2.8557097098563129</v>
      </c>
      <c r="I25" s="125">
        <v>5.7157180694540539</v>
      </c>
      <c r="J25" s="125">
        <v>3.6940076092197915</v>
      </c>
      <c r="K25" s="125">
        <v>2.3190338470008065E-2</v>
      </c>
      <c r="L25" s="125">
        <v>3.7171979476897996</v>
      </c>
      <c r="M25" s="125">
        <v>5.2870392142450005</v>
      </c>
      <c r="N25" s="148">
        <v>0</v>
      </c>
      <c r="O25" s="122">
        <f>VLOOKUP(B25,Data!B:K,10,FALSE)</f>
        <v>0</v>
      </c>
    </row>
    <row r="26" spans="1:15" x14ac:dyDescent="0.25">
      <c r="A26" s="140" t="s">
        <v>856</v>
      </c>
      <c r="B26" s="140" t="s">
        <v>122</v>
      </c>
      <c r="C26" s="140" t="s">
        <v>1281</v>
      </c>
      <c r="D26" s="140">
        <v>0</v>
      </c>
      <c r="E26" s="145" t="s">
        <v>762</v>
      </c>
      <c r="F26" s="146">
        <v>0.01</v>
      </c>
      <c r="G26" s="125">
        <v>10.334903632463439</v>
      </c>
      <c r="H26" s="125">
        <v>3.4790947588811889</v>
      </c>
      <c r="I26" s="125">
        <v>6.8558088735822498</v>
      </c>
      <c r="J26" s="125">
        <v>1.877275427616071</v>
      </c>
      <c r="K26" s="125">
        <v>3.512662618698692E-2</v>
      </c>
      <c r="L26" s="125">
        <v>1.9124020538030579</v>
      </c>
      <c r="M26" s="125">
        <v>6.3416232080635817</v>
      </c>
      <c r="N26" s="148">
        <v>0</v>
      </c>
      <c r="O26" s="122">
        <f>VLOOKUP(B26,Data!B:K,10,FALSE)</f>
        <v>0</v>
      </c>
    </row>
    <row r="27" spans="1:15" x14ac:dyDescent="0.25">
      <c r="A27" s="140" t="s">
        <v>857</v>
      </c>
      <c r="B27" s="140" t="s">
        <v>95</v>
      </c>
      <c r="C27" s="140" t="s">
        <v>1283</v>
      </c>
      <c r="D27" s="140" t="s">
        <v>1284</v>
      </c>
      <c r="E27" s="145" t="s">
        <v>94</v>
      </c>
      <c r="F27" s="146">
        <v>0.64</v>
      </c>
      <c r="G27" s="125">
        <v>43.782905633540928</v>
      </c>
      <c r="H27" s="125">
        <v>0</v>
      </c>
      <c r="I27" s="125">
        <v>43.782905633540928</v>
      </c>
      <c r="J27" s="125">
        <v>3.0322873093917444</v>
      </c>
      <c r="K27" s="125">
        <v>-4.4544226426817435E-2</v>
      </c>
      <c r="L27" s="125">
        <v>2.987743082964927</v>
      </c>
      <c r="M27" s="125">
        <v>42.469418464534698</v>
      </c>
      <c r="N27" s="148">
        <v>0</v>
      </c>
      <c r="O27" s="122">
        <f>VLOOKUP(B27,Data!B:K,10,FALSE)</f>
        <v>0</v>
      </c>
    </row>
    <row r="28" spans="1:15" x14ac:dyDescent="0.25">
      <c r="A28" s="140" t="s">
        <v>858</v>
      </c>
      <c r="B28" s="140" t="s">
        <v>97</v>
      </c>
      <c r="C28" s="140" t="s">
        <v>1285</v>
      </c>
      <c r="D28" s="140" t="s">
        <v>1288</v>
      </c>
      <c r="E28" s="145" t="s">
        <v>96</v>
      </c>
      <c r="F28" s="146">
        <v>0.99</v>
      </c>
      <c r="G28" s="125">
        <v>488.56479291148338</v>
      </c>
      <c r="H28" s="125">
        <v>0</v>
      </c>
      <c r="I28" s="125">
        <v>488.56479291148338</v>
      </c>
      <c r="J28" s="125">
        <v>89.934850165236895</v>
      </c>
      <c r="K28" s="125">
        <v>1.8090977130236041</v>
      </c>
      <c r="L28" s="125">
        <v>91.743947878260499</v>
      </c>
      <c r="M28" s="125">
        <v>473.90784912413886</v>
      </c>
      <c r="N28" s="148">
        <v>0</v>
      </c>
      <c r="O28" s="122" t="str">
        <f>VLOOKUP(B28,Data!B:K,10,FALSE)</f>
        <v>Greater Birmingham &amp; Solihull Business Rates Pool</v>
      </c>
    </row>
    <row r="29" spans="1:15" x14ac:dyDescent="0.25">
      <c r="A29" s="140" t="s">
        <v>860</v>
      </c>
      <c r="B29" s="140" t="s">
        <v>100</v>
      </c>
      <c r="C29" s="140" t="s">
        <v>1278</v>
      </c>
      <c r="D29" s="140">
        <v>0</v>
      </c>
      <c r="E29" s="145" t="s">
        <v>99</v>
      </c>
      <c r="F29" s="146">
        <v>0.4</v>
      </c>
      <c r="G29" s="125">
        <v>2.3124340398667043</v>
      </c>
      <c r="H29" s="125">
        <v>0.16711419893111287</v>
      </c>
      <c r="I29" s="125">
        <v>2.1453198409355916</v>
      </c>
      <c r="J29" s="125">
        <v>-13.975643115783381</v>
      </c>
      <c r="K29" s="125">
        <v>0.11331904853415864</v>
      </c>
      <c r="L29" s="125">
        <v>-13.862324067249222</v>
      </c>
      <c r="M29" s="125">
        <v>1.9844208528654224</v>
      </c>
      <c r="N29" s="148">
        <v>0.5</v>
      </c>
      <c r="O29" s="122" t="str">
        <f>VLOOKUP(B29,Data!B:K,10,FALSE)</f>
        <v>Leicestershire Business Rates Pool</v>
      </c>
    </row>
    <row r="30" spans="1:15" x14ac:dyDescent="0.25">
      <c r="A30" s="140" t="s">
        <v>861</v>
      </c>
      <c r="B30" s="140" t="s">
        <v>105</v>
      </c>
      <c r="C30" s="140" t="s">
        <v>1286</v>
      </c>
      <c r="D30" s="140">
        <v>0</v>
      </c>
      <c r="E30" s="145" t="s">
        <v>104</v>
      </c>
      <c r="F30" s="146">
        <v>0.49</v>
      </c>
      <c r="G30" s="125">
        <v>60.706294131127819</v>
      </c>
      <c r="H30" s="125">
        <v>17.837022790753945</v>
      </c>
      <c r="I30" s="125">
        <v>42.869271340373871</v>
      </c>
      <c r="J30" s="125">
        <v>23.351109743370422</v>
      </c>
      <c r="K30" s="125">
        <v>0.14824545540584211</v>
      </c>
      <c r="L30" s="125">
        <v>23.499355198776264</v>
      </c>
      <c r="M30" s="125">
        <v>39.654075989845829</v>
      </c>
      <c r="N30" s="148">
        <v>0</v>
      </c>
      <c r="O30" s="122">
        <f>VLOOKUP(B30,Data!B:K,10,FALSE)</f>
        <v>0</v>
      </c>
    </row>
    <row r="31" spans="1:15" x14ac:dyDescent="0.25">
      <c r="A31" s="140" t="s">
        <v>862</v>
      </c>
      <c r="B31" s="140" t="s">
        <v>108</v>
      </c>
      <c r="C31" s="140" t="s">
        <v>1286</v>
      </c>
      <c r="D31" s="140">
        <v>0</v>
      </c>
      <c r="E31" s="145" t="s">
        <v>107</v>
      </c>
      <c r="F31" s="146">
        <v>0.49</v>
      </c>
      <c r="G31" s="125">
        <v>66.158082342964178</v>
      </c>
      <c r="H31" s="125">
        <v>19.69074078292028</v>
      </c>
      <c r="I31" s="125">
        <v>46.467341560043891</v>
      </c>
      <c r="J31" s="125">
        <v>23.536374636930312</v>
      </c>
      <c r="K31" s="125">
        <v>-8.206978522153463E-3</v>
      </c>
      <c r="L31" s="125">
        <v>23.528167658408158</v>
      </c>
      <c r="M31" s="125">
        <v>42.982290943040603</v>
      </c>
      <c r="N31" s="148">
        <v>0</v>
      </c>
      <c r="O31" s="122">
        <f>VLOOKUP(B31,Data!B:K,10,FALSE)</f>
        <v>0</v>
      </c>
    </row>
    <row r="32" spans="1:15" x14ac:dyDescent="0.25">
      <c r="A32" s="140" t="s">
        <v>863</v>
      </c>
      <c r="B32" s="140" t="s">
        <v>110</v>
      </c>
      <c r="C32" s="140" t="s">
        <v>1278</v>
      </c>
      <c r="D32" s="140" t="s">
        <v>1279</v>
      </c>
      <c r="E32" s="145" t="s">
        <v>109</v>
      </c>
      <c r="F32" s="146">
        <v>0.5</v>
      </c>
      <c r="G32" s="125">
        <v>4.3728819298600374</v>
      </c>
      <c r="H32" s="125">
        <v>0</v>
      </c>
      <c r="I32" s="125">
        <v>4.3728819298600374</v>
      </c>
      <c r="J32" s="125">
        <v>-5.9926833295205615</v>
      </c>
      <c r="K32" s="125">
        <v>3.6646141932481058E-2</v>
      </c>
      <c r="L32" s="125">
        <v>-5.9560371875880804</v>
      </c>
      <c r="M32" s="125">
        <v>4.2416954719642366</v>
      </c>
      <c r="N32" s="148">
        <v>0</v>
      </c>
      <c r="O32" s="122" t="str">
        <f>VLOOKUP(B32,Data!B:K,10,FALSE)</f>
        <v>Derbyshire Business Rates Pool</v>
      </c>
    </row>
    <row r="33" spans="1:15" x14ac:dyDescent="0.25">
      <c r="A33" s="140" t="s">
        <v>864</v>
      </c>
      <c r="B33" s="140" t="s">
        <v>112</v>
      </c>
      <c r="C33" s="140" t="s">
        <v>1285</v>
      </c>
      <c r="D33" s="140" t="s">
        <v>1289</v>
      </c>
      <c r="E33" s="145" t="s">
        <v>111</v>
      </c>
      <c r="F33" s="146">
        <v>0.99</v>
      </c>
      <c r="G33" s="125">
        <v>110.35544786464396</v>
      </c>
      <c r="H33" s="125">
        <v>0</v>
      </c>
      <c r="I33" s="125">
        <v>110.35544786464396</v>
      </c>
      <c r="J33" s="125">
        <v>29.793446863616914</v>
      </c>
      <c r="K33" s="125">
        <v>0.48672898242437768</v>
      </c>
      <c r="L33" s="125">
        <v>30.280175846041292</v>
      </c>
      <c r="M33" s="125">
        <v>107.04478442870465</v>
      </c>
      <c r="N33" s="148">
        <v>0</v>
      </c>
      <c r="O33" s="122" t="str">
        <f>VLOOKUP(B33,Data!B:K,10,FALSE)</f>
        <v>Greater Manchester &amp; Cheshire Business Rates Pool</v>
      </c>
    </row>
    <row r="34" spans="1:15" x14ac:dyDescent="0.25">
      <c r="A34" s="140" t="s">
        <v>866</v>
      </c>
      <c r="B34" s="140" t="s">
        <v>115</v>
      </c>
      <c r="C34" s="140" t="s">
        <v>1278</v>
      </c>
      <c r="D34" s="140" t="s">
        <v>1290</v>
      </c>
      <c r="E34" s="145" t="s">
        <v>114</v>
      </c>
      <c r="F34" s="146">
        <v>0.60000000000000009</v>
      </c>
      <c r="G34" s="125">
        <v>3.3582949254251262</v>
      </c>
      <c r="H34" s="125">
        <v>0</v>
      </c>
      <c r="I34" s="125">
        <v>3.3582949254251262</v>
      </c>
      <c r="J34" s="125">
        <v>-7.9592506358862822</v>
      </c>
      <c r="K34" s="125">
        <v>2.932948678885694E-2</v>
      </c>
      <c r="L34" s="125">
        <v>-7.9299211490974253</v>
      </c>
      <c r="M34" s="125">
        <v>3.2575460776623721</v>
      </c>
      <c r="N34" s="148">
        <v>0</v>
      </c>
      <c r="O34" s="122" t="str">
        <f>VLOOKUP(B34,Data!B:K,10,FALSE)</f>
        <v>Lincolnshire Business Rates Pool</v>
      </c>
    </row>
    <row r="35" spans="1:15" x14ac:dyDescent="0.25">
      <c r="A35" s="140" t="s">
        <v>867</v>
      </c>
      <c r="B35" s="140" t="s">
        <v>119</v>
      </c>
      <c r="C35" s="140" t="s">
        <v>1286</v>
      </c>
      <c r="D35" s="140">
        <v>0</v>
      </c>
      <c r="E35" s="145" t="s">
        <v>118</v>
      </c>
      <c r="F35" s="146">
        <v>0.49</v>
      </c>
      <c r="G35" s="125">
        <v>37.825525807306548</v>
      </c>
      <c r="H35" s="125">
        <v>7.4219927143697388</v>
      </c>
      <c r="I35" s="125">
        <v>30.403533092936811</v>
      </c>
      <c r="J35" s="125">
        <v>-1.0317804674723758</v>
      </c>
      <c r="K35" s="125">
        <v>-7.2273235153675897E-2</v>
      </c>
      <c r="L35" s="125">
        <v>-1.1040537026260517</v>
      </c>
      <c r="M35" s="125">
        <v>28.123268110966553</v>
      </c>
      <c r="N35" s="148">
        <v>3.2822329517844029E-2</v>
      </c>
      <c r="O35" s="122">
        <f>VLOOKUP(B35,Data!B:K,10,FALSE)</f>
        <v>0</v>
      </c>
    </row>
    <row r="36" spans="1:15" x14ac:dyDescent="0.25">
      <c r="A36" s="140" t="s">
        <v>869</v>
      </c>
      <c r="B36" s="140" t="s">
        <v>121</v>
      </c>
      <c r="C36" s="140" t="s">
        <v>1286</v>
      </c>
      <c r="D36" s="140" t="s">
        <v>1291</v>
      </c>
      <c r="E36" s="145" t="s">
        <v>120</v>
      </c>
      <c r="F36" s="146">
        <v>0.99</v>
      </c>
      <c r="G36" s="125">
        <v>20.635515423862646</v>
      </c>
      <c r="H36" s="125">
        <v>0</v>
      </c>
      <c r="I36" s="125">
        <v>20.635515423862646</v>
      </c>
      <c r="J36" s="125">
        <v>-30.543757109110338</v>
      </c>
      <c r="K36" s="125">
        <v>2.5833909585362136E-2</v>
      </c>
      <c r="L36" s="125">
        <v>-30.517923199524976</v>
      </c>
      <c r="M36" s="125">
        <v>20.016449961146765</v>
      </c>
      <c r="N36" s="148">
        <v>0</v>
      </c>
      <c r="O36" s="122">
        <f>VLOOKUP(B36,Data!B:K,10,FALSE)</f>
        <v>0</v>
      </c>
    </row>
    <row r="37" spans="1:15" x14ac:dyDescent="0.25">
      <c r="A37" s="140" t="s">
        <v>870</v>
      </c>
      <c r="B37" s="140" t="s">
        <v>124</v>
      </c>
      <c r="C37" s="140" t="s">
        <v>1285</v>
      </c>
      <c r="D37" s="140" t="s">
        <v>1292</v>
      </c>
      <c r="E37" s="145" t="s">
        <v>123</v>
      </c>
      <c r="F37" s="146">
        <v>0.99</v>
      </c>
      <c r="G37" s="125">
        <v>182.49413006278647</v>
      </c>
      <c r="H37" s="125">
        <v>0</v>
      </c>
      <c r="I37" s="125">
        <v>182.49413006278647</v>
      </c>
      <c r="J37" s="125">
        <v>46.453808646400127</v>
      </c>
      <c r="K37" s="125">
        <v>0.16700514874587924</v>
      </c>
      <c r="L37" s="125">
        <v>46.620813795146006</v>
      </c>
      <c r="M37" s="125">
        <v>177.01930616090286</v>
      </c>
      <c r="N37" s="148">
        <v>0</v>
      </c>
      <c r="O37" s="122" t="str">
        <f>VLOOKUP(B37,Data!B:K,10,FALSE)</f>
        <v>Leeds City Region Business Rates Pool</v>
      </c>
    </row>
    <row r="38" spans="1:15" x14ac:dyDescent="0.25">
      <c r="A38" s="140" t="s">
        <v>871</v>
      </c>
      <c r="B38" s="140" t="s">
        <v>128</v>
      </c>
      <c r="C38" s="140" t="s">
        <v>1278</v>
      </c>
      <c r="D38" s="140">
        <v>0</v>
      </c>
      <c r="E38" s="145" t="s">
        <v>127</v>
      </c>
      <c r="F38" s="146">
        <v>0.4</v>
      </c>
      <c r="G38" s="125">
        <v>3.6266406103668274</v>
      </c>
      <c r="H38" s="125">
        <v>0.27248037937706893</v>
      </c>
      <c r="I38" s="125">
        <v>3.3541602309897587</v>
      </c>
      <c r="J38" s="125">
        <v>-12.735653261278044</v>
      </c>
      <c r="K38" s="125">
        <v>-9.6589278468552919E-2</v>
      </c>
      <c r="L38" s="125">
        <v>-12.832242539746597</v>
      </c>
      <c r="M38" s="125">
        <v>3.102598213665527</v>
      </c>
      <c r="N38" s="148">
        <v>0.5</v>
      </c>
      <c r="O38" s="122" t="str">
        <f>VLOOKUP(B38,Data!B:K,10,FALSE)</f>
        <v>Essex Business Rates Pool</v>
      </c>
    </row>
    <row r="39" spans="1:15" x14ac:dyDescent="0.25">
      <c r="A39" s="140" t="s">
        <v>872</v>
      </c>
      <c r="B39" s="140" t="s">
        <v>131</v>
      </c>
      <c r="C39" s="140" t="s">
        <v>1278</v>
      </c>
      <c r="D39" s="140">
        <v>0</v>
      </c>
      <c r="E39" s="145" t="s">
        <v>130</v>
      </c>
      <c r="F39" s="146">
        <v>0.4</v>
      </c>
      <c r="G39" s="125">
        <v>4.8796045537627268</v>
      </c>
      <c r="H39" s="125">
        <v>1.0709503997359908</v>
      </c>
      <c r="I39" s="125">
        <v>3.8086541540267365</v>
      </c>
      <c r="J39" s="125">
        <v>-8.1909980042524957</v>
      </c>
      <c r="K39" s="125">
        <v>2.2747497068623446E-2</v>
      </c>
      <c r="L39" s="125">
        <v>-8.1682505071838722</v>
      </c>
      <c r="M39" s="125">
        <v>3.5230050924747314</v>
      </c>
      <c r="N39" s="148">
        <v>0.5</v>
      </c>
      <c r="O39" s="122" t="str">
        <f>VLOOKUP(B39,Data!B:K,10,FALSE)</f>
        <v>Norfolk Business Rates Pool</v>
      </c>
    </row>
    <row r="40" spans="1:15" x14ac:dyDescent="0.25">
      <c r="A40" s="140" t="s">
        <v>873</v>
      </c>
      <c r="B40" s="140" t="s">
        <v>135</v>
      </c>
      <c r="C40" s="140" t="s">
        <v>1283</v>
      </c>
      <c r="D40" s="140" t="s">
        <v>1284</v>
      </c>
      <c r="E40" s="145" t="s">
        <v>134</v>
      </c>
      <c r="F40" s="146">
        <v>0.64</v>
      </c>
      <c r="G40" s="125">
        <v>118.66124063295162</v>
      </c>
      <c r="H40" s="125">
        <v>0</v>
      </c>
      <c r="I40" s="125">
        <v>118.66124063295162</v>
      </c>
      <c r="J40" s="125">
        <v>46.189010012016638</v>
      </c>
      <c r="K40" s="125">
        <v>4.8539335014353924E-2</v>
      </c>
      <c r="L40" s="125">
        <v>46.237549347030992</v>
      </c>
      <c r="M40" s="125">
        <v>115.10140341396307</v>
      </c>
      <c r="N40" s="148">
        <v>0</v>
      </c>
      <c r="O40" s="122">
        <f>VLOOKUP(B40,Data!B:K,10,FALSE)</f>
        <v>0</v>
      </c>
    </row>
    <row r="41" spans="1:15" x14ac:dyDescent="0.25">
      <c r="A41" s="140" t="s">
        <v>874</v>
      </c>
      <c r="B41" s="140" t="s">
        <v>137</v>
      </c>
      <c r="C41" s="140" t="s">
        <v>1278</v>
      </c>
      <c r="D41" s="140">
        <v>0</v>
      </c>
      <c r="E41" s="145" t="s">
        <v>136</v>
      </c>
      <c r="F41" s="146">
        <v>0.4</v>
      </c>
      <c r="G41" s="125">
        <v>1.5960627520210626</v>
      </c>
      <c r="H41" s="125">
        <v>0</v>
      </c>
      <c r="I41" s="125">
        <v>1.5960627520210626</v>
      </c>
      <c r="J41" s="125">
        <v>-9.7495387781497236</v>
      </c>
      <c r="K41" s="125">
        <v>4.2393690920627947E-2</v>
      </c>
      <c r="L41" s="125">
        <v>-9.7071450872290956</v>
      </c>
      <c r="M41" s="125">
        <v>1.4763580456194829</v>
      </c>
      <c r="N41" s="148">
        <v>0.5</v>
      </c>
      <c r="O41" s="122" t="str">
        <f>VLOOKUP(B41,Data!B:K,10,FALSE)</f>
        <v>Essex Business Rates Pool</v>
      </c>
    </row>
    <row r="42" spans="1:15" x14ac:dyDescent="0.25">
      <c r="A42" s="140" t="s">
        <v>875</v>
      </c>
      <c r="B42" s="140" t="s">
        <v>139</v>
      </c>
      <c r="C42" s="140" t="s">
        <v>1286</v>
      </c>
      <c r="D42" s="140">
        <v>0</v>
      </c>
      <c r="E42" s="145" t="s">
        <v>138</v>
      </c>
      <c r="F42" s="146">
        <v>0.49</v>
      </c>
      <c r="G42" s="125">
        <v>71.027129931853153</v>
      </c>
      <c r="H42" s="125">
        <v>14.143561256479931</v>
      </c>
      <c r="I42" s="125">
        <v>56.883568675373219</v>
      </c>
      <c r="J42" s="125">
        <v>-1.1389886595847196</v>
      </c>
      <c r="K42" s="125">
        <v>0.39398865850242804</v>
      </c>
      <c r="L42" s="125">
        <v>-0.74500000108229159</v>
      </c>
      <c r="M42" s="125">
        <v>52.617301024720227</v>
      </c>
      <c r="N42" s="148">
        <v>1.9630105399916165E-2</v>
      </c>
      <c r="O42" s="122">
        <f>VLOOKUP(B42,Data!B:K,10,FALSE)</f>
        <v>0</v>
      </c>
    </row>
    <row r="43" spans="1:15" x14ac:dyDescent="0.25">
      <c r="A43" s="140" t="s">
        <v>876</v>
      </c>
      <c r="B43" s="140" t="s">
        <v>142</v>
      </c>
      <c r="C43" s="140" t="s">
        <v>1286</v>
      </c>
      <c r="D43" s="140" t="s">
        <v>1287</v>
      </c>
      <c r="E43" s="145" t="s">
        <v>141</v>
      </c>
      <c r="F43" s="146">
        <v>0.94</v>
      </c>
      <c r="G43" s="125">
        <v>127.76395937449765</v>
      </c>
      <c r="H43" s="125">
        <v>0</v>
      </c>
      <c r="I43" s="125">
        <v>127.76395937449765</v>
      </c>
      <c r="J43" s="125">
        <v>-68.625189618713975</v>
      </c>
      <c r="K43" s="125">
        <v>-0.10854754382205556</v>
      </c>
      <c r="L43" s="125">
        <v>-68.73373716253603</v>
      </c>
      <c r="M43" s="125">
        <v>123.93104059326271</v>
      </c>
      <c r="N43" s="148">
        <v>0</v>
      </c>
      <c r="O43" s="122">
        <f>VLOOKUP(B43,Data!B:K,10,FALSE)</f>
        <v>0</v>
      </c>
    </row>
    <row r="44" spans="1:15" x14ac:dyDescent="0.25">
      <c r="A44" s="140" t="s">
        <v>877</v>
      </c>
      <c r="B44" s="140" t="s">
        <v>144</v>
      </c>
      <c r="C44" s="140" t="s">
        <v>1278</v>
      </c>
      <c r="D44" s="140">
        <v>0</v>
      </c>
      <c r="E44" s="145" t="s">
        <v>143</v>
      </c>
      <c r="F44" s="146">
        <v>0.4</v>
      </c>
      <c r="G44" s="125">
        <v>3.204297543434028</v>
      </c>
      <c r="H44" s="125">
        <v>0.43823843993329814</v>
      </c>
      <c r="I44" s="125">
        <v>2.76605910350073</v>
      </c>
      <c r="J44" s="125">
        <v>-8.6533985114658325</v>
      </c>
      <c r="K44" s="125">
        <v>7.0353989805418848E-2</v>
      </c>
      <c r="L44" s="125">
        <v>-8.5830445216604137</v>
      </c>
      <c r="M44" s="125">
        <v>2.5586046707381755</v>
      </c>
      <c r="N44" s="148">
        <v>0.5</v>
      </c>
      <c r="O44" s="122" t="str">
        <f>VLOOKUP(B44,Data!B:K,10,FALSE)</f>
        <v>Norfolk Business Rates Pool</v>
      </c>
    </row>
    <row r="45" spans="1:15" x14ac:dyDescent="0.25">
      <c r="A45" s="140" t="s">
        <v>878</v>
      </c>
      <c r="B45" s="140" t="s">
        <v>146</v>
      </c>
      <c r="C45" s="140" t="s">
        <v>1283</v>
      </c>
      <c r="D45" s="140" t="s">
        <v>1284</v>
      </c>
      <c r="E45" s="145" t="s">
        <v>145</v>
      </c>
      <c r="F45" s="146">
        <v>0.64</v>
      </c>
      <c r="G45" s="125">
        <v>41.353465591848121</v>
      </c>
      <c r="H45" s="125">
        <v>0</v>
      </c>
      <c r="I45" s="125">
        <v>41.353465591848121</v>
      </c>
      <c r="J45" s="125">
        <v>-17.670911542054178</v>
      </c>
      <c r="K45" s="125">
        <v>0.23835499823047002</v>
      </c>
      <c r="L45" s="125">
        <v>-17.432556543823708</v>
      </c>
      <c r="M45" s="125">
        <v>40.112861624092673</v>
      </c>
      <c r="N45" s="148">
        <v>0</v>
      </c>
      <c r="O45" s="122">
        <f>VLOOKUP(B45,Data!B:K,10,FALSE)</f>
        <v>0</v>
      </c>
    </row>
    <row r="46" spans="1:15" x14ac:dyDescent="0.25">
      <c r="A46" s="140" t="s">
        <v>879</v>
      </c>
      <c r="B46" s="140" t="s">
        <v>148</v>
      </c>
      <c r="C46" s="140" t="s">
        <v>1278</v>
      </c>
      <c r="D46" s="140">
        <v>0</v>
      </c>
      <c r="E46" s="145" t="s">
        <v>147</v>
      </c>
      <c r="F46" s="146">
        <v>0.4</v>
      </c>
      <c r="G46" s="125">
        <v>1.6796864441007058</v>
      </c>
      <c r="H46" s="125">
        <v>0</v>
      </c>
      <c r="I46" s="125">
        <v>1.6796864441007058</v>
      </c>
      <c r="J46" s="125">
        <v>-7.948622597029531</v>
      </c>
      <c r="K46" s="125">
        <v>-7.7148093894021663E-2</v>
      </c>
      <c r="L46" s="125">
        <v>-8.0257706909235527</v>
      </c>
      <c r="M46" s="125">
        <v>1.5537099607931528</v>
      </c>
      <c r="N46" s="148">
        <v>0.5</v>
      </c>
      <c r="O46" s="122" t="str">
        <f>VLOOKUP(B46,Data!B:K,10,FALSE)</f>
        <v>Greater Birmingham &amp; Solihull Business Rates Pool</v>
      </c>
    </row>
    <row r="47" spans="1:15" x14ac:dyDescent="0.25">
      <c r="A47" s="140" t="s">
        <v>880</v>
      </c>
      <c r="B47" s="140" t="s">
        <v>152</v>
      </c>
      <c r="C47" s="140" t="s">
        <v>1278</v>
      </c>
      <c r="D47" s="140">
        <v>0</v>
      </c>
      <c r="E47" s="145" t="s">
        <v>151</v>
      </c>
      <c r="F47" s="146">
        <v>0.4</v>
      </c>
      <c r="G47" s="125">
        <v>2.6460523397741884</v>
      </c>
      <c r="H47" s="125">
        <v>0.38156625089785412</v>
      </c>
      <c r="I47" s="125">
        <v>2.2644860888763345</v>
      </c>
      <c r="J47" s="125">
        <v>-13.094006331296354</v>
      </c>
      <c r="K47" s="125">
        <v>-0.30905052897838559</v>
      </c>
      <c r="L47" s="125">
        <v>-13.40305686027474</v>
      </c>
      <c r="M47" s="125">
        <v>2.0946496322106096</v>
      </c>
      <c r="N47" s="148">
        <v>0.5</v>
      </c>
      <c r="O47" s="122">
        <f>VLOOKUP(B47,Data!B:K,10,FALSE)</f>
        <v>0</v>
      </c>
    </row>
    <row r="48" spans="1:15" x14ac:dyDescent="0.25">
      <c r="A48" s="140" t="s">
        <v>881</v>
      </c>
      <c r="B48" s="140" t="s">
        <v>155</v>
      </c>
      <c r="C48" s="140" t="s">
        <v>1278</v>
      </c>
      <c r="D48" s="140">
        <v>0</v>
      </c>
      <c r="E48" s="145" t="s">
        <v>154</v>
      </c>
      <c r="F48" s="146">
        <v>0.4</v>
      </c>
      <c r="G48" s="125">
        <v>3.2099404819580619</v>
      </c>
      <c r="H48" s="125">
        <v>0.42278887423585726</v>
      </c>
      <c r="I48" s="125">
        <v>2.7871516077222047</v>
      </c>
      <c r="J48" s="125">
        <v>-7.7132458029915156</v>
      </c>
      <c r="K48" s="125">
        <v>-0.19831068922087969</v>
      </c>
      <c r="L48" s="125">
        <v>-7.9115564922123953</v>
      </c>
      <c r="M48" s="125">
        <v>2.5781152371430394</v>
      </c>
      <c r="N48" s="148">
        <v>0.5</v>
      </c>
      <c r="O48" s="122" t="str">
        <f>VLOOKUP(B48,Data!B:K,10,FALSE)</f>
        <v>Nottingham Business Rates Pool</v>
      </c>
    </row>
    <row r="49" spans="1:15" x14ac:dyDescent="0.25">
      <c r="A49" s="140" t="s">
        <v>882</v>
      </c>
      <c r="B49" s="140" t="s">
        <v>59</v>
      </c>
      <c r="C49" s="140" t="s">
        <v>1293</v>
      </c>
      <c r="D49" s="140">
        <v>0</v>
      </c>
      <c r="E49" s="145" t="s">
        <v>791</v>
      </c>
      <c r="F49" s="146">
        <v>0.09</v>
      </c>
      <c r="G49" s="125">
        <v>42.812554644106974</v>
      </c>
      <c r="H49" s="125">
        <v>0</v>
      </c>
      <c r="I49" s="125">
        <v>42.812554644106974</v>
      </c>
      <c r="J49" s="125">
        <v>27.490455299708294</v>
      </c>
      <c r="K49" s="125">
        <v>-1.3287415504336764E-2</v>
      </c>
      <c r="L49" s="125">
        <v>27.477167884203958</v>
      </c>
      <c r="M49" s="125">
        <v>39.601613045798956</v>
      </c>
      <c r="N49" s="148">
        <v>0</v>
      </c>
      <c r="O49" s="122" t="str">
        <f>VLOOKUP(B49,Data!B:K,10,FALSE)</f>
        <v>Buckinghamshire Business Rates Pool</v>
      </c>
    </row>
    <row r="50" spans="1:15" x14ac:dyDescent="0.25">
      <c r="A50" s="140" t="s">
        <v>883</v>
      </c>
      <c r="B50" s="140" t="s">
        <v>60</v>
      </c>
      <c r="C50" s="140" t="s">
        <v>1281</v>
      </c>
      <c r="D50" s="140">
        <v>0</v>
      </c>
      <c r="E50" s="145" t="s">
        <v>884</v>
      </c>
      <c r="F50" s="146">
        <v>0.01</v>
      </c>
      <c r="G50" s="125">
        <v>7.5823056664930881</v>
      </c>
      <c r="H50" s="125">
        <v>2.6326317153413892</v>
      </c>
      <c r="I50" s="125">
        <v>4.9496739511516994</v>
      </c>
      <c r="J50" s="125">
        <v>1.7733259723267822</v>
      </c>
      <c r="K50" s="125">
        <v>-4.534506456384868E-3</v>
      </c>
      <c r="L50" s="125">
        <v>1.7687914658703974</v>
      </c>
      <c r="M50" s="125">
        <v>4.5784484048153224</v>
      </c>
      <c r="N50" s="148">
        <v>0</v>
      </c>
      <c r="O50" s="122" t="str">
        <f>VLOOKUP(B50,Data!B:K,10,FALSE)</f>
        <v>Buckinghamshire Business Rates Pool</v>
      </c>
    </row>
    <row r="51" spans="1:15" x14ac:dyDescent="0.25">
      <c r="A51" s="140" t="s">
        <v>885</v>
      </c>
      <c r="B51" s="140" t="s">
        <v>157</v>
      </c>
      <c r="C51" s="140" t="s">
        <v>1278</v>
      </c>
      <c r="D51" s="140">
        <v>0</v>
      </c>
      <c r="E51" s="145" t="s">
        <v>156</v>
      </c>
      <c r="F51" s="146">
        <v>0.4</v>
      </c>
      <c r="G51" s="125">
        <v>6.329944772438461</v>
      </c>
      <c r="H51" s="125">
        <v>2.227825057553916</v>
      </c>
      <c r="I51" s="125">
        <v>4.1021197148845445</v>
      </c>
      <c r="J51" s="125">
        <v>-5.8133859356933142</v>
      </c>
      <c r="K51" s="125">
        <v>7.8298849420302297E-2</v>
      </c>
      <c r="L51" s="125">
        <v>-5.7350870862730119</v>
      </c>
      <c r="M51" s="125">
        <v>3.7944607362682037</v>
      </c>
      <c r="N51" s="148">
        <v>0.5</v>
      </c>
      <c r="O51" s="122">
        <f>VLOOKUP(B51,Data!B:K,10,FALSE)</f>
        <v>0</v>
      </c>
    </row>
    <row r="52" spans="1:15" x14ac:dyDescent="0.25">
      <c r="A52" s="140" t="s">
        <v>886</v>
      </c>
      <c r="B52" s="140" t="s">
        <v>160</v>
      </c>
      <c r="C52" s="140" t="s">
        <v>1285</v>
      </c>
      <c r="D52" s="140" t="s">
        <v>1289</v>
      </c>
      <c r="E52" s="145" t="s">
        <v>159</v>
      </c>
      <c r="F52" s="146">
        <v>0.99</v>
      </c>
      <c r="G52" s="125">
        <v>57.049236381751172</v>
      </c>
      <c r="H52" s="125">
        <v>0</v>
      </c>
      <c r="I52" s="125">
        <v>57.049236381751172</v>
      </c>
      <c r="J52" s="125">
        <v>8.1380043288026371</v>
      </c>
      <c r="K52" s="125">
        <v>-5.1387507126166909E-2</v>
      </c>
      <c r="L52" s="125">
        <v>8.0866168216764702</v>
      </c>
      <c r="M52" s="125">
        <v>55.337759290298635</v>
      </c>
      <c r="N52" s="148">
        <v>0</v>
      </c>
      <c r="O52" s="122" t="str">
        <f>VLOOKUP(B52,Data!B:K,10,FALSE)</f>
        <v>Greater Manchester &amp; Cheshire Business Rates Pool</v>
      </c>
    </row>
    <row r="53" spans="1:15" x14ac:dyDescent="0.25">
      <c r="A53" s="140" t="s">
        <v>887</v>
      </c>
      <c r="B53" s="140" t="s">
        <v>162</v>
      </c>
      <c r="C53" s="140" t="s">
        <v>1285</v>
      </c>
      <c r="D53" s="140" t="s">
        <v>1292</v>
      </c>
      <c r="E53" s="145" t="s">
        <v>161</v>
      </c>
      <c r="F53" s="146">
        <v>0.99</v>
      </c>
      <c r="G53" s="125">
        <v>52.977712045371604</v>
      </c>
      <c r="H53" s="125">
        <v>0</v>
      </c>
      <c r="I53" s="125">
        <v>52.977712045371604</v>
      </c>
      <c r="J53" s="125">
        <v>-2.6960670273735747</v>
      </c>
      <c r="K53" s="125">
        <v>-0.17537946221548495</v>
      </c>
      <c r="L53" s="125">
        <v>-2.8714464895890597</v>
      </c>
      <c r="M53" s="125">
        <v>51.388380684010457</v>
      </c>
      <c r="N53" s="148">
        <v>0</v>
      </c>
      <c r="O53" s="122" t="str">
        <f>VLOOKUP(B53,Data!B:K,10,FALSE)</f>
        <v>Leeds City Region Business Rates Pool</v>
      </c>
    </row>
    <row r="54" spans="1:15" x14ac:dyDescent="0.25">
      <c r="A54" s="140" t="s">
        <v>888</v>
      </c>
      <c r="B54" s="140" t="s">
        <v>164</v>
      </c>
      <c r="C54" s="140" t="s">
        <v>1278</v>
      </c>
      <c r="D54" s="140">
        <v>0</v>
      </c>
      <c r="E54" s="145" t="s">
        <v>163</v>
      </c>
      <c r="F54" s="146">
        <v>0.4</v>
      </c>
      <c r="G54" s="125">
        <v>4.6800187871313064</v>
      </c>
      <c r="H54" s="125">
        <v>0.5708913255496062</v>
      </c>
      <c r="I54" s="125">
        <v>4.1091274615816999</v>
      </c>
      <c r="J54" s="125">
        <v>-35.843087804576761</v>
      </c>
      <c r="K54" s="125">
        <v>0.41525947951942754</v>
      </c>
      <c r="L54" s="125">
        <v>-35.427828325057334</v>
      </c>
      <c r="M54" s="125">
        <v>3.8009429019630727</v>
      </c>
      <c r="N54" s="148">
        <v>0.5</v>
      </c>
      <c r="O54" s="122">
        <f>VLOOKUP(B54,Data!B:K,10,FALSE)</f>
        <v>0</v>
      </c>
    </row>
    <row r="55" spans="1:15" x14ac:dyDescent="0.25">
      <c r="A55" s="140" t="s">
        <v>889</v>
      </c>
      <c r="B55" s="140" t="s">
        <v>165</v>
      </c>
      <c r="C55" s="140" t="s">
        <v>1293</v>
      </c>
      <c r="D55" s="140">
        <v>0</v>
      </c>
      <c r="E55" s="145" t="s">
        <v>792</v>
      </c>
      <c r="F55" s="146">
        <v>0.09</v>
      </c>
      <c r="G55" s="125">
        <v>66.81799449777499</v>
      </c>
      <c r="H55" s="125">
        <v>3.9152407999315857</v>
      </c>
      <c r="I55" s="125">
        <v>62.902753697843409</v>
      </c>
      <c r="J55" s="125">
        <v>38.813939349079924</v>
      </c>
      <c r="K55" s="125">
        <v>0.14037539646083985</v>
      </c>
      <c r="L55" s="125">
        <v>38.954314745540763</v>
      </c>
      <c r="M55" s="125">
        <v>58.185047170505158</v>
      </c>
      <c r="N55" s="148">
        <v>0</v>
      </c>
      <c r="O55" s="122">
        <f>VLOOKUP(B55,Data!B:K,10,FALSE)</f>
        <v>0</v>
      </c>
    </row>
    <row r="56" spans="1:15" x14ac:dyDescent="0.25">
      <c r="A56" s="140" t="s">
        <v>890</v>
      </c>
      <c r="B56" s="140" t="s">
        <v>166</v>
      </c>
      <c r="C56" s="140" t="s">
        <v>1281</v>
      </c>
      <c r="D56" s="140">
        <v>0</v>
      </c>
      <c r="E56" s="145" t="s">
        <v>891</v>
      </c>
      <c r="F56" s="146">
        <v>0.01</v>
      </c>
      <c r="G56" s="125">
        <v>9.02270005444554</v>
      </c>
      <c r="H56" s="125">
        <v>3.1400282694269643</v>
      </c>
      <c r="I56" s="125">
        <v>5.8826717850185766</v>
      </c>
      <c r="J56" s="125">
        <v>2.3318549061943208</v>
      </c>
      <c r="K56" s="125">
        <v>1.6385506865586041E-2</v>
      </c>
      <c r="L56" s="125">
        <v>2.3482404130599068</v>
      </c>
      <c r="M56" s="125">
        <v>5.4414714011421834</v>
      </c>
      <c r="N56" s="148">
        <v>0</v>
      </c>
      <c r="O56" s="122">
        <f>VLOOKUP(B56,Data!B:K,10,FALSE)</f>
        <v>0</v>
      </c>
    </row>
    <row r="57" spans="1:15" x14ac:dyDescent="0.25">
      <c r="A57" s="140" t="s">
        <v>892</v>
      </c>
      <c r="B57" s="140" t="s">
        <v>168</v>
      </c>
      <c r="C57" s="140" t="s">
        <v>1294</v>
      </c>
      <c r="D57" s="140" t="s">
        <v>1284</v>
      </c>
      <c r="E57" s="145" t="s">
        <v>167</v>
      </c>
      <c r="F57" s="146">
        <v>0.64</v>
      </c>
      <c r="G57" s="125">
        <v>119.87728130717186</v>
      </c>
      <c r="H57" s="125">
        <v>0</v>
      </c>
      <c r="I57" s="125">
        <v>119.87728130717186</v>
      </c>
      <c r="J57" s="125">
        <v>-269.79975480074785</v>
      </c>
      <c r="K57" s="125">
        <v>1.9090485915401132</v>
      </c>
      <c r="L57" s="125">
        <v>-267.89070620920774</v>
      </c>
      <c r="M57" s="125">
        <v>116.2809628679567</v>
      </c>
      <c r="N57" s="148">
        <v>0</v>
      </c>
      <c r="O57" s="122">
        <f>VLOOKUP(B57,Data!B:K,10,FALSE)</f>
        <v>0</v>
      </c>
    </row>
    <row r="58" spans="1:15" x14ac:dyDescent="0.25">
      <c r="A58" s="140" t="s">
        <v>893</v>
      </c>
      <c r="B58" s="140" t="s">
        <v>170</v>
      </c>
      <c r="C58" s="140" t="s">
        <v>1278</v>
      </c>
      <c r="D58" s="140">
        <v>0</v>
      </c>
      <c r="E58" s="145" t="s">
        <v>169</v>
      </c>
      <c r="F58" s="146">
        <v>0.4</v>
      </c>
      <c r="G58" s="125">
        <v>3.3135828407968808</v>
      </c>
      <c r="H58" s="125">
        <v>0.3839786968952697</v>
      </c>
      <c r="I58" s="125">
        <v>2.9296041439016109</v>
      </c>
      <c r="J58" s="125">
        <v>-9.1146009469935443</v>
      </c>
      <c r="K58" s="125">
        <v>-4.4927834615284823E-2</v>
      </c>
      <c r="L58" s="125">
        <v>-9.1595287816088291</v>
      </c>
      <c r="M58" s="125">
        <v>2.7098838331089903</v>
      </c>
      <c r="N58" s="148">
        <v>0.5</v>
      </c>
      <c r="O58" s="122" t="str">
        <f>VLOOKUP(B58,Data!B:K,10,FALSE)</f>
        <v>Greater Birmingham &amp; Solihull Business Rates Pool</v>
      </c>
    </row>
    <row r="59" spans="1:15" x14ac:dyDescent="0.25">
      <c r="A59" s="140" t="s">
        <v>894</v>
      </c>
      <c r="B59" s="140" t="s">
        <v>174</v>
      </c>
      <c r="C59" s="140" t="s">
        <v>1278</v>
      </c>
      <c r="D59" s="140" t="s">
        <v>1280</v>
      </c>
      <c r="E59" s="145" t="s">
        <v>173</v>
      </c>
      <c r="F59" s="146">
        <v>0.4</v>
      </c>
      <c r="G59" s="125">
        <v>4.8890537094521163</v>
      </c>
      <c r="H59" s="125">
        <v>0</v>
      </c>
      <c r="I59" s="125">
        <v>4.8890537094521163</v>
      </c>
      <c r="J59" s="125">
        <v>-15.543918091795708</v>
      </c>
      <c r="K59" s="125">
        <v>0.22863409793064804</v>
      </c>
      <c r="L59" s="125">
        <v>-15.31528399386506</v>
      </c>
      <c r="M59" s="125">
        <v>4.7423820981685525</v>
      </c>
      <c r="N59" s="148">
        <v>0</v>
      </c>
      <c r="O59" s="122" t="str">
        <f>VLOOKUP(B59,Data!B:K,10,FALSE)</f>
        <v>Kent Business Rates Pool</v>
      </c>
    </row>
    <row r="60" spans="1:15" x14ac:dyDescent="0.25">
      <c r="A60" s="140" t="s">
        <v>895</v>
      </c>
      <c r="B60" s="140" t="s">
        <v>176</v>
      </c>
      <c r="C60" s="140" t="s">
        <v>1278</v>
      </c>
      <c r="D60" s="140">
        <v>0</v>
      </c>
      <c r="E60" s="145" t="s">
        <v>175</v>
      </c>
      <c r="F60" s="146">
        <v>0.4</v>
      </c>
      <c r="G60" s="125">
        <v>3.6567284798552873</v>
      </c>
      <c r="H60" s="125">
        <v>0.44854107110189645</v>
      </c>
      <c r="I60" s="125">
        <v>3.2081874087533908</v>
      </c>
      <c r="J60" s="125">
        <v>-12.090273594898891</v>
      </c>
      <c r="K60" s="125">
        <v>-1.6999101041021092E-2</v>
      </c>
      <c r="L60" s="125">
        <v>-12.107272695939912</v>
      </c>
      <c r="M60" s="125">
        <v>2.9675733530968866</v>
      </c>
      <c r="N60" s="148">
        <v>0.5</v>
      </c>
      <c r="O60" s="122" t="str">
        <f>VLOOKUP(B60,Data!B:K,10,FALSE)</f>
        <v>Cumbria Business Rates Pool</v>
      </c>
    </row>
    <row r="61" spans="1:15" x14ac:dyDescent="0.25">
      <c r="A61" s="140" t="s">
        <v>896</v>
      </c>
      <c r="B61" s="140" t="s">
        <v>178</v>
      </c>
      <c r="C61" s="140" t="s">
        <v>1278</v>
      </c>
      <c r="D61" s="140">
        <v>0</v>
      </c>
      <c r="E61" s="145" t="s">
        <v>177</v>
      </c>
      <c r="F61" s="146">
        <v>0.4</v>
      </c>
      <c r="G61" s="125">
        <v>2.1770603854753068</v>
      </c>
      <c r="H61" s="125">
        <v>0</v>
      </c>
      <c r="I61" s="125">
        <v>2.1770603854753068</v>
      </c>
      <c r="J61" s="125">
        <v>-3.7159643381757581</v>
      </c>
      <c r="K61" s="125">
        <v>-5.0036048114729503E-2</v>
      </c>
      <c r="L61" s="125">
        <v>-3.7660003862904876</v>
      </c>
      <c r="M61" s="125">
        <v>2.0137808565646589</v>
      </c>
      <c r="N61" s="148">
        <v>0.5</v>
      </c>
      <c r="O61" s="122" t="str">
        <f>VLOOKUP(B61,Data!B:K,10,FALSE)</f>
        <v>Essex Business Rates Pool</v>
      </c>
    </row>
    <row r="62" spans="1:15" x14ac:dyDescent="0.25">
      <c r="A62" s="140" t="s">
        <v>897</v>
      </c>
      <c r="B62" s="140" t="s">
        <v>180</v>
      </c>
      <c r="C62" s="140" t="s">
        <v>1286</v>
      </c>
      <c r="D62" s="140">
        <v>0</v>
      </c>
      <c r="E62" s="145" t="s">
        <v>898</v>
      </c>
      <c r="F62" s="146">
        <v>0.49</v>
      </c>
      <c r="G62" s="125">
        <v>35.631478290737824</v>
      </c>
      <c r="H62" s="125">
        <v>4.6834233301708172</v>
      </c>
      <c r="I62" s="125">
        <v>30.948054960567006</v>
      </c>
      <c r="J62" s="125">
        <v>-6.6369099177962712</v>
      </c>
      <c r="K62" s="125">
        <v>0.21209812859517196</v>
      </c>
      <c r="L62" s="125">
        <v>-6.4248117892010992</v>
      </c>
      <c r="M62" s="125">
        <v>28.626950838524483</v>
      </c>
      <c r="N62" s="148">
        <v>0.17658417835754459</v>
      </c>
      <c r="O62" s="122">
        <f>VLOOKUP(B62,Data!B:K,10,FALSE)</f>
        <v>0</v>
      </c>
    </row>
    <row r="63" spans="1:15" x14ac:dyDescent="0.25">
      <c r="A63" s="140" t="s">
        <v>899</v>
      </c>
      <c r="B63" s="140" t="s">
        <v>182</v>
      </c>
      <c r="C63" s="140" t="s">
        <v>1278</v>
      </c>
      <c r="D63" s="140">
        <v>0</v>
      </c>
      <c r="E63" s="145" t="s">
        <v>181</v>
      </c>
      <c r="F63" s="146">
        <v>0.4</v>
      </c>
      <c r="G63" s="125">
        <v>4.8744655388160947</v>
      </c>
      <c r="H63" s="125">
        <v>0.74515597425499935</v>
      </c>
      <c r="I63" s="125">
        <v>4.1293095645610958</v>
      </c>
      <c r="J63" s="125">
        <v>-14.786172853170505</v>
      </c>
      <c r="K63" s="125">
        <v>0.26004004805033887</v>
      </c>
      <c r="L63" s="125">
        <v>-14.526132805120167</v>
      </c>
      <c r="M63" s="125">
        <v>3.8196113472190136</v>
      </c>
      <c r="N63" s="148">
        <v>0.5</v>
      </c>
      <c r="O63" s="122" t="str">
        <f>VLOOKUP(B63,Data!B:K,10,FALSE)</f>
        <v>Leicestershire Business Rates Pool</v>
      </c>
    </row>
    <row r="64" spans="1:15" x14ac:dyDescent="0.25">
      <c r="A64" s="140" t="s">
        <v>900</v>
      </c>
      <c r="B64" s="140" t="s">
        <v>184</v>
      </c>
      <c r="C64" s="140" t="s">
        <v>1278</v>
      </c>
      <c r="D64" s="140">
        <v>0</v>
      </c>
      <c r="E64" s="145" t="s">
        <v>183</v>
      </c>
      <c r="F64" s="146">
        <v>0.4</v>
      </c>
      <c r="G64" s="125">
        <v>3.2783665644127158</v>
      </c>
      <c r="H64" s="125">
        <v>0</v>
      </c>
      <c r="I64" s="125">
        <v>3.2783665644127158</v>
      </c>
      <c r="J64" s="125">
        <v>-26.461487205694564</v>
      </c>
      <c r="K64" s="125">
        <v>-1.9296303240558643E-2</v>
      </c>
      <c r="L64" s="125">
        <v>-26.480783508935122</v>
      </c>
      <c r="M64" s="125">
        <v>3.0324890720817623</v>
      </c>
      <c r="N64" s="148">
        <v>0.5</v>
      </c>
      <c r="O64" s="122">
        <f>VLOOKUP(B64,Data!B:K,10,FALSE)</f>
        <v>0</v>
      </c>
    </row>
    <row r="65" spans="1:15" x14ac:dyDescent="0.25">
      <c r="A65" s="140" t="s">
        <v>901</v>
      </c>
      <c r="B65" s="140" t="s">
        <v>186</v>
      </c>
      <c r="C65" s="140" t="s">
        <v>1278</v>
      </c>
      <c r="D65" s="140" t="s">
        <v>1295</v>
      </c>
      <c r="E65" s="145" t="s">
        <v>185</v>
      </c>
      <c r="F65" s="146">
        <v>0.5</v>
      </c>
      <c r="G65" s="125">
        <v>2.8355511514992675</v>
      </c>
      <c r="H65" s="125">
        <v>0</v>
      </c>
      <c r="I65" s="125">
        <v>2.8355511514992675</v>
      </c>
      <c r="J65" s="125">
        <v>-23.721171214334085</v>
      </c>
      <c r="K65" s="125">
        <v>-0.15383378584894203</v>
      </c>
      <c r="L65" s="125">
        <v>-23.875005000183027</v>
      </c>
      <c r="M65" s="125">
        <v>2.7504846169542896</v>
      </c>
      <c r="N65" s="148">
        <v>0</v>
      </c>
      <c r="O65" s="122" t="str">
        <f>VLOOKUP(B65,Data!B:K,10,FALSE)</f>
        <v>Gloucestershire Business Rates Pool</v>
      </c>
    </row>
    <row r="66" spans="1:15" x14ac:dyDescent="0.25">
      <c r="A66" s="140" t="s">
        <v>902</v>
      </c>
      <c r="B66" s="140" t="s">
        <v>190</v>
      </c>
      <c r="C66" s="140" t="s">
        <v>1278</v>
      </c>
      <c r="D66" s="140">
        <v>0</v>
      </c>
      <c r="E66" s="145" t="s">
        <v>189</v>
      </c>
      <c r="F66" s="146">
        <v>0.4</v>
      </c>
      <c r="G66" s="125">
        <v>4.3106488672411603</v>
      </c>
      <c r="H66" s="125">
        <v>0.63721537159059938</v>
      </c>
      <c r="I66" s="125">
        <v>3.6734334956505612</v>
      </c>
      <c r="J66" s="125">
        <v>-27.965251182858651</v>
      </c>
      <c r="K66" s="125">
        <v>-5.6499901350605342E-2</v>
      </c>
      <c r="L66" s="125">
        <v>-28.021751084209257</v>
      </c>
      <c r="M66" s="125">
        <v>3.3979259834767692</v>
      </c>
      <c r="N66" s="148">
        <v>0.5</v>
      </c>
      <c r="O66" s="122" t="str">
        <f>VLOOKUP(B66,Data!B:K,10,FALSE)</f>
        <v>North Oxfordshire Business Rates Pool</v>
      </c>
    </row>
    <row r="67" spans="1:15" x14ac:dyDescent="0.25">
      <c r="A67" s="140" t="s">
        <v>904</v>
      </c>
      <c r="B67" s="140" t="s">
        <v>193</v>
      </c>
      <c r="C67" s="140" t="s">
        <v>1286</v>
      </c>
      <c r="D67" s="140">
        <v>0</v>
      </c>
      <c r="E67" s="145" t="s">
        <v>905</v>
      </c>
      <c r="F67" s="146">
        <v>0.49</v>
      </c>
      <c r="G67" s="125">
        <v>46.332941411863473</v>
      </c>
      <c r="H67" s="125">
        <v>5.4161659692146848</v>
      </c>
      <c r="I67" s="125">
        <v>40.916775442648792</v>
      </c>
      <c r="J67" s="125">
        <v>-23.713046130955838</v>
      </c>
      <c r="K67" s="125">
        <v>0.39305292428220184</v>
      </c>
      <c r="L67" s="125">
        <v>-23.319993206673637</v>
      </c>
      <c r="M67" s="125">
        <v>37.848017284450137</v>
      </c>
      <c r="N67" s="148">
        <v>0.36690564017012395</v>
      </c>
      <c r="O67" s="122" t="str">
        <f>VLOOKUP(B67,Data!B:K,10,FALSE)</f>
        <v>Greater Manchester &amp; Cheshire Business Rates Pool</v>
      </c>
    </row>
    <row r="68" spans="1:15" x14ac:dyDescent="0.25">
      <c r="A68" s="140" t="s">
        <v>906</v>
      </c>
      <c r="B68" s="140" t="s">
        <v>194</v>
      </c>
      <c r="C68" s="140" t="s">
        <v>1281</v>
      </c>
      <c r="D68" s="140">
        <v>0</v>
      </c>
      <c r="E68" s="145" t="s">
        <v>907</v>
      </c>
      <c r="F68" s="146">
        <v>0.01</v>
      </c>
      <c r="G68" s="125">
        <v>13.621455382063749</v>
      </c>
      <c r="H68" s="125">
        <v>4.512884878145643</v>
      </c>
      <c r="I68" s="125">
        <v>9.1085705039181057</v>
      </c>
      <c r="J68" s="125">
        <v>4.9919147595926052</v>
      </c>
      <c r="K68" s="125">
        <v>2.7650276001471852E-2</v>
      </c>
      <c r="L68" s="125">
        <v>5.0195650355940771</v>
      </c>
      <c r="M68" s="125">
        <v>8.4254277161242488</v>
      </c>
      <c r="N68" s="148">
        <v>0</v>
      </c>
      <c r="O68" s="122">
        <f>VLOOKUP(B68,Data!B:K,10,FALSE)</f>
        <v>0</v>
      </c>
    </row>
    <row r="69" spans="1:15" x14ac:dyDescent="0.25">
      <c r="A69" s="140" t="s">
        <v>908</v>
      </c>
      <c r="B69" s="140" t="s">
        <v>195</v>
      </c>
      <c r="C69" s="140" t="s">
        <v>1286</v>
      </c>
      <c r="D69" s="140">
        <v>0</v>
      </c>
      <c r="E69" s="145" t="s">
        <v>909</v>
      </c>
      <c r="F69" s="146">
        <v>0.49</v>
      </c>
      <c r="G69" s="125">
        <v>62.207024769637535</v>
      </c>
      <c r="H69" s="125">
        <v>11.270515538971402</v>
      </c>
      <c r="I69" s="125">
        <v>50.936509230666132</v>
      </c>
      <c r="J69" s="125">
        <v>-17.301375732892257</v>
      </c>
      <c r="K69" s="125">
        <v>0.56231708363934274</v>
      </c>
      <c r="L69" s="125">
        <v>-16.739058649252915</v>
      </c>
      <c r="M69" s="125">
        <v>47.116271038366172</v>
      </c>
      <c r="N69" s="148">
        <v>0.25354501384417116</v>
      </c>
      <c r="O69" s="122" t="str">
        <f>VLOOKUP(B69,Data!B:K,10,FALSE)</f>
        <v>Greater Manchester &amp; Cheshire Business Rates Pool</v>
      </c>
    </row>
    <row r="70" spans="1:15" x14ac:dyDescent="0.25">
      <c r="A70" s="140" t="s">
        <v>910</v>
      </c>
      <c r="B70" s="140" t="s">
        <v>197</v>
      </c>
      <c r="C70" s="140" t="s">
        <v>1278</v>
      </c>
      <c r="D70" s="140" t="s">
        <v>1279</v>
      </c>
      <c r="E70" s="145" t="s">
        <v>196</v>
      </c>
      <c r="F70" s="146">
        <v>0.5</v>
      </c>
      <c r="G70" s="125">
        <v>4.1042628342769136</v>
      </c>
      <c r="H70" s="125">
        <v>0</v>
      </c>
      <c r="I70" s="125">
        <v>4.1042628342769136</v>
      </c>
      <c r="J70" s="125">
        <v>-13.738492382920905</v>
      </c>
      <c r="K70" s="125">
        <v>0.18009179480287862</v>
      </c>
      <c r="L70" s="125">
        <v>-13.558400588118026</v>
      </c>
      <c r="M70" s="125">
        <v>3.9811349492486059</v>
      </c>
      <c r="N70" s="148">
        <v>0</v>
      </c>
      <c r="O70" s="122" t="str">
        <f>VLOOKUP(B70,Data!B:K,10,FALSE)</f>
        <v>Derbyshire Business Rates Pool</v>
      </c>
    </row>
    <row r="71" spans="1:15" x14ac:dyDescent="0.25">
      <c r="A71" s="140" t="s">
        <v>911</v>
      </c>
      <c r="B71" s="140" t="s">
        <v>199</v>
      </c>
      <c r="C71" s="140" t="s">
        <v>1278</v>
      </c>
      <c r="D71" s="140">
        <v>0</v>
      </c>
      <c r="E71" s="145" t="s">
        <v>198</v>
      </c>
      <c r="F71" s="146">
        <v>0.4</v>
      </c>
      <c r="G71" s="125">
        <v>2.1661600335886377</v>
      </c>
      <c r="H71" s="125">
        <v>0</v>
      </c>
      <c r="I71" s="125">
        <v>2.1661600335886377</v>
      </c>
      <c r="J71" s="125">
        <v>-16.670535977461515</v>
      </c>
      <c r="K71" s="125">
        <v>5.9512898820454296E-2</v>
      </c>
      <c r="L71" s="125">
        <v>-16.611023078641061</v>
      </c>
      <c r="M71" s="125">
        <v>2.0036980310694901</v>
      </c>
      <c r="N71" s="148">
        <v>0.5</v>
      </c>
      <c r="O71" s="122" t="str">
        <f>VLOOKUP(B71,Data!B:K,10,FALSE)</f>
        <v>West Sussex Business Rates Pool</v>
      </c>
    </row>
    <row r="72" spans="1:15" x14ac:dyDescent="0.25">
      <c r="A72" s="140" t="s">
        <v>912</v>
      </c>
      <c r="B72" s="140" t="s">
        <v>201</v>
      </c>
      <c r="C72" s="140" t="s">
        <v>1278</v>
      </c>
      <c r="D72" s="140">
        <v>0</v>
      </c>
      <c r="E72" s="145" t="s">
        <v>200</v>
      </c>
      <c r="F72" s="146">
        <v>0.4</v>
      </c>
      <c r="G72" s="125">
        <v>1.4363483697531376</v>
      </c>
      <c r="H72" s="125">
        <v>0</v>
      </c>
      <c r="I72" s="125">
        <v>1.4363483697531376</v>
      </c>
      <c r="J72" s="125">
        <v>-7.197435634335811</v>
      </c>
      <c r="K72" s="125">
        <v>-2.9282521474709E-2</v>
      </c>
      <c r="L72" s="125">
        <v>-7.22671815581052</v>
      </c>
      <c r="M72" s="125">
        <v>1.3286222420216525</v>
      </c>
      <c r="N72" s="148">
        <v>0.5</v>
      </c>
      <c r="O72" s="122" t="str">
        <f>VLOOKUP(B72,Data!B:K,10,FALSE)</f>
        <v>Buckinghamshire Business Rates Pool</v>
      </c>
    </row>
    <row r="73" spans="1:15" x14ac:dyDescent="0.25">
      <c r="A73" s="140" t="s">
        <v>913</v>
      </c>
      <c r="B73" s="140" t="s">
        <v>203</v>
      </c>
      <c r="C73" s="140" t="s">
        <v>1278</v>
      </c>
      <c r="D73" s="140">
        <v>0</v>
      </c>
      <c r="E73" s="145" t="s">
        <v>202</v>
      </c>
      <c r="F73" s="146">
        <v>0.4</v>
      </c>
      <c r="G73" s="125">
        <v>3.1284956202676848</v>
      </c>
      <c r="H73" s="125">
        <v>0.29942968930186981</v>
      </c>
      <c r="I73" s="125">
        <v>2.829065930965815</v>
      </c>
      <c r="J73" s="125">
        <v>-6.2556021355458959</v>
      </c>
      <c r="K73" s="125">
        <v>0.12999316151255691</v>
      </c>
      <c r="L73" s="125">
        <v>-6.125608974033339</v>
      </c>
      <c r="M73" s="125">
        <v>2.6168859861433789</v>
      </c>
      <c r="N73" s="148">
        <v>0.5</v>
      </c>
      <c r="O73" s="122" t="str">
        <f>VLOOKUP(B73,Data!B:K,10,FALSE)</f>
        <v>Lancashire Business Rates Pool</v>
      </c>
    </row>
    <row r="74" spans="1:15" x14ac:dyDescent="0.25">
      <c r="A74" s="140" t="s">
        <v>915</v>
      </c>
      <c r="B74" s="140" t="s">
        <v>205</v>
      </c>
      <c r="C74" s="140" t="s">
        <v>1278</v>
      </c>
      <c r="D74" s="140">
        <v>0</v>
      </c>
      <c r="E74" s="145" t="s">
        <v>204</v>
      </c>
      <c r="F74" s="146">
        <v>0.4</v>
      </c>
      <c r="G74" s="125">
        <v>0.95756817000130301</v>
      </c>
      <c r="H74" s="125">
        <v>0</v>
      </c>
      <c r="I74" s="125">
        <v>0.95756817000130301</v>
      </c>
      <c r="J74" s="125">
        <v>-6.5073113829500606</v>
      </c>
      <c r="K74" s="125">
        <v>3.8454173324785401E-2</v>
      </c>
      <c r="L74" s="125">
        <v>-6.4688572096252752</v>
      </c>
      <c r="M74" s="125">
        <v>0.88575055725120533</v>
      </c>
      <c r="N74" s="148">
        <v>0.5</v>
      </c>
      <c r="O74" s="122">
        <f>VLOOKUP(B74,Data!B:K,10,FALSE)</f>
        <v>0</v>
      </c>
    </row>
    <row r="75" spans="1:15" x14ac:dyDescent="0.25">
      <c r="A75" s="140" t="s">
        <v>916</v>
      </c>
      <c r="B75" s="140" t="s">
        <v>208</v>
      </c>
      <c r="C75" s="140" t="s">
        <v>1294</v>
      </c>
      <c r="D75" s="140" t="s">
        <v>1284</v>
      </c>
      <c r="E75" s="145" t="s">
        <v>207</v>
      </c>
      <c r="F75" s="146">
        <v>0.64</v>
      </c>
      <c r="G75" s="125">
        <v>23.580464738583903</v>
      </c>
      <c r="H75" s="125">
        <v>0</v>
      </c>
      <c r="I75" s="125">
        <v>23.580464738583903</v>
      </c>
      <c r="J75" s="125">
        <v>-587.55023549322414</v>
      </c>
      <c r="K75" s="125">
        <v>2.9279463271700479</v>
      </c>
      <c r="L75" s="125">
        <v>-584.62228916605409</v>
      </c>
      <c r="M75" s="125">
        <v>22.873050796426384</v>
      </c>
      <c r="N75" s="148">
        <v>0</v>
      </c>
      <c r="O75" s="122">
        <f>VLOOKUP(B75,Data!B:K,10,FALSE)</f>
        <v>0</v>
      </c>
    </row>
    <row r="76" spans="1:15" x14ac:dyDescent="0.25">
      <c r="A76" s="140" t="s">
        <v>917</v>
      </c>
      <c r="B76" s="140" t="s">
        <v>347</v>
      </c>
      <c r="C76" s="140" t="s">
        <v>1281</v>
      </c>
      <c r="D76" s="140">
        <v>0</v>
      </c>
      <c r="E76" s="145" t="s">
        <v>918</v>
      </c>
      <c r="F76" s="146">
        <v>0.01</v>
      </c>
      <c r="G76" s="125">
        <v>14.72629990575984</v>
      </c>
      <c r="H76" s="125">
        <v>5.7178004714998849</v>
      </c>
      <c r="I76" s="125">
        <v>9.0084994342599547</v>
      </c>
      <c r="J76" s="125">
        <v>7.1513299613299059</v>
      </c>
      <c r="K76" s="125">
        <v>5.5977143748124014E-2</v>
      </c>
      <c r="L76" s="125">
        <v>7.20730710507803</v>
      </c>
      <c r="M76" s="125">
        <v>8.3328619766904577</v>
      </c>
      <c r="N76" s="148">
        <v>0</v>
      </c>
      <c r="O76" s="122">
        <f>VLOOKUP(B76,Data!B:K,10,FALSE)</f>
        <v>0</v>
      </c>
    </row>
    <row r="77" spans="1:15" x14ac:dyDescent="0.25">
      <c r="A77" s="140" t="s">
        <v>919</v>
      </c>
      <c r="B77" s="140" t="s">
        <v>210</v>
      </c>
      <c r="C77" s="140" t="s">
        <v>1278</v>
      </c>
      <c r="D77" s="140">
        <v>0</v>
      </c>
      <c r="E77" s="145" t="s">
        <v>209</v>
      </c>
      <c r="F77" s="146">
        <v>0.4</v>
      </c>
      <c r="G77" s="125">
        <v>4.4373164458291345</v>
      </c>
      <c r="H77" s="125">
        <v>0.27515893685196713</v>
      </c>
      <c r="I77" s="125">
        <v>4.1621575089771676</v>
      </c>
      <c r="J77" s="125">
        <v>-19.276234815673202</v>
      </c>
      <c r="K77" s="125">
        <v>0.34108028168791193</v>
      </c>
      <c r="L77" s="125">
        <v>-18.93515453398529</v>
      </c>
      <c r="M77" s="125">
        <v>3.8499956958038801</v>
      </c>
      <c r="N77" s="148">
        <v>0.5</v>
      </c>
      <c r="O77" s="122" t="str">
        <f>VLOOKUP(B77,Data!B:K,10,FALSE)</f>
        <v>Essex Business Rates Pool</v>
      </c>
    </row>
    <row r="78" spans="1:15" x14ac:dyDescent="0.25">
      <c r="A78" s="140" t="s">
        <v>920</v>
      </c>
      <c r="B78" s="140" t="s">
        <v>212</v>
      </c>
      <c r="C78" s="140" t="s">
        <v>1278</v>
      </c>
      <c r="D78" s="140">
        <v>0</v>
      </c>
      <c r="E78" s="145" t="s">
        <v>211</v>
      </c>
      <c r="F78" s="146">
        <v>0.4</v>
      </c>
      <c r="G78" s="125">
        <v>2.8026308884081672</v>
      </c>
      <c r="H78" s="125">
        <v>0.37681198970454977</v>
      </c>
      <c r="I78" s="125">
        <v>2.4258188987036173</v>
      </c>
      <c r="J78" s="125">
        <v>-11.323966105401826</v>
      </c>
      <c r="K78" s="125">
        <v>-0.28641985763635169</v>
      </c>
      <c r="L78" s="125">
        <v>-11.610385963038178</v>
      </c>
      <c r="M78" s="125">
        <v>2.243882481300846</v>
      </c>
      <c r="N78" s="148">
        <v>0.5</v>
      </c>
      <c r="O78" s="122">
        <f>VLOOKUP(B78,Data!B:K,10,FALSE)</f>
        <v>0</v>
      </c>
    </row>
    <row r="79" spans="1:15" x14ac:dyDescent="0.25">
      <c r="A79" s="140" t="s">
        <v>921</v>
      </c>
      <c r="B79" s="140" t="s">
        <v>214</v>
      </c>
      <c r="C79" s="140" t="s">
        <v>1278</v>
      </c>
      <c r="D79" s="140">
        <v>0</v>
      </c>
      <c r="E79" s="145" t="s">
        <v>213</v>
      </c>
      <c r="F79" s="146">
        <v>0.4</v>
      </c>
      <c r="G79" s="125">
        <v>2.4236558891408402</v>
      </c>
      <c r="H79" s="125">
        <v>0.38963989323357678</v>
      </c>
      <c r="I79" s="125">
        <v>2.0340159959072635</v>
      </c>
      <c r="J79" s="125">
        <v>-9.8947388494075561</v>
      </c>
      <c r="K79" s="125">
        <v>-0.11136117370831933</v>
      </c>
      <c r="L79" s="125">
        <v>-10.006100023115875</v>
      </c>
      <c r="M79" s="125">
        <v>1.8814647962142188</v>
      </c>
      <c r="N79" s="148">
        <v>0.5</v>
      </c>
      <c r="O79" s="122" t="str">
        <f>VLOOKUP(B79,Data!B:K,10,FALSE)</f>
        <v>Northamptonshire Business Rates Pool</v>
      </c>
    </row>
    <row r="80" spans="1:15" x14ac:dyDescent="0.25">
      <c r="A80" s="140" t="s">
        <v>922</v>
      </c>
      <c r="B80" s="140" t="s">
        <v>218</v>
      </c>
      <c r="C80" s="140" t="s">
        <v>1296</v>
      </c>
      <c r="D80" s="140" t="s">
        <v>1297</v>
      </c>
      <c r="E80" s="145" t="s">
        <v>923</v>
      </c>
      <c r="F80" s="146">
        <v>1</v>
      </c>
      <c r="G80" s="125">
        <v>166.59653567602925</v>
      </c>
      <c r="H80" s="125">
        <v>0</v>
      </c>
      <c r="I80" s="125">
        <v>166.59653567602925</v>
      </c>
      <c r="J80" s="125">
        <v>4.0441580727848709</v>
      </c>
      <c r="K80" s="125">
        <v>0.48827514861613519</v>
      </c>
      <c r="L80" s="125">
        <v>4.5324332214010061</v>
      </c>
      <c r="M80" s="125">
        <v>161.59863960574836</v>
      </c>
      <c r="N80" s="148">
        <v>0</v>
      </c>
      <c r="O80" s="122">
        <f>VLOOKUP(B80,Data!B:K,10,FALSE)</f>
        <v>0</v>
      </c>
    </row>
    <row r="81" spans="1:15" x14ac:dyDescent="0.25">
      <c r="A81" s="140" t="s">
        <v>924</v>
      </c>
      <c r="B81" s="140" t="s">
        <v>220</v>
      </c>
      <c r="C81" s="140" t="s">
        <v>1278</v>
      </c>
      <c r="D81" s="140" t="s">
        <v>1295</v>
      </c>
      <c r="E81" s="145" t="s">
        <v>219</v>
      </c>
      <c r="F81" s="146">
        <v>0.5</v>
      </c>
      <c r="G81" s="125">
        <v>2.5099548129526124</v>
      </c>
      <c r="H81" s="125">
        <v>0</v>
      </c>
      <c r="I81" s="125">
        <v>2.5099548129526124</v>
      </c>
      <c r="J81" s="125">
        <v>-13.558495190236195</v>
      </c>
      <c r="K81" s="125">
        <v>-4.2368028572425942E-3</v>
      </c>
      <c r="L81" s="125">
        <v>-13.562731993093438</v>
      </c>
      <c r="M81" s="125">
        <v>2.4346561685640338</v>
      </c>
      <c r="N81" s="148">
        <v>0</v>
      </c>
      <c r="O81" s="122" t="str">
        <f>VLOOKUP(B81,Data!B:K,10,FALSE)</f>
        <v>Gloucestershire Business Rates Pool</v>
      </c>
    </row>
    <row r="82" spans="1:15" x14ac:dyDescent="0.25">
      <c r="A82" s="140" t="s">
        <v>925</v>
      </c>
      <c r="B82" s="140" t="s">
        <v>222</v>
      </c>
      <c r="C82" s="140" t="s">
        <v>1285</v>
      </c>
      <c r="D82" s="140" t="s">
        <v>1288</v>
      </c>
      <c r="E82" s="145" t="s">
        <v>221</v>
      </c>
      <c r="F82" s="146">
        <v>0.99</v>
      </c>
      <c r="G82" s="125">
        <v>103.71235443246398</v>
      </c>
      <c r="H82" s="125">
        <v>0</v>
      </c>
      <c r="I82" s="125">
        <v>103.71235443246398</v>
      </c>
      <c r="J82" s="125">
        <v>-9.9783195948424037</v>
      </c>
      <c r="K82" s="125">
        <v>0.52333628603838278</v>
      </c>
      <c r="L82" s="125">
        <v>-9.4549833088040209</v>
      </c>
      <c r="M82" s="125">
        <v>100.60098379949007</v>
      </c>
      <c r="N82" s="148">
        <v>0</v>
      </c>
      <c r="O82" s="122" t="str">
        <f>VLOOKUP(B82,Data!B:K,10,FALSE)</f>
        <v>Coventry &amp; Warwickshire Business Rates Pool</v>
      </c>
    </row>
    <row r="83" spans="1:15" x14ac:dyDescent="0.25">
      <c r="A83" s="140" t="s">
        <v>926</v>
      </c>
      <c r="B83" s="140" t="s">
        <v>225</v>
      </c>
      <c r="C83" s="140" t="s">
        <v>1278</v>
      </c>
      <c r="D83" s="140">
        <v>0</v>
      </c>
      <c r="E83" s="145" t="s">
        <v>224</v>
      </c>
      <c r="F83" s="146">
        <v>0.4</v>
      </c>
      <c r="G83" s="125">
        <v>1.570239484587</v>
      </c>
      <c r="H83" s="125">
        <v>0.14126920272313151</v>
      </c>
      <c r="I83" s="125">
        <v>1.4289702818638685</v>
      </c>
      <c r="J83" s="125">
        <v>-5.7733190478070924</v>
      </c>
      <c r="K83" s="125">
        <v>3.2618456371701576E-2</v>
      </c>
      <c r="L83" s="125">
        <v>-5.7407005914353908</v>
      </c>
      <c r="M83" s="125">
        <v>1.3217975107240785</v>
      </c>
      <c r="N83" s="148">
        <v>0.5</v>
      </c>
      <c r="O83" s="122" t="str">
        <f>VLOOKUP(B83,Data!B:K,10,FALSE)</f>
        <v>North Yorkshire Business Rates Pool</v>
      </c>
    </row>
    <row r="84" spans="1:15" x14ac:dyDescent="0.25">
      <c r="A84" s="140" t="s">
        <v>927</v>
      </c>
      <c r="B84" s="140" t="s">
        <v>230</v>
      </c>
      <c r="C84" s="140" t="s">
        <v>1278</v>
      </c>
      <c r="D84" s="140">
        <v>0</v>
      </c>
      <c r="E84" s="145" t="s">
        <v>229</v>
      </c>
      <c r="F84" s="146">
        <v>0.4</v>
      </c>
      <c r="G84" s="125">
        <v>4.0789718870976328</v>
      </c>
      <c r="H84" s="125">
        <v>0.57475406601139711</v>
      </c>
      <c r="I84" s="125">
        <v>3.504217821086236</v>
      </c>
      <c r="J84" s="125">
        <v>-40.970675603695852</v>
      </c>
      <c r="K84" s="125">
        <v>0.33275740200806325</v>
      </c>
      <c r="L84" s="125">
        <v>-40.637918201687789</v>
      </c>
      <c r="M84" s="125">
        <v>3.2414014845047685</v>
      </c>
      <c r="N84" s="148">
        <v>0.5</v>
      </c>
      <c r="O84" s="122">
        <f>VLOOKUP(B84,Data!B:K,10,FALSE)</f>
        <v>0</v>
      </c>
    </row>
    <row r="85" spans="1:15" x14ac:dyDescent="0.25">
      <c r="A85" s="140" t="s">
        <v>928</v>
      </c>
      <c r="B85" s="140" t="s">
        <v>232</v>
      </c>
      <c r="C85" s="140" t="s">
        <v>1283</v>
      </c>
      <c r="D85" s="140" t="s">
        <v>1284</v>
      </c>
      <c r="E85" s="145" t="s">
        <v>231</v>
      </c>
      <c r="F85" s="146">
        <v>0.64</v>
      </c>
      <c r="G85" s="125">
        <v>94.526056186369047</v>
      </c>
      <c r="H85" s="125">
        <v>0</v>
      </c>
      <c r="I85" s="125">
        <v>94.526056186369047</v>
      </c>
      <c r="J85" s="125">
        <v>12.746048031957313</v>
      </c>
      <c r="K85" s="125">
        <v>-2.5211516467670947E-2</v>
      </c>
      <c r="L85" s="125">
        <v>12.720836515489642</v>
      </c>
      <c r="M85" s="125">
        <v>91.690274500777974</v>
      </c>
      <c r="N85" s="148">
        <v>0</v>
      </c>
      <c r="O85" s="122" t="str">
        <f>VLOOKUP(B85,Data!B:K,10,FALSE)</f>
        <v>Surrey-Croydon Business Rates Pool</v>
      </c>
    </row>
    <row r="86" spans="1:15" x14ac:dyDescent="0.25">
      <c r="A86" s="140" t="s">
        <v>930</v>
      </c>
      <c r="B86" s="140" t="s">
        <v>40</v>
      </c>
      <c r="C86" s="140" t="s">
        <v>1298</v>
      </c>
      <c r="D86" s="140">
        <v>0</v>
      </c>
      <c r="E86" s="145" t="s">
        <v>793</v>
      </c>
      <c r="F86" s="146">
        <v>0.1</v>
      </c>
      <c r="G86" s="125">
        <v>114.40912098629315</v>
      </c>
      <c r="H86" s="125">
        <v>28.942991404601425</v>
      </c>
      <c r="I86" s="125">
        <v>85.466129581691717</v>
      </c>
      <c r="J86" s="125">
        <v>67.155303837013008</v>
      </c>
      <c r="K86" s="125">
        <v>-7.6140856136206025E-2</v>
      </c>
      <c r="L86" s="125">
        <v>67.079162980876802</v>
      </c>
      <c r="M86" s="125">
        <v>79.056169863064838</v>
      </c>
      <c r="N86" s="148">
        <v>0</v>
      </c>
      <c r="O86" s="122" t="str">
        <f>VLOOKUP(B86,Data!B:K,10,FALSE)</f>
        <v>Cumbria Business Rates Pool</v>
      </c>
    </row>
    <row r="87" spans="1:15" x14ac:dyDescent="0.25">
      <c r="A87" s="140" t="s">
        <v>931</v>
      </c>
      <c r="B87" s="140" t="s">
        <v>234</v>
      </c>
      <c r="C87" s="140" t="s">
        <v>1278</v>
      </c>
      <c r="D87" s="140">
        <v>0</v>
      </c>
      <c r="E87" s="145" t="s">
        <v>233</v>
      </c>
      <c r="F87" s="146">
        <v>0.4</v>
      </c>
      <c r="G87" s="125">
        <v>2.9022544556402261</v>
      </c>
      <c r="H87" s="125">
        <v>0</v>
      </c>
      <c r="I87" s="125">
        <v>2.9022544556402261</v>
      </c>
      <c r="J87" s="125">
        <v>-22.028296140695744</v>
      </c>
      <c r="K87" s="125">
        <v>0.10882944007567374</v>
      </c>
      <c r="L87" s="125">
        <v>-21.91946670062007</v>
      </c>
      <c r="M87" s="125">
        <v>2.6845853714672092</v>
      </c>
      <c r="N87" s="148">
        <v>0.5</v>
      </c>
      <c r="O87" s="122">
        <f>VLOOKUP(B87,Data!B:K,10,FALSE)</f>
        <v>0</v>
      </c>
    </row>
    <row r="88" spans="1:15" x14ac:dyDescent="0.25">
      <c r="A88" s="140" t="s">
        <v>932</v>
      </c>
      <c r="B88" s="140" t="s">
        <v>236</v>
      </c>
      <c r="C88" s="140" t="s">
        <v>1286</v>
      </c>
      <c r="D88" s="140">
        <v>0</v>
      </c>
      <c r="E88" s="145" t="s">
        <v>235</v>
      </c>
      <c r="F88" s="146">
        <v>0.49</v>
      </c>
      <c r="G88" s="125">
        <v>28.368277078982935</v>
      </c>
      <c r="H88" s="125">
        <v>6.3336408968071174</v>
      </c>
      <c r="I88" s="125">
        <v>22.034636182175817</v>
      </c>
      <c r="J88" s="125">
        <v>7.0194877731200487</v>
      </c>
      <c r="K88" s="125">
        <v>-1.3892949366974605E-2</v>
      </c>
      <c r="L88" s="125">
        <v>7.0055948237530741</v>
      </c>
      <c r="M88" s="125">
        <v>20.382038468512633</v>
      </c>
      <c r="N88" s="148">
        <v>0</v>
      </c>
      <c r="O88" s="122">
        <f>VLOOKUP(B88,Data!B:K,10,FALSE)</f>
        <v>0</v>
      </c>
    </row>
    <row r="89" spans="1:15" x14ac:dyDescent="0.25">
      <c r="A89" s="140" t="s">
        <v>933</v>
      </c>
      <c r="B89" s="140" t="s">
        <v>239</v>
      </c>
      <c r="C89" s="140" t="s">
        <v>1278</v>
      </c>
      <c r="D89" s="140" t="s">
        <v>1280</v>
      </c>
      <c r="E89" s="145" t="s">
        <v>238</v>
      </c>
      <c r="F89" s="146">
        <v>0.4</v>
      </c>
      <c r="G89" s="125">
        <v>2.9273251315209734</v>
      </c>
      <c r="H89" s="125">
        <v>0</v>
      </c>
      <c r="I89" s="125">
        <v>2.9273251315209734</v>
      </c>
      <c r="J89" s="125">
        <v>-28.287893865286105</v>
      </c>
      <c r="K89" s="125">
        <v>0.18296377946493436</v>
      </c>
      <c r="L89" s="125">
        <v>-28.10493008582117</v>
      </c>
      <c r="M89" s="125">
        <v>2.8395053775753443</v>
      </c>
      <c r="N89" s="148">
        <v>0</v>
      </c>
      <c r="O89" s="122" t="str">
        <f>VLOOKUP(B89,Data!B:K,10,FALSE)</f>
        <v>Kent Business Rates Pool</v>
      </c>
    </row>
    <row r="90" spans="1:15" x14ac:dyDescent="0.25">
      <c r="A90" s="140" t="s">
        <v>934</v>
      </c>
      <c r="B90" s="140" t="s">
        <v>241</v>
      </c>
      <c r="C90" s="140" t="s">
        <v>1278</v>
      </c>
      <c r="D90" s="140">
        <v>0</v>
      </c>
      <c r="E90" s="145" t="s">
        <v>240</v>
      </c>
      <c r="F90" s="146">
        <v>0.4</v>
      </c>
      <c r="G90" s="125">
        <v>2.1943234720635103</v>
      </c>
      <c r="H90" s="125">
        <v>0.15710254610051122</v>
      </c>
      <c r="I90" s="125">
        <v>2.0372209259629992</v>
      </c>
      <c r="J90" s="125">
        <v>-12.245759470809153</v>
      </c>
      <c r="K90" s="125">
        <v>-0.11625335696765404</v>
      </c>
      <c r="L90" s="125">
        <v>-12.362012827776807</v>
      </c>
      <c r="M90" s="125">
        <v>1.8844293565157744</v>
      </c>
      <c r="N90" s="148">
        <v>0.5</v>
      </c>
      <c r="O90" s="122" t="str">
        <f>VLOOKUP(B90,Data!B:K,10,FALSE)</f>
        <v>Northamptonshire Business Rates Pool</v>
      </c>
    </row>
    <row r="91" spans="1:15" x14ac:dyDescent="0.25">
      <c r="A91" s="140" t="s">
        <v>935</v>
      </c>
      <c r="B91" s="140" t="s">
        <v>243</v>
      </c>
      <c r="C91" s="140" t="s">
        <v>1286</v>
      </c>
      <c r="D91" s="140" t="s">
        <v>1279</v>
      </c>
      <c r="E91" s="145" t="s">
        <v>242</v>
      </c>
      <c r="F91" s="146">
        <v>0.99</v>
      </c>
      <c r="G91" s="125">
        <v>74.4203231140079</v>
      </c>
      <c r="H91" s="125">
        <v>0</v>
      </c>
      <c r="I91" s="125">
        <v>74.4203231140079</v>
      </c>
      <c r="J91" s="125">
        <v>-5.5890394953355935</v>
      </c>
      <c r="K91" s="125">
        <v>0.16669746623355319</v>
      </c>
      <c r="L91" s="125">
        <v>-5.4223420291020403</v>
      </c>
      <c r="M91" s="125">
        <v>72.187713420587656</v>
      </c>
      <c r="N91" s="148">
        <v>0</v>
      </c>
      <c r="O91" s="122" t="str">
        <f>VLOOKUP(B91,Data!B:K,10,FALSE)</f>
        <v>Derbyshire Business Rates Pool</v>
      </c>
    </row>
    <row r="92" spans="1:15" x14ac:dyDescent="0.25">
      <c r="A92" s="140" t="s">
        <v>936</v>
      </c>
      <c r="B92" s="140" t="s">
        <v>44</v>
      </c>
      <c r="C92" s="140" t="s">
        <v>1293</v>
      </c>
      <c r="D92" s="140" t="s">
        <v>1279</v>
      </c>
      <c r="E92" s="145" t="s">
        <v>794</v>
      </c>
      <c r="F92" s="146">
        <v>0.49</v>
      </c>
      <c r="G92" s="125">
        <v>137.2097905066228</v>
      </c>
      <c r="H92" s="125">
        <v>0</v>
      </c>
      <c r="I92" s="125">
        <v>137.2097905066228</v>
      </c>
      <c r="J92" s="125">
        <v>43.031142713214415</v>
      </c>
      <c r="K92" s="125">
        <v>1.2474254610623348E-2</v>
      </c>
      <c r="L92" s="125">
        <v>43.043616967825038</v>
      </c>
      <c r="M92" s="125">
        <v>133.09349679142412</v>
      </c>
      <c r="N92" s="148">
        <v>0</v>
      </c>
      <c r="O92" s="122" t="str">
        <f>VLOOKUP(B92,Data!B:K,10,FALSE)</f>
        <v>Derbyshire Business Rates Pool</v>
      </c>
    </row>
    <row r="93" spans="1:15" x14ac:dyDescent="0.25">
      <c r="A93" s="140" t="s">
        <v>937</v>
      </c>
      <c r="B93" s="140" t="s">
        <v>245</v>
      </c>
      <c r="C93" s="140" t="s">
        <v>1278</v>
      </c>
      <c r="D93" s="140" t="s">
        <v>1279</v>
      </c>
      <c r="E93" s="145" t="s">
        <v>244</v>
      </c>
      <c r="F93" s="146">
        <v>0.5</v>
      </c>
      <c r="G93" s="125">
        <v>2.0125019152058887</v>
      </c>
      <c r="H93" s="125">
        <v>0</v>
      </c>
      <c r="I93" s="125">
        <v>2.0125019152058887</v>
      </c>
      <c r="J93" s="125">
        <v>-7.9233246764181215</v>
      </c>
      <c r="K93" s="125">
        <v>2.5628300321828945E-2</v>
      </c>
      <c r="L93" s="125">
        <v>-7.8976963760962926</v>
      </c>
      <c r="M93" s="125">
        <v>1.952126857749712</v>
      </c>
      <c r="N93" s="148">
        <v>0</v>
      </c>
      <c r="O93" s="122" t="str">
        <f>VLOOKUP(B93,Data!B:K,10,FALSE)</f>
        <v>Derbyshire Business Rates Pool</v>
      </c>
    </row>
    <row r="94" spans="1:15" x14ac:dyDescent="0.25">
      <c r="A94" s="140" t="s">
        <v>938</v>
      </c>
      <c r="B94" s="140" t="s">
        <v>45</v>
      </c>
      <c r="C94" s="140" t="s">
        <v>1281</v>
      </c>
      <c r="D94" s="140" t="s">
        <v>1279</v>
      </c>
      <c r="E94" s="145" t="s">
        <v>939</v>
      </c>
      <c r="F94" s="146">
        <v>0.01</v>
      </c>
      <c r="G94" s="125">
        <v>13.352083717863154</v>
      </c>
      <c r="H94" s="125">
        <v>0</v>
      </c>
      <c r="I94" s="125">
        <v>13.352083717863154</v>
      </c>
      <c r="J94" s="125">
        <v>10.62198536155894</v>
      </c>
      <c r="K94" s="125">
        <v>5.1196956447814301E-3</v>
      </c>
      <c r="L94" s="125">
        <v>10.627105057203721</v>
      </c>
      <c r="M94" s="125">
        <v>12.951521206327259</v>
      </c>
      <c r="N94" s="148">
        <v>0</v>
      </c>
      <c r="O94" s="122" t="str">
        <f>VLOOKUP(B94,Data!B:K,10,FALSE)</f>
        <v>Derbyshire Business Rates Pool</v>
      </c>
    </row>
    <row r="95" spans="1:15" x14ac:dyDescent="0.25">
      <c r="A95" s="140" t="s">
        <v>940</v>
      </c>
      <c r="B95" s="140" t="s">
        <v>260</v>
      </c>
      <c r="C95" s="140" t="s">
        <v>1293</v>
      </c>
      <c r="D95" s="140" t="s">
        <v>1299</v>
      </c>
      <c r="E95" s="145" t="s">
        <v>795</v>
      </c>
      <c r="F95" s="146">
        <v>0.59</v>
      </c>
      <c r="G95" s="125">
        <v>122.49150008151871</v>
      </c>
      <c r="H95" s="125">
        <v>0</v>
      </c>
      <c r="I95" s="125">
        <v>122.49150008151871</v>
      </c>
      <c r="J95" s="125">
        <v>-16.222089019083619</v>
      </c>
      <c r="K95" s="125">
        <v>0.20033902324022179</v>
      </c>
      <c r="L95" s="125">
        <v>-16.021749995843397</v>
      </c>
      <c r="M95" s="125">
        <v>118.81675507907315</v>
      </c>
      <c r="N95" s="148">
        <v>0</v>
      </c>
      <c r="O95" s="122" t="str">
        <f>VLOOKUP(B95,Data!B:K,10,FALSE)</f>
        <v>Devon Business Rates Pool</v>
      </c>
    </row>
    <row r="96" spans="1:15" x14ac:dyDescent="0.25">
      <c r="A96" s="140" t="s">
        <v>941</v>
      </c>
      <c r="B96" s="140" t="s">
        <v>247</v>
      </c>
      <c r="C96" s="140" t="s">
        <v>1285</v>
      </c>
      <c r="D96" s="140">
        <v>0</v>
      </c>
      <c r="E96" s="145" t="s">
        <v>246</v>
      </c>
      <c r="F96" s="146">
        <v>0.49</v>
      </c>
      <c r="G96" s="125">
        <v>101.59024555075888</v>
      </c>
      <c r="H96" s="125">
        <v>28.13137864282622</v>
      </c>
      <c r="I96" s="125">
        <v>73.458866907932659</v>
      </c>
      <c r="J96" s="125">
        <v>33.527353238796962</v>
      </c>
      <c r="K96" s="125">
        <v>-0.25503012566144179</v>
      </c>
      <c r="L96" s="125">
        <v>33.272323113135521</v>
      </c>
      <c r="M96" s="125">
        <v>67.949451889837718</v>
      </c>
      <c r="N96" s="148">
        <v>0</v>
      </c>
      <c r="O96" s="122">
        <f>VLOOKUP(B96,Data!B:K,10,FALSE)</f>
        <v>0</v>
      </c>
    </row>
    <row r="97" spans="1:15" x14ac:dyDescent="0.25">
      <c r="A97" s="140" t="s">
        <v>942</v>
      </c>
      <c r="B97" s="140" t="s">
        <v>206</v>
      </c>
      <c r="C97" s="140" t="s">
        <v>1293</v>
      </c>
      <c r="D97" s="140">
        <v>0</v>
      </c>
      <c r="E97" s="145" t="s">
        <v>796</v>
      </c>
      <c r="F97" s="146">
        <v>0.09</v>
      </c>
      <c r="G97" s="125">
        <v>38.571139371029929</v>
      </c>
      <c r="H97" s="125">
        <v>0</v>
      </c>
      <c r="I97" s="125">
        <v>38.571139371029929</v>
      </c>
      <c r="J97" s="125">
        <v>27.478229112647821</v>
      </c>
      <c r="K97" s="125">
        <v>8.4298854646398524E-3</v>
      </c>
      <c r="L97" s="125">
        <v>27.48665899811246</v>
      </c>
      <c r="M97" s="125">
        <v>35.678303918202687</v>
      </c>
      <c r="N97" s="148">
        <v>0</v>
      </c>
      <c r="O97" s="122">
        <f>VLOOKUP(B97,Data!B:K,10,FALSE)</f>
        <v>0</v>
      </c>
    </row>
    <row r="98" spans="1:15" x14ac:dyDescent="0.25">
      <c r="A98" s="140" t="s">
        <v>943</v>
      </c>
      <c r="B98" s="140" t="s">
        <v>249</v>
      </c>
      <c r="C98" s="140" t="s">
        <v>1278</v>
      </c>
      <c r="D98" s="140" t="s">
        <v>1280</v>
      </c>
      <c r="E98" s="145" t="s">
        <v>248</v>
      </c>
      <c r="F98" s="146">
        <v>0.4</v>
      </c>
      <c r="G98" s="125">
        <v>4.1324360784573013</v>
      </c>
      <c r="H98" s="125">
        <v>0</v>
      </c>
      <c r="I98" s="125">
        <v>4.1324360784573013</v>
      </c>
      <c r="J98" s="125">
        <v>-11.234171270008572</v>
      </c>
      <c r="K98" s="125">
        <v>1.1369453665171463</v>
      </c>
      <c r="L98" s="125">
        <v>-10.097225903491426</v>
      </c>
      <c r="M98" s="125">
        <v>4.0084629961035825</v>
      </c>
      <c r="N98" s="148">
        <v>0</v>
      </c>
      <c r="O98" s="122">
        <f>VLOOKUP(B98,Data!B:K,10,FALSE)</f>
        <v>0</v>
      </c>
    </row>
    <row r="99" spans="1:15" x14ac:dyDescent="0.25">
      <c r="A99" s="140" t="s">
        <v>944</v>
      </c>
      <c r="B99" s="140" t="s">
        <v>251</v>
      </c>
      <c r="C99" s="140" t="s">
        <v>1285</v>
      </c>
      <c r="D99" s="140" t="s">
        <v>1288</v>
      </c>
      <c r="E99" s="145" t="s">
        <v>250</v>
      </c>
      <c r="F99" s="146">
        <v>0.99</v>
      </c>
      <c r="G99" s="125">
        <v>91.636161724144273</v>
      </c>
      <c r="H99" s="125">
        <v>0</v>
      </c>
      <c r="I99" s="125">
        <v>91.636161724144273</v>
      </c>
      <c r="J99" s="125">
        <v>2.3737204259494247</v>
      </c>
      <c r="K99" s="125">
        <v>-0.69772578552597775</v>
      </c>
      <c r="L99" s="125">
        <v>1.6759946404234469</v>
      </c>
      <c r="M99" s="125">
        <v>88.887076872419939</v>
      </c>
      <c r="N99" s="148">
        <v>0</v>
      </c>
      <c r="O99" s="122">
        <f>VLOOKUP(B99,Data!B:K,10,FALSE)</f>
        <v>0</v>
      </c>
    </row>
    <row r="100" spans="1:15" x14ac:dyDescent="0.25">
      <c r="A100" s="140" t="s">
        <v>945</v>
      </c>
      <c r="B100" s="140" t="s">
        <v>253</v>
      </c>
      <c r="C100" s="140" t="s">
        <v>1286</v>
      </c>
      <c r="D100" s="140">
        <v>0</v>
      </c>
      <c r="E100" s="145" t="s">
        <v>946</v>
      </c>
      <c r="F100" s="146">
        <v>0.49</v>
      </c>
      <c r="G100" s="125">
        <v>164.31409633930269</v>
      </c>
      <c r="H100" s="125">
        <v>41.860120406952085</v>
      </c>
      <c r="I100" s="125">
        <v>122.4539759323506</v>
      </c>
      <c r="J100" s="125">
        <v>70.008966741287423</v>
      </c>
      <c r="K100" s="125">
        <v>0.34115938801235757</v>
      </c>
      <c r="L100" s="125">
        <v>70.350126129299781</v>
      </c>
      <c r="M100" s="125">
        <v>113.26992773742431</v>
      </c>
      <c r="N100" s="148">
        <v>0</v>
      </c>
      <c r="O100" s="122">
        <f>VLOOKUP(B100,Data!B:K,10,FALSE)</f>
        <v>0</v>
      </c>
    </row>
    <row r="101" spans="1:15" x14ac:dyDescent="0.25">
      <c r="A101" s="140" t="s">
        <v>947</v>
      </c>
      <c r="B101" s="140" t="s">
        <v>237</v>
      </c>
      <c r="C101" s="140" t="s">
        <v>1281</v>
      </c>
      <c r="D101" s="140">
        <v>0</v>
      </c>
      <c r="E101" s="145" t="s">
        <v>948</v>
      </c>
      <c r="F101" s="146">
        <v>0.01</v>
      </c>
      <c r="G101" s="125">
        <v>10.694554260379986</v>
      </c>
      <c r="H101" s="125">
        <v>3.8428025330916271</v>
      </c>
      <c r="I101" s="125">
        <v>6.8517517272883595</v>
      </c>
      <c r="J101" s="125">
        <v>5.4744303056776031</v>
      </c>
      <c r="K101" s="125">
        <v>7.7487352439664647E-3</v>
      </c>
      <c r="L101" s="125">
        <v>5.4821790409215696</v>
      </c>
      <c r="M101" s="125">
        <v>6.3378703477417329</v>
      </c>
      <c r="N101" s="148">
        <v>0</v>
      </c>
      <c r="O101" s="122">
        <f>VLOOKUP(B101,Data!B:K,10,FALSE)</f>
        <v>0</v>
      </c>
    </row>
    <row r="102" spans="1:15" x14ac:dyDescent="0.25">
      <c r="A102" s="140" t="s">
        <v>949</v>
      </c>
      <c r="B102" s="140" t="s">
        <v>255</v>
      </c>
      <c r="C102" s="140" t="s">
        <v>1283</v>
      </c>
      <c r="D102" s="140" t="s">
        <v>1284</v>
      </c>
      <c r="E102" s="145" t="s">
        <v>254</v>
      </c>
      <c r="F102" s="146">
        <v>0.64</v>
      </c>
      <c r="G102" s="125">
        <v>100.33562263249411</v>
      </c>
      <c r="H102" s="125">
        <v>0</v>
      </c>
      <c r="I102" s="125">
        <v>100.33562263249411</v>
      </c>
      <c r="J102" s="125">
        <v>6.7472441505450309</v>
      </c>
      <c r="K102" s="125">
        <v>-7.9506277987309026E-2</v>
      </c>
      <c r="L102" s="125">
        <v>6.6677378725577219</v>
      </c>
      <c r="M102" s="125">
        <v>97.325553953519275</v>
      </c>
      <c r="N102" s="148">
        <v>0</v>
      </c>
      <c r="O102" s="122">
        <f>VLOOKUP(B102,Data!B:K,10,FALSE)</f>
        <v>0</v>
      </c>
    </row>
    <row r="103" spans="1:15" x14ac:dyDescent="0.25">
      <c r="A103" s="140" t="s">
        <v>950</v>
      </c>
      <c r="B103" s="140" t="s">
        <v>257</v>
      </c>
      <c r="C103" s="140" t="s">
        <v>1278</v>
      </c>
      <c r="D103" s="140">
        <v>0</v>
      </c>
      <c r="E103" s="145" t="s">
        <v>256</v>
      </c>
      <c r="F103" s="146">
        <v>0.4</v>
      </c>
      <c r="G103" s="125">
        <v>2.7259050034283545</v>
      </c>
      <c r="H103" s="125">
        <v>0.35370345100655592</v>
      </c>
      <c r="I103" s="125">
        <v>2.3722015524217985</v>
      </c>
      <c r="J103" s="125">
        <v>-5.0144399393314085</v>
      </c>
      <c r="K103" s="125">
        <v>9.355341786992355E-2</v>
      </c>
      <c r="L103" s="125">
        <v>-4.920886521461485</v>
      </c>
      <c r="M103" s="125">
        <v>2.1942864359901639</v>
      </c>
      <c r="N103" s="148">
        <v>0.5</v>
      </c>
      <c r="O103" s="122">
        <f>VLOOKUP(B103,Data!B:K,10,FALSE)</f>
        <v>0</v>
      </c>
    </row>
    <row r="104" spans="1:15" x14ac:dyDescent="0.25">
      <c r="A104" s="140" t="s">
        <v>951</v>
      </c>
      <c r="B104" s="140" t="s">
        <v>259</v>
      </c>
      <c r="C104" s="140" t="s">
        <v>1278</v>
      </c>
      <c r="D104" s="140" t="s">
        <v>1299</v>
      </c>
      <c r="E104" s="145" t="s">
        <v>258</v>
      </c>
      <c r="F104" s="146">
        <v>0.4</v>
      </c>
      <c r="G104" s="125">
        <v>2.9180119882619406</v>
      </c>
      <c r="H104" s="125">
        <v>0</v>
      </c>
      <c r="I104" s="125">
        <v>2.9180119882619406</v>
      </c>
      <c r="J104" s="125">
        <v>-9.686048211400772</v>
      </c>
      <c r="K104" s="125">
        <v>-8.7899574621044252E-3</v>
      </c>
      <c r="L104" s="125">
        <v>-9.6948381688628764</v>
      </c>
      <c r="M104" s="125">
        <v>2.8304716286140823</v>
      </c>
      <c r="N104" s="148">
        <v>0</v>
      </c>
      <c r="O104" s="122" t="str">
        <f>VLOOKUP(B104,Data!B:K,10,FALSE)</f>
        <v>Devon Business Rates Pool</v>
      </c>
    </row>
    <row r="105" spans="1:15" x14ac:dyDescent="0.25">
      <c r="A105" s="140" t="s">
        <v>952</v>
      </c>
      <c r="B105" s="140" t="s">
        <v>264</v>
      </c>
      <c r="C105" s="140" t="s">
        <v>1278</v>
      </c>
      <c r="D105" s="140">
        <v>0</v>
      </c>
      <c r="E105" s="145" t="s">
        <v>263</v>
      </c>
      <c r="F105" s="146">
        <v>0.4</v>
      </c>
      <c r="G105" s="125">
        <v>1.3286434606237496</v>
      </c>
      <c r="H105" s="125">
        <v>0</v>
      </c>
      <c r="I105" s="125">
        <v>1.3286434606237496</v>
      </c>
      <c r="J105" s="125">
        <v>-7.6845445196815731</v>
      </c>
      <c r="K105" s="125">
        <v>3.0302089711836899E-2</v>
      </c>
      <c r="L105" s="125">
        <v>-7.6542424299697362</v>
      </c>
      <c r="M105" s="125">
        <v>1.2289952010769685</v>
      </c>
      <c r="N105" s="148">
        <v>0.5</v>
      </c>
      <c r="O105" s="122">
        <f>VLOOKUP(B105,Data!B:K,10,FALSE)</f>
        <v>0</v>
      </c>
    </row>
    <row r="106" spans="1:15" x14ac:dyDescent="0.25">
      <c r="A106" s="140" t="s">
        <v>953</v>
      </c>
      <c r="B106" s="140" t="s">
        <v>266</v>
      </c>
      <c r="C106" s="140" t="s">
        <v>1278</v>
      </c>
      <c r="D106" s="140">
        <v>0</v>
      </c>
      <c r="E106" s="145" t="s">
        <v>265</v>
      </c>
      <c r="F106" s="146">
        <v>0.4</v>
      </c>
      <c r="G106" s="125">
        <v>1.82353880958534</v>
      </c>
      <c r="H106" s="125">
        <v>0</v>
      </c>
      <c r="I106" s="125">
        <v>1.82353880958534</v>
      </c>
      <c r="J106" s="125">
        <v>-10.666075159230841</v>
      </c>
      <c r="K106" s="125">
        <v>-7.9859065704757981E-2</v>
      </c>
      <c r="L106" s="125">
        <v>-10.745934224935599</v>
      </c>
      <c r="M106" s="125">
        <v>1.6867733988664395</v>
      </c>
      <c r="N106" s="148">
        <v>0.5</v>
      </c>
      <c r="O106" s="122">
        <f>VLOOKUP(B106,Data!B:K,10,FALSE)</f>
        <v>0</v>
      </c>
    </row>
    <row r="107" spans="1:15" x14ac:dyDescent="0.25">
      <c r="A107" s="140" t="s">
        <v>954</v>
      </c>
      <c r="B107" s="140" t="s">
        <v>268</v>
      </c>
      <c r="C107" s="140" t="s">
        <v>1278</v>
      </c>
      <c r="D107" s="140">
        <v>0</v>
      </c>
      <c r="E107" s="145" t="s">
        <v>267</v>
      </c>
      <c r="F107" s="146">
        <v>0.4</v>
      </c>
      <c r="G107" s="125">
        <v>2.6169308282582793</v>
      </c>
      <c r="H107" s="125">
        <v>0</v>
      </c>
      <c r="I107" s="125">
        <v>2.6169308282582793</v>
      </c>
      <c r="J107" s="125">
        <v>-15.249747997128228</v>
      </c>
      <c r="K107" s="125">
        <v>5.6156885811072144E-2</v>
      </c>
      <c r="L107" s="125">
        <v>-15.193591111317156</v>
      </c>
      <c r="M107" s="125">
        <v>2.4206610161389084</v>
      </c>
      <c r="N107" s="148">
        <v>0.5</v>
      </c>
      <c r="O107" s="122">
        <f>VLOOKUP(B107,Data!B:K,10,FALSE)</f>
        <v>0</v>
      </c>
    </row>
    <row r="108" spans="1:15" x14ac:dyDescent="0.25">
      <c r="A108" s="140" t="s">
        <v>955</v>
      </c>
      <c r="B108" s="140" t="s">
        <v>270</v>
      </c>
      <c r="C108" s="140" t="s">
        <v>1278</v>
      </c>
      <c r="D108" s="140" t="s">
        <v>1290</v>
      </c>
      <c r="E108" s="145" t="s">
        <v>269</v>
      </c>
      <c r="F108" s="146">
        <v>0.60000000000000009</v>
      </c>
      <c r="G108" s="125">
        <v>8.1807790575153962</v>
      </c>
      <c r="H108" s="125">
        <v>0</v>
      </c>
      <c r="I108" s="125">
        <v>8.1807790575153962</v>
      </c>
      <c r="J108" s="125">
        <v>-11.389254631150642</v>
      </c>
      <c r="K108" s="125">
        <v>0.20836943080995418</v>
      </c>
      <c r="L108" s="125">
        <v>-11.180885200340688</v>
      </c>
      <c r="M108" s="125">
        <v>7.9353556857899346</v>
      </c>
      <c r="N108" s="148">
        <v>0</v>
      </c>
      <c r="O108" s="122" t="str">
        <f>VLOOKUP(B108,Data!B:K,10,FALSE)</f>
        <v>Lincolnshire Business Rates Pool</v>
      </c>
    </row>
    <row r="109" spans="1:15" x14ac:dyDescent="0.25">
      <c r="A109" s="140" t="s">
        <v>956</v>
      </c>
      <c r="B109" s="140" t="s">
        <v>272</v>
      </c>
      <c r="C109" s="140" t="s">
        <v>1278</v>
      </c>
      <c r="D109" s="140">
        <v>0</v>
      </c>
      <c r="E109" s="145" t="s">
        <v>271</v>
      </c>
      <c r="F109" s="146">
        <v>0.4</v>
      </c>
      <c r="G109" s="125">
        <v>2.73209036552027</v>
      </c>
      <c r="H109" s="125">
        <v>0.41393126006863873</v>
      </c>
      <c r="I109" s="125">
        <v>2.3181591054516311</v>
      </c>
      <c r="J109" s="125">
        <v>-5.3862120966045142</v>
      </c>
      <c r="K109" s="125">
        <v>-0.15832923308201785</v>
      </c>
      <c r="L109" s="125">
        <v>-5.544541329686532</v>
      </c>
      <c r="M109" s="125">
        <v>2.1442971725427586</v>
      </c>
      <c r="N109" s="148">
        <v>0.5</v>
      </c>
      <c r="O109" s="122" t="str">
        <f>VLOOKUP(B109,Data!B:K,10,FALSE)</f>
        <v>Northamptonshire Business Rates Pool</v>
      </c>
    </row>
    <row r="110" spans="1:15" x14ac:dyDescent="0.25">
      <c r="A110" s="140" t="s">
        <v>957</v>
      </c>
      <c r="B110" s="140" t="s">
        <v>274</v>
      </c>
      <c r="C110" s="140" t="s">
        <v>1286</v>
      </c>
      <c r="D110" s="140">
        <v>0</v>
      </c>
      <c r="E110" s="145" t="s">
        <v>273</v>
      </c>
      <c r="F110" s="146">
        <v>0.49</v>
      </c>
      <c r="G110" s="125">
        <v>63.696818403930749</v>
      </c>
      <c r="H110" s="125">
        <v>12.494428668585378</v>
      </c>
      <c r="I110" s="125">
        <v>51.202389735345371</v>
      </c>
      <c r="J110" s="125">
        <v>13.965855867569724</v>
      </c>
      <c r="K110" s="125">
        <v>0.10828275865796044</v>
      </c>
      <c r="L110" s="125">
        <v>14.074138626227684</v>
      </c>
      <c r="M110" s="125">
        <v>47.362210505194469</v>
      </c>
      <c r="N110" s="148">
        <v>0</v>
      </c>
      <c r="O110" s="122">
        <f>VLOOKUP(B110,Data!B:K,10,FALSE)</f>
        <v>0</v>
      </c>
    </row>
    <row r="111" spans="1:15" x14ac:dyDescent="0.25">
      <c r="A111" s="140" t="s">
        <v>958</v>
      </c>
      <c r="B111" s="140" t="s">
        <v>277</v>
      </c>
      <c r="C111" s="140" t="s">
        <v>1278</v>
      </c>
      <c r="D111" s="140">
        <v>0</v>
      </c>
      <c r="E111" s="145" t="s">
        <v>276</v>
      </c>
      <c r="F111" s="146">
        <v>0.4</v>
      </c>
      <c r="G111" s="125">
        <v>3.460373185058641</v>
      </c>
      <c r="H111" s="125">
        <v>0.38288657592934838</v>
      </c>
      <c r="I111" s="125">
        <v>3.0774866091292927</v>
      </c>
      <c r="J111" s="125">
        <v>-18.192894307735738</v>
      </c>
      <c r="K111" s="125">
        <v>0.20907994468034374</v>
      </c>
      <c r="L111" s="125">
        <v>-17.983814363055394</v>
      </c>
      <c r="M111" s="125">
        <v>2.8466751134445958</v>
      </c>
      <c r="N111" s="148">
        <v>0.5</v>
      </c>
      <c r="O111" s="122" t="str">
        <f>VLOOKUP(B111,Data!B:K,10,FALSE)</f>
        <v>Greater Birmingham &amp; Solihull Business Rates Pool</v>
      </c>
    </row>
    <row r="112" spans="1:15" x14ac:dyDescent="0.25">
      <c r="A112" s="140" t="s">
        <v>959</v>
      </c>
      <c r="B112" s="140" t="s">
        <v>280</v>
      </c>
      <c r="C112" s="140" t="s">
        <v>1293</v>
      </c>
      <c r="D112" s="140">
        <v>0</v>
      </c>
      <c r="E112" s="145" t="s">
        <v>797</v>
      </c>
      <c r="F112" s="146">
        <v>0.09</v>
      </c>
      <c r="G112" s="125">
        <v>87.172257519859855</v>
      </c>
      <c r="H112" s="125">
        <v>14.966014987501859</v>
      </c>
      <c r="I112" s="125">
        <v>72.20624253235799</v>
      </c>
      <c r="J112" s="125">
        <v>60.382992543396881</v>
      </c>
      <c r="K112" s="125">
        <v>-1.6573949548202904E-2</v>
      </c>
      <c r="L112" s="125">
        <v>60.366418593848678</v>
      </c>
      <c r="M112" s="125">
        <v>66.790774342431149</v>
      </c>
      <c r="N112" s="148">
        <v>0</v>
      </c>
      <c r="O112" s="122">
        <f>VLOOKUP(B112,Data!B:K,10,FALSE)</f>
        <v>0</v>
      </c>
    </row>
    <row r="113" spans="1:15" x14ac:dyDescent="0.25">
      <c r="A113" s="140" t="s">
        <v>960</v>
      </c>
      <c r="B113" s="140" t="s">
        <v>140</v>
      </c>
      <c r="C113" s="140" t="s">
        <v>1281</v>
      </c>
      <c r="D113" s="140">
        <v>0</v>
      </c>
      <c r="E113" s="145" t="s">
        <v>961</v>
      </c>
      <c r="F113" s="146">
        <v>0.01</v>
      </c>
      <c r="G113" s="125">
        <v>11.128087538045879</v>
      </c>
      <c r="H113" s="125">
        <v>3.6601054894880094</v>
      </c>
      <c r="I113" s="125">
        <v>7.467982048557869</v>
      </c>
      <c r="J113" s="125">
        <v>4.9731290261860295</v>
      </c>
      <c r="K113" s="125">
        <v>7.206476311439225E-3</v>
      </c>
      <c r="L113" s="125">
        <v>4.9803355024974687</v>
      </c>
      <c r="M113" s="125">
        <v>6.9078833949160288</v>
      </c>
      <c r="N113" s="148">
        <v>0</v>
      </c>
      <c r="O113" s="122">
        <f>VLOOKUP(B113,Data!B:K,10,FALSE)</f>
        <v>0</v>
      </c>
    </row>
    <row r="114" spans="1:15" x14ac:dyDescent="0.25">
      <c r="A114" s="140" t="s">
        <v>962</v>
      </c>
      <c r="B114" s="140" t="s">
        <v>279</v>
      </c>
      <c r="C114" s="140" t="s">
        <v>1278</v>
      </c>
      <c r="D114" s="140">
        <v>0</v>
      </c>
      <c r="E114" s="145" t="s">
        <v>278</v>
      </c>
      <c r="F114" s="146">
        <v>0.4</v>
      </c>
      <c r="G114" s="125">
        <v>3.9585849340943975</v>
      </c>
      <c r="H114" s="125">
        <v>0.44546023165991155</v>
      </c>
      <c r="I114" s="125">
        <v>3.513124702434486</v>
      </c>
      <c r="J114" s="125">
        <v>-10.666942971590185</v>
      </c>
      <c r="K114" s="125">
        <v>-2.5763466029633975E-2</v>
      </c>
      <c r="L114" s="125">
        <v>-10.692706437619819</v>
      </c>
      <c r="M114" s="125">
        <v>3.2496403497518997</v>
      </c>
      <c r="N114" s="148">
        <v>0.5</v>
      </c>
      <c r="O114" s="122">
        <f>VLOOKUP(B114,Data!B:K,10,FALSE)</f>
        <v>0</v>
      </c>
    </row>
    <row r="115" spans="1:15" x14ac:dyDescent="0.25">
      <c r="A115" s="140" t="s">
        <v>963</v>
      </c>
      <c r="B115" s="140" t="s">
        <v>282</v>
      </c>
      <c r="C115" s="140" t="s">
        <v>1278</v>
      </c>
      <c r="D115" s="140">
        <v>0</v>
      </c>
      <c r="E115" s="145" t="s">
        <v>281</v>
      </c>
      <c r="F115" s="146">
        <v>0.4</v>
      </c>
      <c r="G115" s="125">
        <v>2.7251764216271206</v>
      </c>
      <c r="H115" s="125">
        <v>0.23993853500419854</v>
      </c>
      <c r="I115" s="125">
        <v>2.4852378866229219</v>
      </c>
      <c r="J115" s="125">
        <v>-19.486422274452572</v>
      </c>
      <c r="K115" s="125">
        <v>-0.15774719280689808</v>
      </c>
      <c r="L115" s="125">
        <v>-19.64416946725947</v>
      </c>
      <c r="M115" s="125">
        <v>2.2988450451262028</v>
      </c>
      <c r="N115" s="148">
        <v>0.5</v>
      </c>
      <c r="O115" s="122">
        <f>VLOOKUP(B115,Data!B:K,10,FALSE)</f>
        <v>0</v>
      </c>
    </row>
    <row r="116" spans="1:15" x14ac:dyDescent="0.25">
      <c r="A116" s="140" t="s">
        <v>964</v>
      </c>
      <c r="B116" s="140" t="s">
        <v>284</v>
      </c>
      <c r="C116" s="140" t="s">
        <v>1278</v>
      </c>
      <c r="D116" s="140">
        <v>0</v>
      </c>
      <c r="E116" s="145" t="s">
        <v>283</v>
      </c>
      <c r="F116" s="146">
        <v>0.4</v>
      </c>
      <c r="G116" s="125">
        <v>1.7376107232813316</v>
      </c>
      <c r="H116" s="125">
        <v>8.7295972843339661E-2</v>
      </c>
      <c r="I116" s="125">
        <v>1.650314750437992</v>
      </c>
      <c r="J116" s="125">
        <v>-6.6081030581091991</v>
      </c>
      <c r="K116" s="125">
        <v>-3.7745938824737202E-2</v>
      </c>
      <c r="L116" s="125">
        <v>-6.6458489969339363</v>
      </c>
      <c r="M116" s="125">
        <v>1.5265411441551426</v>
      </c>
      <c r="N116" s="148">
        <v>0.5</v>
      </c>
      <c r="O116" s="122" t="str">
        <f>VLOOKUP(B116,Data!B:K,10,FALSE)</f>
        <v>Cumbria Business Rates Pool</v>
      </c>
    </row>
    <row r="117" spans="1:15" x14ac:dyDescent="0.25">
      <c r="A117" s="140" t="s">
        <v>965</v>
      </c>
      <c r="B117" s="140" t="s">
        <v>286</v>
      </c>
      <c r="C117" s="140" t="s">
        <v>1278</v>
      </c>
      <c r="D117" s="140" t="s">
        <v>1300</v>
      </c>
      <c r="E117" s="145" t="s">
        <v>285</v>
      </c>
      <c r="F117" s="146">
        <v>0.30000000000000004</v>
      </c>
      <c r="G117" s="125">
        <v>2.2396817580002382</v>
      </c>
      <c r="H117" s="125">
        <v>0</v>
      </c>
      <c r="I117" s="125">
        <v>2.2396817580002382</v>
      </c>
      <c r="J117" s="125">
        <v>-16.111346227238158</v>
      </c>
      <c r="K117" s="125">
        <v>0.36412451297394988</v>
      </c>
      <c r="L117" s="125">
        <v>-15.747221714264208</v>
      </c>
      <c r="M117" s="125">
        <v>2.1724913052602308</v>
      </c>
      <c r="N117" s="148">
        <v>0</v>
      </c>
      <c r="O117" s="122" t="str">
        <f>VLOOKUP(B117,Data!B:K,10,FALSE)</f>
        <v>Surrey-Croydon Business Rates Pool</v>
      </c>
    </row>
    <row r="118" spans="1:15" x14ac:dyDescent="0.25">
      <c r="A118" s="140" t="s">
        <v>966</v>
      </c>
      <c r="B118" s="140" t="s">
        <v>289</v>
      </c>
      <c r="C118" s="140" t="s">
        <v>1283</v>
      </c>
      <c r="D118" s="140" t="s">
        <v>1284</v>
      </c>
      <c r="E118" s="145" t="s">
        <v>288</v>
      </c>
      <c r="F118" s="146">
        <v>0.64</v>
      </c>
      <c r="G118" s="125">
        <v>97.072685230091935</v>
      </c>
      <c r="H118" s="125">
        <v>0</v>
      </c>
      <c r="I118" s="125">
        <v>97.072685230091935</v>
      </c>
      <c r="J118" s="125">
        <v>25.884925207954215</v>
      </c>
      <c r="K118" s="125">
        <v>-1.5134145203873572E-2</v>
      </c>
      <c r="L118" s="125">
        <v>25.869791062750341</v>
      </c>
      <c r="M118" s="125">
        <v>94.16050467318918</v>
      </c>
      <c r="N118" s="148">
        <v>0</v>
      </c>
      <c r="O118" s="122">
        <f>VLOOKUP(B118,Data!B:K,10,FALSE)</f>
        <v>0</v>
      </c>
    </row>
    <row r="119" spans="1:15" x14ac:dyDescent="0.25">
      <c r="A119" s="140" t="s">
        <v>967</v>
      </c>
      <c r="B119" s="140" t="s">
        <v>291</v>
      </c>
      <c r="C119" s="140" t="s">
        <v>1278</v>
      </c>
      <c r="D119" s="140">
        <v>0</v>
      </c>
      <c r="E119" s="145" t="s">
        <v>290</v>
      </c>
      <c r="F119" s="146">
        <v>0.4</v>
      </c>
      <c r="G119" s="125">
        <v>3.4638786684848153</v>
      </c>
      <c r="H119" s="125">
        <v>0.26041126292777339</v>
      </c>
      <c r="I119" s="125">
        <v>3.203467405557042</v>
      </c>
      <c r="J119" s="125">
        <v>-10.466267881614991</v>
      </c>
      <c r="K119" s="125">
        <v>2.4637886995257929E-2</v>
      </c>
      <c r="L119" s="125">
        <v>-10.441629994619733</v>
      </c>
      <c r="M119" s="125">
        <v>2.963207350140264</v>
      </c>
      <c r="N119" s="148">
        <v>0.5</v>
      </c>
      <c r="O119" s="122" t="str">
        <f>VLOOKUP(B119,Data!B:K,10,FALSE)</f>
        <v>Essex Business Rates Pool</v>
      </c>
    </row>
    <row r="120" spans="1:15" x14ac:dyDescent="0.25">
      <c r="A120" s="140" t="s">
        <v>968</v>
      </c>
      <c r="B120" s="140" t="s">
        <v>293</v>
      </c>
      <c r="C120" s="140" t="s">
        <v>1278</v>
      </c>
      <c r="D120" s="140" t="s">
        <v>1300</v>
      </c>
      <c r="E120" s="145" t="s">
        <v>969</v>
      </c>
      <c r="F120" s="146">
        <v>0.30000000000000004</v>
      </c>
      <c r="G120" s="125">
        <v>1.3656627494393958</v>
      </c>
      <c r="H120" s="125">
        <v>0</v>
      </c>
      <c r="I120" s="125">
        <v>1.3656627494393958</v>
      </c>
      <c r="J120" s="125">
        <v>-6.1078452598196948</v>
      </c>
      <c r="K120" s="125">
        <v>8.2770498988812058E-2</v>
      </c>
      <c r="L120" s="125">
        <v>-6.0250747608308828</v>
      </c>
      <c r="M120" s="125">
        <v>1.3246928669562139</v>
      </c>
      <c r="N120" s="148">
        <v>0</v>
      </c>
      <c r="O120" s="122">
        <f>VLOOKUP(B120,Data!B:K,10,FALSE)</f>
        <v>0</v>
      </c>
    </row>
    <row r="121" spans="1:15" x14ac:dyDescent="0.25">
      <c r="A121" s="140" t="s">
        <v>970</v>
      </c>
      <c r="B121" s="140" t="s">
        <v>295</v>
      </c>
      <c r="C121" s="140" t="s">
        <v>1278</v>
      </c>
      <c r="D121" s="140" t="s">
        <v>1279</v>
      </c>
      <c r="E121" s="145" t="s">
        <v>294</v>
      </c>
      <c r="F121" s="146">
        <v>0.5</v>
      </c>
      <c r="G121" s="125">
        <v>3.7594451136660454</v>
      </c>
      <c r="H121" s="125">
        <v>0</v>
      </c>
      <c r="I121" s="125">
        <v>3.7594451136660454</v>
      </c>
      <c r="J121" s="125">
        <v>-8.0616153742709784</v>
      </c>
      <c r="K121" s="125">
        <v>-0.12887571521407182</v>
      </c>
      <c r="L121" s="125">
        <v>-8.1904910894850502</v>
      </c>
      <c r="M121" s="125">
        <v>3.6466617602560638</v>
      </c>
      <c r="N121" s="148">
        <v>0</v>
      </c>
      <c r="O121" s="122" t="str">
        <f>VLOOKUP(B121,Data!B:K,10,FALSE)</f>
        <v>Derbyshire Business Rates Pool</v>
      </c>
    </row>
    <row r="122" spans="1:15" x14ac:dyDescent="0.25">
      <c r="A122" s="140" t="s">
        <v>971</v>
      </c>
      <c r="B122" s="140" t="s">
        <v>79</v>
      </c>
      <c r="C122" s="140" t="s">
        <v>1293</v>
      </c>
      <c r="D122" s="140">
        <v>0</v>
      </c>
      <c r="E122" s="145" t="s">
        <v>798</v>
      </c>
      <c r="F122" s="146">
        <v>0.09</v>
      </c>
      <c r="G122" s="125">
        <v>215.64972245387037</v>
      </c>
      <c r="H122" s="125">
        <v>45.739098660851717</v>
      </c>
      <c r="I122" s="125">
        <v>169.91062379301866</v>
      </c>
      <c r="J122" s="125">
        <v>127.83854171980325</v>
      </c>
      <c r="K122" s="125">
        <v>0.10406135571247432</v>
      </c>
      <c r="L122" s="125">
        <v>127.94260307551572</v>
      </c>
      <c r="M122" s="125">
        <v>157.16732700854226</v>
      </c>
      <c r="N122" s="148">
        <v>0</v>
      </c>
      <c r="O122" s="122" t="str">
        <f>VLOOKUP(B122,Data!B:K,10,FALSE)</f>
        <v>Essex Business Rates Pool</v>
      </c>
    </row>
    <row r="123" spans="1:15" x14ac:dyDescent="0.25">
      <c r="A123" s="140" t="s">
        <v>972</v>
      </c>
      <c r="B123" s="140" t="s">
        <v>80</v>
      </c>
      <c r="C123" s="140" t="s">
        <v>1281</v>
      </c>
      <c r="D123" s="140">
        <v>0</v>
      </c>
      <c r="E123" s="145" t="s">
        <v>771</v>
      </c>
      <c r="F123" s="146">
        <v>0.01</v>
      </c>
      <c r="G123" s="125">
        <v>25.237011165896497</v>
      </c>
      <c r="H123" s="125">
        <v>9.3467954681127221</v>
      </c>
      <c r="I123" s="125">
        <v>15.890215697783777</v>
      </c>
      <c r="J123" s="125">
        <v>9.6748709157937771</v>
      </c>
      <c r="K123" s="125">
        <v>-3.0365053739808801E-2</v>
      </c>
      <c r="L123" s="125">
        <v>9.6445058620539683</v>
      </c>
      <c r="M123" s="125">
        <v>14.698449520449994</v>
      </c>
      <c r="N123" s="148">
        <v>0</v>
      </c>
      <c r="O123" s="122" t="str">
        <f>VLOOKUP(B123,Data!B:K,10,FALSE)</f>
        <v>Essex Business Rates Pool</v>
      </c>
    </row>
    <row r="124" spans="1:15" x14ac:dyDescent="0.25">
      <c r="A124" s="140" t="s">
        <v>973</v>
      </c>
      <c r="B124" s="140" t="s">
        <v>297</v>
      </c>
      <c r="C124" s="140" t="s">
        <v>1278</v>
      </c>
      <c r="D124" s="140" t="s">
        <v>1299</v>
      </c>
      <c r="E124" s="145" t="s">
        <v>296</v>
      </c>
      <c r="F124" s="146">
        <v>0.4</v>
      </c>
      <c r="G124" s="125">
        <v>4.8416625730644673</v>
      </c>
      <c r="H124" s="125">
        <v>0</v>
      </c>
      <c r="I124" s="125">
        <v>4.8416625730644673</v>
      </c>
      <c r="J124" s="125">
        <v>-23.702309002583057</v>
      </c>
      <c r="K124" s="125">
        <v>0.30454341758355952</v>
      </c>
      <c r="L124" s="125">
        <v>-23.397765584999497</v>
      </c>
      <c r="M124" s="125">
        <v>4.6964126958725334</v>
      </c>
      <c r="N124" s="148">
        <v>0</v>
      </c>
      <c r="O124" s="122" t="str">
        <f>VLOOKUP(B124,Data!B:K,10,FALSE)</f>
        <v>Devon Business Rates Pool</v>
      </c>
    </row>
    <row r="125" spans="1:15" x14ac:dyDescent="0.25">
      <c r="A125" s="140" t="s">
        <v>974</v>
      </c>
      <c r="B125" s="140" t="s">
        <v>299</v>
      </c>
      <c r="C125" s="140" t="s">
        <v>1278</v>
      </c>
      <c r="D125" s="140">
        <v>0</v>
      </c>
      <c r="E125" s="145" t="s">
        <v>298</v>
      </c>
      <c r="F125" s="146">
        <v>0.4</v>
      </c>
      <c r="G125" s="125">
        <v>1.8551776712864994</v>
      </c>
      <c r="H125" s="125">
        <v>0</v>
      </c>
      <c r="I125" s="125">
        <v>1.8551776712864994</v>
      </c>
      <c r="J125" s="125">
        <v>-14.515297969788556</v>
      </c>
      <c r="K125" s="125">
        <v>-6.1460603962803617E-2</v>
      </c>
      <c r="L125" s="125">
        <v>-14.576758573751359</v>
      </c>
      <c r="M125" s="125">
        <v>1.7160393459400121</v>
      </c>
      <c r="N125" s="148">
        <v>0.5</v>
      </c>
      <c r="O125" s="122">
        <f>VLOOKUP(B125,Data!B:K,10,FALSE)</f>
        <v>0</v>
      </c>
    </row>
    <row r="126" spans="1:15" x14ac:dyDescent="0.25">
      <c r="A126" s="140" t="s">
        <v>975</v>
      </c>
      <c r="B126" s="140" t="s">
        <v>301</v>
      </c>
      <c r="C126" s="140" t="s">
        <v>1278</v>
      </c>
      <c r="D126" s="140">
        <v>0</v>
      </c>
      <c r="E126" s="145" t="s">
        <v>300</v>
      </c>
      <c r="F126" s="146">
        <v>0.4</v>
      </c>
      <c r="G126" s="125">
        <v>4.004726699092747</v>
      </c>
      <c r="H126" s="125">
        <v>0.44380202305778021</v>
      </c>
      <c r="I126" s="125">
        <v>3.5609246760349667</v>
      </c>
      <c r="J126" s="125">
        <v>-5.7977475063723096</v>
      </c>
      <c r="K126" s="125">
        <v>2.0253308258974201E-2</v>
      </c>
      <c r="L126" s="125">
        <v>-5.7774941981133354</v>
      </c>
      <c r="M126" s="125">
        <v>3.2938553253323444</v>
      </c>
      <c r="N126" s="148">
        <v>0.5</v>
      </c>
      <c r="O126" s="122">
        <f>VLOOKUP(B126,Data!B:K,10,FALSE)</f>
        <v>0</v>
      </c>
    </row>
    <row r="127" spans="1:15" x14ac:dyDescent="0.25">
      <c r="A127" s="140" t="s">
        <v>976</v>
      </c>
      <c r="B127" s="140" t="s">
        <v>303</v>
      </c>
      <c r="C127" s="140" t="s">
        <v>1278</v>
      </c>
      <c r="D127" s="140" t="s">
        <v>1282</v>
      </c>
      <c r="E127" s="145" t="s">
        <v>302</v>
      </c>
      <c r="F127" s="146">
        <v>0.8</v>
      </c>
      <c r="G127" s="125">
        <v>2.3909454121689588</v>
      </c>
      <c r="H127" s="125">
        <v>0</v>
      </c>
      <c r="I127" s="125">
        <v>2.3909454121689588</v>
      </c>
      <c r="J127" s="125">
        <v>-16.445846861898932</v>
      </c>
      <c r="K127" s="125">
        <v>6.8863823576219119E-2</v>
      </c>
      <c r="L127" s="125">
        <v>-16.376983038322713</v>
      </c>
      <c r="M127" s="125">
        <v>2.31921704980389</v>
      </c>
      <c r="N127" s="148">
        <v>0</v>
      </c>
      <c r="O127" s="122" t="str">
        <f>VLOOKUP(B127,Data!B:K,10,FALSE)</f>
        <v>Suffolk Business Rates Pool</v>
      </c>
    </row>
    <row r="128" spans="1:15" x14ac:dyDescent="0.25">
      <c r="A128" s="140" t="s">
        <v>977</v>
      </c>
      <c r="B128" s="140" t="s">
        <v>305</v>
      </c>
      <c r="C128" s="140" t="s">
        <v>1278</v>
      </c>
      <c r="D128" s="140" t="s">
        <v>1295</v>
      </c>
      <c r="E128" s="145" t="s">
        <v>304</v>
      </c>
      <c r="F128" s="146">
        <v>0.5</v>
      </c>
      <c r="G128" s="125">
        <v>3.0118178534542173</v>
      </c>
      <c r="H128" s="125">
        <v>0</v>
      </c>
      <c r="I128" s="125">
        <v>3.0118178534542173</v>
      </c>
      <c r="J128" s="125">
        <v>-3.3017951081738359</v>
      </c>
      <c r="K128" s="125">
        <v>-3.8447594896349635E-2</v>
      </c>
      <c r="L128" s="125">
        <v>-3.3402427030701856</v>
      </c>
      <c r="M128" s="125">
        <v>2.9214633178505909</v>
      </c>
      <c r="N128" s="148">
        <v>0</v>
      </c>
      <c r="O128" s="122" t="str">
        <f>VLOOKUP(B128,Data!B:K,10,FALSE)</f>
        <v>Gloucestershire Business Rates Pool</v>
      </c>
    </row>
    <row r="129" spans="1:15" x14ac:dyDescent="0.25">
      <c r="A129" s="140" t="s">
        <v>978</v>
      </c>
      <c r="B129" s="140" t="s">
        <v>307</v>
      </c>
      <c r="C129" s="140" t="s">
        <v>1278</v>
      </c>
      <c r="D129" s="140">
        <v>0</v>
      </c>
      <c r="E129" s="145" t="s">
        <v>306</v>
      </c>
      <c r="F129" s="146">
        <v>0.4</v>
      </c>
      <c r="G129" s="125">
        <v>1.9087439883337718</v>
      </c>
      <c r="H129" s="125">
        <v>4.7107565164195377E-2</v>
      </c>
      <c r="I129" s="125">
        <v>1.8616364231695763</v>
      </c>
      <c r="J129" s="125">
        <v>-7.7928073887079004</v>
      </c>
      <c r="K129" s="125">
        <v>0.11813562791612675</v>
      </c>
      <c r="L129" s="125">
        <v>-7.6746717607917736</v>
      </c>
      <c r="M129" s="125">
        <v>1.7220136914318582</v>
      </c>
      <c r="N129" s="148">
        <v>0.5</v>
      </c>
      <c r="O129" s="122" t="str">
        <f>VLOOKUP(B129,Data!B:K,10,FALSE)</f>
        <v>Lancashire Business Rates Pool</v>
      </c>
    </row>
    <row r="130" spans="1:15" x14ac:dyDescent="0.25">
      <c r="A130" s="140" t="s">
        <v>979</v>
      </c>
      <c r="B130" s="140" t="s">
        <v>309</v>
      </c>
      <c r="C130" s="140" t="s">
        <v>1285</v>
      </c>
      <c r="D130" s="140">
        <v>0</v>
      </c>
      <c r="E130" s="145" t="s">
        <v>308</v>
      </c>
      <c r="F130" s="146">
        <v>0.49</v>
      </c>
      <c r="G130" s="125">
        <v>77.666228239906772</v>
      </c>
      <c r="H130" s="125">
        <v>21.423194242862866</v>
      </c>
      <c r="I130" s="125">
        <v>56.243033997043902</v>
      </c>
      <c r="J130" s="125">
        <v>14.770482622087108</v>
      </c>
      <c r="K130" s="125">
        <v>0.40344598791298125</v>
      </c>
      <c r="L130" s="125">
        <v>15.17392861000009</v>
      </c>
      <c r="M130" s="125">
        <v>52.024806447265611</v>
      </c>
      <c r="N130" s="148">
        <v>0</v>
      </c>
      <c r="O130" s="122">
        <f>VLOOKUP(B130,Data!B:K,10,FALSE)</f>
        <v>0</v>
      </c>
    </row>
    <row r="131" spans="1:15" x14ac:dyDescent="0.25">
      <c r="A131" s="140" t="s">
        <v>980</v>
      </c>
      <c r="B131" s="140" t="s">
        <v>312</v>
      </c>
      <c r="C131" s="140" t="s">
        <v>1278</v>
      </c>
      <c r="D131" s="140">
        <v>0</v>
      </c>
      <c r="E131" s="145" t="s">
        <v>311</v>
      </c>
      <c r="F131" s="146">
        <v>0.4</v>
      </c>
      <c r="G131" s="125">
        <v>3.3441985578271147</v>
      </c>
      <c r="H131" s="125">
        <v>0.38489352754429729</v>
      </c>
      <c r="I131" s="125">
        <v>2.9593050302828177</v>
      </c>
      <c r="J131" s="125">
        <v>-5.6537354299378206</v>
      </c>
      <c r="K131" s="125">
        <v>2.5920400680366384E-2</v>
      </c>
      <c r="L131" s="125">
        <v>-5.6278150292574542</v>
      </c>
      <c r="M131" s="125">
        <v>2.7373571530116063</v>
      </c>
      <c r="N131" s="148">
        <v>0.5</v>
      </c>
      <c r="O131" s="122" t="str">
        <f>VLOOKUP(B131,Data!B:K,10,FALSE)</f>
        <v>Nottingham Business Rates Pool</v>
      </c>
    </row>
    <row r="132" spans="1:15" x14ac:dyDescent="0.25">
      <c r="A132" s="140" t="s">
        <v>981</v>
      </c>
      <c r="B132" s="140" t="s">
        <v>68</v>
      </c>
      <c r="C132" s="140" t="s">
        <v>790</v>
      </c>
      <c r="D132" s="140" t="s">
        <v>1284</v>
      </c>
      <c r="E132" s="145" t="s">
        <v>982</v>
      </c>
      <c r="F132" s="146">
        <v>0.36</v>
      </c>
      <c r="G132" s="125">
        <v>2151.3715062753381</v>
      </c>
      <c r="H132" s="125">
        <v>0</v>
      </c>
      <c r="I132" s="125">
        <v>2151.3715062753381</v>
      </c>
      <c r="J132" s="125">
        <v>-687.34220449932764</v>
      </c>
      <c r="K132" s="125">
        <v>4.9043074614814941</v>
      </c>
      <c r="L132" s="125">
        <v>-682.43789703784614</v>
      </c>
      <c r="M132" s="125">
        <v>2086.830361087078</v>
      </c>
      <c r="N132" s="148">
        <v>0</v>
      </c>
      <c r="O132" s="122">
        <f>VLOOKUP(B132,Data!B:K,10,FALSE)</f>
        <v>0</v>
      </c>
    </row>
    <row r="133" spans="1:15" x14ac:dyDescent="0.25">
      <c r="A133" s="140" t="s">
        <v>983</v>
      </c>
      <c r="B133" s="140" t="s">
        <v>314</v>
      </c>
      <c r="C133" s="140" t="s">
        <v>1278</v>
      </c>
      <c r="D133" s="140" t="s">
        <v>1295</v>
      </c>
      <c r="E133" s="145" t="s">
        <v>313</v>
      </c>
      <c r="F133" s="146">
        <v>0.5</v>
      </c>
      <c r="G133" s="125">
        <v>4.1803078976609571</v>
      </c>
      <c r="H133" s="125">
        <v>0</v>
      </c>
      <c r="I133" s="125">
        <v>4.1803078976609571</v>
      </c>
      <c r="J133" s="125">
        <v>-19.909852370233839</v>
      </c>
      <c r="K133" s="125">
        <v>2.341089776219718E-3</v>
      </c>
      <c r="L133" s="125">
        <v>-19.907511280457619</v>
      </c>
      <c r="M133" s="125">
        <v>4.0548986607311281</v>
      </c>
      <c r="N133" s="148">
        <v>0</v>
      </c>
      <c r="O133" s="122" t="str">
        <f>VLOOKUP(B133,Data!B:K,10,FALSE)</f>
        <v>Gloucestershire Business Rates Pool</v>
      </c>
    </row>
    <row r="134" spans="1:15" x14ac:dyDescent="0.25">
      <c r="A134" s="140" t="s">
        <v>984</v>
      </c>
      <c r="B134" s="140" t="s">
        <v>187</v>
      </c>
      <c r="C134" s="140" t="s">
        <v>1298</v>
      </c>
      <c r="D134" s="140" t="s">
        <v>1295</v>
      </c>
      <c r="E134" s="145" t="s">
        <v>799</v>
      </c>
      <c r="F134" s="146">
        <v>0.5</v>
      </c>
      <c r="G134" s="125">
        <v>92.269352055863948</v>
      </c>
      <c r="H134" s="125">
        <v>0</v>
      </c>
      <c r="I134" s="125">
        <v>92.269352055863948</v>
      </c>
      <c r="J134" s="125">
        <v>-11.295033809681952</v>
      </c>
      <c r="K134" s="125">
        <v>-2.435039434185704E-2</v>
      </c>
      <c r="L134" s="125">
        <v>-11.319384204023809</v>
      </c>
      <c r="M134" s="125">
        <v>89.501271494188032</v>
      </c>
      <c r="N134" s="148">
        <v>0</v>
      </c>
      <c r="O134" s="122" t="str">
        <f>VLOOKUP(B134,Data!B:K,10,FALSE)</f>
        <v>Gloucestershire Business Rates Pool</v>
      </c>
    </row>
    <row r="135" spans="1:15" x14ac:dyDescent="0.25">
      <c r="A135" s="140" t="s">
        <v>985</v>
      </c>
      <c r="B135" s="140" t="s">
        <v>316</v>
      </c>
      <c r="C135" s="140" t="s">
        <v>1278</v>
      </c>
      <c r="D135" s="140">
        <v>0</v>
      </c>
      <c r="E135" s="145" t="s">
        <v>315</v>
      </c>
      <c r="F135" s="146">
        <v>0.4</v>
      </c>
      <c r="G135" s="125">
        <v>2.6738888879747997</v>
      </c>
      <c r="H135" s="125">
        <v>0.26433632663248013</v>
      </c>
      <c r="I135" s="125">
        <v>2.4095525613423194</v>
      </c>
      <c r="J135" s="125">
        <v>-3.345798195740274</v>
      </c>
      <c r="K135" s="125">
        <v>-7.4369952709437026E-2</v>
      </c>
      <c r="L135" s="125">
        <v>-3.4201681484497111</v>
      </c>
      <c r="M135" s="125">
        <v>2.2288361192416457</v>
      </c>
      <c r="N135" s="148">
        <v>0.5</v>
      </c>
      <c r="O135" s="122">
        <f>VLOOKUP(B135,Data!B:K,10,FALSE)</f>
        <v>0</v>
      </c>
    </row>
    <row r="136" spans="1:15" x14ac:dyDescent="0.25">
      <c r="A136" s="140" t="s">
        <v>986</v>
      </c>
      <c r="B136" s="140" t="s">
        <v>318</v>
      </c>
      <c r="C136" s="140" t="s">
        <v>1278</v>
      </c>
      <c r="D136" s="140" t="s">
        <v>1280</v>
      </c>
      <c r="E136" s="145" t="s">
        <v>317</v>
      </c>
      <c r="F136" s="146">
        <v>0.4</v>
      </c>
      <c r="G136" s="125">
        <v>3.0481886974218915</v>
      </c>
      <c r="H136" s="125">
        <v>0</v>
      </c>
      <c r="I136" s="125">
        <v>3.0481886974218915</v>
      </c>
      <c r="J136" s="125">
        <v>-5.8872631967038007</v>
      </c>
      <c r="K136" s="125">
        <v>-6.7440930298955593E-2</v>
      </c>
      <c r="L136" s="125">
        <v>-5.9547041270027563</v>
      </c>
      <c r="M136" s="125">
        <v>2.9567430364992346</v>
      </c>
      <c r="N136" s="148">
        <v>0</v>
      </c>
      <c r="O136" s="122" t="str">
        <f>VLOOKUP(B136,Data!B:K,10,FALSE)</f>
        <v>Kent Business Rates Pool</v>
      </c>
    </row>
    <row r="137" spans="1:15" x14ac:dyDescent="0.25">
      <c r="A137" s="140" t="s">
        <v>987</v>
      </c>
      <c r="B137" s="140" t="s">
        <v>320</v>
      </c>
      <c r="C137" s="140" t="s">
        <v>1278</v>
      </c>
      <c r="D137" s="140">
        <v>0</v>
      </c>
      <c r="E137" s="145" t="s">
        <v>319</v>
      </c>
      <c r="F137" s="146">
        <v>0.4</v>
      </c>
      <c r="G137" s="125">
        <v>6.2393474807979388</v>
      </c>
      <c r="H137" s="125">
        <v>2.5449048124625291</v>
      </c>
      <c r="I137" s="125">
        <v>3.6944426683354101</v>
      </c>
      <c r="J137" s="125">
        <v>-8.0822867038848205</v>
      </c>
      <c r="K137" s="125">
        <v>9.6593812891222264E-2</v>
      </c>
      <c r="L137" s="125">
        <v>-7.9856928909935982</v>
      </c>
      <c r="M137" s="125">
        <v>3.4173594682102544</v>
      </c>
      <c r="N137" s="148">
        <v>0.5</v>
      </c>
      <c r="O137" s="122">
        <f>VLOOKUP(B137,Data!B:K,10,FALSE)</f>
        <v>0</v>
      </c>
    </row>
    <row r="138" spans="1:15" x14ac:dyDescent="0.25">
      <c r="A138" s="140" t="s">
        <v>988</v>
      </c>
      <c r="B138" s="140" t="s">
        <v>113</v>
      </c>
      <c r="C138" s="140" t="s">
        <v>1301</v>
      </c>
      <c r="D138" s="140">
        <v>0</v>
      </c>
      <c r="E138" s="145" t="s">
        <v>782</v>
      </c>
      <c r="F138" s="146">
        <v>0.01</v>
      </c>
      <c r="G138" s="125">
        <v>50.754939981230095</v>
      </c>
      <c r="H138" s="125">
        <v>19.938198594979866</v>
      </c>
      <c r="I138" s="125">
        <v>30.816741386250229</v>
      </c>
      <c r="J138" s="125">
        <v>20.871921102373339</v>
      </c>
      <c r="K138" s="125">
        <v>8.2216484091475195E-3</v>
      </c>
      <c r="L138" s="125">
        <v>20.880142750782486</v>
      </c>
      <c r="M138" s="125">
        <v>28.505485782281461</v>
      </c>
      <c r="N138" s="148">
        <v>0</v>
      </c>
      <c r="O138" s="122">
        <f>VLOOKUP(B138,Data!B:K,10,FALSE)</f>
        <v>0</v>
      </c>
    </row>
    <row r="139" spans="1:15" x14ac:dyDescent="0.25">
      <c r="A139" s="140" t="s">
        <v>989</v>
      </c>
      <c r="B139" s="140" t="s">
        <v>322</v>
      </c>
      <c r="C139" s="140" t="s">
        <v>1294</v>
      </c>
      <c r="D139" s="140" t="s">
        <v>1284</v>
      </c>
      <c r="E139" s="145" t="s">
        <v>321</v>
      </c>
      <c r="F139" s="146">
        <v>0.64</v>
      </c>
      <c r="G139" s="125">
        <v>113.65132091561033</v>
      </c>
      <c r="H139" s="125">
        <v>0</v>
      </c>
      <c r="I139" s="125">
        <v>113.65132091561033</v>
      </c>
      <c r="J139" s="125">
        <v>66.982131087365488</v>
      </c>
      <c r="K139" s="125">
        <v>-0.24125733099158708</v>
      </c>
      <c r="L139" s="125">
        <v>66.740873756373901</v>
      </c>
      <c r="M139" s="125">
        <v>110.24178128814201</v>
      </c>
      <c r="N139" s="148">
        <v>0</v>
      </c>
      <c r="O139" s="122">
        <f>VLOOKUP(B139,Data!B:K,10,FALSE)</f>
        <v>0</v>
      </c>
    </row>
    <row r="140" spans="1:15" x14ac:dyDescent="0.25">
      <c r="A140" s="140" t="s">
        <v>990</v>
      </c>
      <c r="B140" s="140" t="s">
        <v>324</v>
      </c>
      <c r="C140" s="140" t="s">
        <v>1278</v>
      </c>
      <c r="D140" s="140" t="s">
        <v>1300</v>
      </c>
      <c r="E140" s="145" t="s">
        <v>323</v>
      </c>
      <c r="F140" s="146">
        <v>0.30000000000000004</v>
      </c>
      <c r="G140" s="125">
        <v>2.8170217064043257</v>
      </c>
      <c r="H140" s="125">
        <v>0</v>
      </c>
      <c r="I140" s="125">
        <v>2.8170217064043257</v>
      </c>
      <c r="J140" s="125">
        <v>-22.26901844775135</v>
      </c>
      <c r="K140" s="125">
        <v>0.47577366672202714</v>
      </c>
      <c r="L140" s="125">
        <v>-21.793244781029323</v>
      </c>
      <c r="M140" s="125">
        <v>2.7325110552121958</v>
      </c>
      <c r="N140" s="148">
        <v>0</v>
      </c>
      <c r="O140" s="122" t="str">
        <f>VLOOKUP(B140,Data!B:K,10,FALSE)</f>
        <v>Surrey-Croydon Business Rates Pool</v>
      </c>
    </row>
    <row r="141" spans="1:15" x14ac:dyDescent="0.25">
      <c r="A141" s="140" t="s">
        <v>991</v>
      </c>
      <c r="B141" s="140" t="s">
        <v>326</v>
      </c>
      <c r="C141" s="140" t="s">
        <v>1294</v>
      </c>
      <c r="D141" s="140" t="s">
        <v>1284</v>
      </c>
      <c r="E141" s="145" t="s">
        <v>325</v>
      </c>
      <c r="F141" s="146">
        <v>0.64</v>
      </c>
      <c r="G141" s="125">
        <v>151.79370309782882</v>
      </c>
      <c r="H141" s="125">
        <v>0</v>
      </c>
      <c r="I141" s="125">
        <v>151.79370309782882</v>
      </c>
      <c r="J141" s="125">
        <v>72.766428831528515</v>
      </c>
      <c r="K141" s="125">
        <v>-0.24739945168394684</v>
      </c>
      <c r="L141" s="125">
        <v>72.519029379844568</v>
      </c>
      <c r="M141" s="125">
        <v>147.23989200489396</v>
      </c>
      <c r="N141" s="148">
        <v>0</v>
      </c>
      <c r="O141" s="122">
        <f>VLOOKUP(B141,Data!B:K,10,FALSE)</f>
        <v>0</v>
      </c>
    </row>
    <row r="142" spans="1:15" x14ac:dyDescent="0.25">
      <c r="A142" s="140" t="s">
        <v>992</v>
      </c>
      <c r="B142" s="140" t="s">
        <v>328</v>
      </c>
      <c r="C142" s="140" t="s">
        <v>1286</v>
      </c>
      <c r="D142" s="140" t="s">
        <v>1302</v>
      </c>
      <c r="E142" s="145" t="s">
        <v>327</v>
      </c>
      <c r="F142" s="146">
        <v>0.99</v>
      </c>
      <c r="G142" s="125">
        <v>52.682811805016712</v>
      </c>
      <c r="H142" s="125">
        <v>0</v>
      </c>
      <c r="I142" s="125">
        <v>52.682811805016712</v>
      </c>
      <c r="J142" s="125">
        <v>7.6096287746486961</v>
      </c>
      <c r="K142" s="125">
        <v>-0.14103345759873065</v>
      </c>
      <c r="L142" s="125">
        <v>7.4685953170499655</v>
      </c>
      <c r="M142" s="125">
        <v>51.102327450866213</v>
      </c>
      <c r="N142" s="148">
        <v>0</v>
      </c>
      <c r="O142" s="122" t="str">
        <f>VLOOKUP(B142,Data!B:K,10,FALSE)</f>
        <v>Mid Merseyside Business Rates Pool</v>
      </c>
    </row>
    <row r="143" spans="1:15" x14ac:dyDescent="0.25">
      <c r="A143" s="140" t="s">
        <v>994</v>
      </c>
      <c r="B143" s="140" t="s">
        <v>330</v>
      </c>
      <c r="C143" s="140" t="s">
        <v>1278</v>
      </c>
      <c r="D143" s="140">
        <v>0</v>
      </c>
      <c r="E143" s="145" t="s">
        <v>329</v>
      </c>
      <c r="F143" s="146">
        <v>0.4</v>
      </c>
      <c r="G143" s="125">
        <v>2.378410228010476</v>
      </c>
      <c r="H143" s="125">
        <v>0.37027669503799593</v>
      </c>
      <c r="I143" s="125">
        <v>2.0081335329724799</v>
      </c>
      <c r="J143" s="125">
        <v>-8.730817580329763</v>
      </c>
      <c r="K143" s="125">
        <v>-4.5434994011444019E-3</v>
      </c>
      <c r="L143" s="125">
        <v>-8.7353610797309074</v>
      </c>
      <c r="M143" s="125">
        <v>1.857523517999544</v>
      </c>
      <c r="N143" s="148">
        <v>0.5</v>
      </c>
      <c r="O143" s="122" t="str">
        <f>VLOOKUP(B143,Data!B:K,10,FALSE)</f>
        <v>North Yorkshire Business Rates Pool</v>
      </c>
    </row>
    <row r="144" spans="1:15" x14ac:dyDescent="0.25">
      <c r="A144" s="140" t="s">
        <v>995</v>
      </c>
      <c r="B144" s="140" t="s">
        <v>332</v>
      </c>
      <c r="C144" s="140" t="s">
        <v>1294</v>
      </c>
      <c r="D144" s="140" t="s">
        <v>1284</v>
      </c>
      <c r="E144" s="145" t="s">
        <v>331</v>
      </c>
      <c r="F144" s="146">
        <v>0.64</v>
      </c>
      <c r="G144" s="125">
        <v>82.927903416540161</v>
      </c>
      <c r="H144" s="125">
        <v>0</v>
      </c>
      <c r="I144" s="125">
        <v>82.927903416540161</v>
      </c>
      <c r="J144" s="125">
        <v>-77.454073384600648</v>
      </c>
      <c r="K144" s="125">
        <v>2.8380707337337867</v>
      </c>
      <c r="L144" s="125">
        <v>-74.616002650866861</v>
      </c>
      <c r="M144" s="125">
        <v>80.44006631404396</v>
      </c>
      <c r="N144" s="148">
        <v>0</v>
      </c>
      <c r="O144" s="122">
        <f>VLOOKUP(B144,Data!B:K,10,FALSE)</f>
        <v>0</v>
      </c>
    </row>
    <row r="145" spans="1:15" x14ac:dyDescent="0.25">
      <c r="A145" s="140" t="s">
        <v>996</v>
      </c>
      <c r="B145" s="140" t="s">
        <v>83</v>
      </c>
      <c r="C145" s="140" t="s">
        <v>1293</v>
      </c>
      <c r="D145" s="140">
        <v>0</v>
      </c>
      <c r="E145" s="145" t="s">
        <v>800</v>
      </c>
      <c r="F145" s="146">
        <v>0.09</v>
      </c>
      <c r="G145" s="125">
        <v>136.44729106044224</v>
      </c>
      <c r="H145" s="125">
        <v>20.772352917457582</v>
      </c>
      <c r="I145" s="125">
        <v>115.67493814298466</v>
      </c>
      <c r="J145" s="125">
        <v>71.535067519800677</v>
      </c>
      <c r="K145" s="125">
        <v>-0.10743246326200051</v>
      </c>
      <c r="L145" s="125">
        <v>71.427635056538676</v>
      </c>
      <c r="M145" s="125">
        <v>106.99931778226082</v>
      </c>
      <c r="N145" s="148">
        <v>0</v>
      </c>
      <c r="O145" s="122">
        <f>VLOOKUP(B145,Data!B:K,10,FALSE)</f>
        <v>0</v>
      </c>
    </row>
    <row r="146" spans="1:15" x14ac:dyDescent="0.25">
      <c r="A146" s="140" t="s">
        <v>997</v>
      </c>
      <c r="B146" s="140" t="s">
        <v>84</v>
      </c>
      <c r="C146" s="140" t="s">
        <v>1281</v>
      </c>
      <c r="D146" s="140">
        <v>0</v>
      </c>
      <c r="E146" s="145" t="s">
        <v>998</v>
      </c>
      <c r="F146" s="146">
        <v>0.01</v>
      </c>
      <c r="G146" s="125">
        <v>22.130068645440968</v>
      </c>
      <c r="H146" s="125">
        <v>8.1176159629071947</v>
      </c>
      <c r="I146" s="125">
        <v>14.012452682533773</v>
      </c>
      <c r="J146" s="125">
        <v>7.2964062689795615</v>
      </c>
      <c r="K146" s="125">
        <v>9.5267258379712061E-3</v>
      </c>
      <c r="L146" s="125">
        <v>7.3059329948175327</v>
      </c>
      <c r="M146" s="125">
        <v>12.961518731343741</v>
      </c>
      <c r="N146" s="148">
        <v>0</v>
      </c>
      <c r="O146" s="122">
        <f>VLOOKUP(B146,Data!B:K,10,FALSE)</f>
        <v>0</v>
      </c>
    </row>
    <row r="147" spans="1:15" x14ac:dyDescent="0.25">
      <c r="A147" s="140" t="s">
        <v>999</v>
      </c>
      <c r="B147" s="140" t="s">
        <v>334</v>
      </c>
      <c r="C147" s="140" t="s">
        <v>1278</v>
      </c>
      <c r="D147" s="140">
        <v>0</v>
      </c>
      <c r="E147" s="145" t="s">
        <v>333</v>
      </c>
      <c r="F147" s="146">
        <v>0.4</v>
      </c>
      <c r="G147" s="125">
        <v>1.7116185424956485</v>
      </c>
      <c r="H147" s="125">
        <v>8.4606812962014222E-3</v>
      </c>
      <c r="I147" s="125">
        <v>1.7031578611994471</v>
      </c>
      <c r="J147" s="125">
        <v>-13.125199069925719</v>
      </c>
      <c r="K147" s="125">
        <v>-9.3227900475234549E-3</v>
      </c>
      <c r="L147" s="125">
        <v>-13.134521859973242</v>
      </c>
      <c r="M147" s="125">
        <v>1.5754210216094886</v>
      </c>
      <c r="N147" s="148">
        <v>0.5</v>
      </c>
      <c r="O147" s="122" t="str">
        <f>VLOOKUP(B147,Data!B:K,10,FALSE)</f>
        <v>Leicestershire Business Rates Pool</v>
      </c>
    </row>
    <row r="148" spans="1:15" x14ac:dyDescent="0.25">
      <c r="A148" s="140" t="s">
        <v>1000</v>
      </c>
      <c r="B148" s="140" t="s">
        <v>336</v>
      </c>
      <c r="C148" s="140" t="s">
        <v>1283</v>
      </c>
      <c r="D148" s="140" t="s">
        <v>1284</v>
      </c>
      <c r="E148" s="145" t="s">
        <v>335</v>
      </c>
      <c r="F148" s="146">
        <v>0.64</v>
      </c>
      <c r="G148" s="125">
        <v>109.06939575736637</v>
      </c>
      <c r="H148" s="125">
        <v>0</v>
      </c>
      <c r="I148" s="125">
        <v>109.06939575736637</v>
      </c>
      <c r="J148" s="125">
        <v>60.686083278661478</v>
      </c>
      <c r="K148" s="125">
        <v>0.31652672929212855</v>
      </c>
      <c r="L148" s="125">
        <v>61.002610007953606</v>
      </c>
      <c r="M148" s="125">
        <v>105.79731388464538</v>
      </c>
      <c r="N148" s="148">
        <v>0</v>
      </c>
      <c r="O148" s="122">
        <f>VLOOKUP(B148,Data!B:K,10,FALSE)</f>
        <v>0</v>
      </c>
    </row>
    <row r="149" spans="1:15" x14ac:dyDescent="0.25">
      <c r="A149" s="140" t="s">
        <v>1001</v>
      </c>
      <c r="B149" s="140" t="s">
        <v>338</v>
      </c>
      <c r="C149" s="140" t="s">
        <v>1278</v>
      </c>
      <c r="D149" s="140">
        <v>0</v>
      </c>
      <c r="E149" s="145" t="s">
        <v>337</v>
      </c>
      <c r="F149" s="146">
        <v>0.4</v>
      </c>
      <c r="G149" s="125">
        <v>3.1779396810265053</v>
      </c>
      <c r="H149" s="125">
        <v>0.17848240222128853</v>
      </c>
      <c r="I149" s="125">
        <v>2.9994572788052167</v>
      </c>
      <c r="J149" s="125">
        <v>-15.175832164302152</v>
      </c>
      <c r="K149" s="125">
        <v>-0.1355058535126954</v>
      </c>
      <c r="L149" s="125">
        <v>-15.311338017814847</v>
      </c>
      <c r="M149" s="125">
        <v>2.7744979828948257</v>
      </c>
      <c r="N149" s="148">
        <v>0.5</v>
      </c>
      <c r="O149" s="122">
        <f>VLOOKUP(B149,Data!B:K,10,FALSE)</f>
        <v>0</v>
      </c>
    </row>
    <row r="150" spans="1:15" x14ac:dyDescent="0.25">
      <c r="A150" s="140" t="s">
        <v>1002</v>
      </c>
      <c r="B150" s="140" t="s">
        <v>340</v>
      </c>
      <c r="C150" s="140" t="s">
        <v>1278</v>
      </c>
      <c r="D150" s="140" t="s">
        <v>1292</v>
      </c>
      <c r="E150" s="145" t="s">
        <v>339</v>
      </c>
      <c r="F150" s="146">
        <v>0.9</v>
      </c>
      <c r="G150" s="125">
        <v>3.8404839098769883</v>
      </c>
      <c r="H150" s="125">
        <v>0</v>
      </c>
      <c r="I150" s="125">
        <v>3.8404839098769883</v>
      </c>
      <c r="J150" s="125">
        <v>-51.536462843253112</v>
      </c>
      <c r="K150" s="125">
        <v>2.7591390892155232E-2</v>
      </c>
      <c r="L150" s="125">
        <v>-51.508871452360957</v>
      </c>
      <c r="M150" s="125">
        <v>3.7252693925806786</v>
      </c>
      <c r="N150" s="148">
        <v>0</v>
      </c>
      <c r="O150" s="122" t="str">
        <f>VLOOKUP(B150,Data!B:K,10,FALSE)</f>
        <v>Leeds City Region Business Rates Pool</v>
      </c>
    </row>
    <row r="151" spans="1:15" x14ac:dyDescent="0.25">
      <c r="A151" s="140" t="s">
        <v>1003</v>
      </c>
      <c r="B151" s="140" t="s">
        <v>342</v>
      </c>
      <c r="C151" s="140" t="s">
        <v>1283</v>
      </c>
      <c r="D151" s="140" t="s">
        <v>1284</v>
      </c>
      <c r="E151" s="145" t="s">
        <v>341</v>
      </c>
      <c r="F151" s="146">
        <v>0.64</v>
      </c>
      <c r="G151" s="125">
        <v>45.496932577670322</v>
      </c>
      <c r="H151" s="125">
        <v>0</v>
      </c>
      <c r="I151" s="125">
        <v>45.496932577670322</v>
      </c>
      <c r="J151" s="125">
        <v>10.504063345539182</v>
      </c>
      <c r="K151" s="125">
        <v>7.7885993003187437E-2</v>
      </c>
      <c r="L151" s="125">
        <v>10.581949338542369</v>
      </c>
      <c r="M151" s="125">
        <v>44.132024600340209</v>
      </c>
      <c r="N151" s="148">
        <v>0</v>
      </c>
      <c r="O151" s="122">
        <f>VLOOKUP(B151,Data!B:K,10,FALSE)</f>
        <v>0</v>
      </c>
    </row>
    <row r="152" spans="1:15" x14ac:dyDescent="0.25">
      <c r="A152" s="140" t="s">
        <v>1004</v>
      </c>
      <c r="B152" s="140" t="s">
        <v>344</v>
      </c>
      <c r="C152" s="140" t="s">
        <v>1278</v>
      </c>
      <c r="D152" s="140">
        <v>0</v>
      </c>
      <c r="E152" s="145" t="s">
        <v>343</v>
      </c>
      <c r="F152" s="146">
        <v>0.4</v>
      </c>
      <c r="G152" s="125">
        <v>1.3294293994610438</v>
      </c>
      <c r="H152" s="125">
        <v>0</v>
      </c>
      <c r="I152" s="125">
        <v>1.3294293994610438</v>
      </c>
      <c r="J152" s="125">
        <v>-11.191092056996574</v>
      </c>
      <c r="K152" s="125">
        <v>-2.5505735184390588E-2</v>
      </c>
      <c r="L152" s="125">
        <v>-11.216597792180965</v>
      </c>
      <c r="M152" s="125">
        <v>1.2297221945014656</v>
      </c>
      <c r="N152" s="148">
        <v>0.5</v>
      </c>
      <c r="O152" s="122">
        <f>VLOOKUP(B152,Data!B:K,10,FALSE)</f>
        <v>0</v>
      </c>
    </row>
    <row r="153" spans="1:15" x14ac:dyDescent="0.25">
      <c r="A153" s="140" t="s">
        <v>1005</v>
      </c>
      <c r="B153" s="140" t="s">
        <v>346</v>
      </c>
      <c r="C153" s="140" t="s">
        <v>1286</v>
      </c>
      <c r="D153" s="140">
        <v>0</v>
      </c>
      <c r="E153" s="145" t="s">
        <v>345</v>
      </c>
      <c r="F153" s="146">
        <v>0.49</v>
      </c>
      <c r="G153" s="125">
        <v>38.205893127816395</v>
      </c>
      <c r="H153" s="125">
        <v>10.799776393540569</v>
      </c>
      <c r="I153" s="125">
        <v>27.406116734275823</v>
      </c>
      <c r="J153" s="125">
        <v>10.124608928087561</v>
      </c>
      <c r="K153" s="125">
        <v>2.0782113634463641</v>
      </c>
      <c r="L153" s="125">
        <v>12.202820291533925</v>
      </c>
      <c r="M153" s="125">
        <v>25.350657979205138</v>
      </c>
      <c r="N153" s="148">
        <v>0</v>
      </c>
      <c r="O153" s="122">
        <f>VLOOKUP(B153,Data!B:K,10,FALSE)</f>
        <v>0</v>
      </c>
    </row>
    <row r="154" spans="1:15" x14ac:dyDescent="0.25">
      <c r="A154" s="140" t="s">
        <v>1006</v>
      </c>
      <c r="B154" s="140" t="s">
        <v>349</v>
      </c>
      <c r="C154" s="140" t="s">
        <v>1278</v>
      </c>
      <c r="D154" s="140">
        <v>0</v>
      </c>
      <c r="E154" s="145" t="s">
        <v>348</v>
      </c>
      <c r="F154" s="146">
        <v>0.4</v>
      </c>
      <c r="G154" s="125">
        <v>5.2161785566720527</v>
      </c>
      <c r="H154" s="125">
        <v>1.5420935822110697</v>
      </c>
      <c r="I154" s="125">
        <v>3.6740849744609831</v>
      </c>
      <c r="J154" s="125">
        <v>-5.451611675648766</v>
      </c>
      <c r="K154" s="125">
        <v>-4.9314964461573574E-2</v>
      </c>
      <c r="L154" s="125">
        <v>-5.5009266401103396</v>
      </c>
      <c r="M154" s="125">
        <v>3.3985286013764098</v>
      </c>
      <c r="N154" s="148">
        <v>0.5</v>
      </c>
      <c r="O154" s="122">
        <f>VLOOKUP(B154,Data!B:K,10,FALSE)</f>
        <v>0</v>
      </c>
    </row>
    <row r="155" spans="1:15" x14ac:dyDescent="0.25">
      <c r="A155" s="140" t="s">
        <v>1007</v>
      </c>
      <c r="B155" s="140" t="s">
        <v>351</v>
      </c>
      <c r="C155" s="140" t="s">
        <v>1278</v>
      </c>
      <c r="D155" s="140">
        <v>0</v>
      </c>
      <c r="E155" s="145" t="s">
        <v>350</v>
      </c>
      <c r="F155" s="146">
        <v>0.4</v>
      </c>
      <c r="G155" s="125">
        <v>3.5103687490982498</v>
      </c>
      <c r="H155" s="125">
        <v>0.29001576965239551</v>
      </c>
      <c r="I155" s="125">
        <v>3.2203529794458543</v>
      </c>
      <c r="J155" s="125">
        <v>-9.3497996223052482</v>
      </c>
      <c r="K155" s="125">
        <v>9.0304963090385826E-2</v>
      </c>
      <c r="L155" s="125">
        <v>-9.2594946592148624</v>
      </c>
      <c r="M155" s="125">
        <v>2.9788265059874153</v>
      </c>
      <c r="N155" s="148">
        <v>0.5</v>
      </c>
      <c r="O155" s="122">
        <f>VLOOKUP(B155,Data!B:K,10,FALSE)</f>
        <v>0</v>
      </c>
    </row>
    <row r="156" spans="1:15" x14ac:dyDescent="0.25">
      <c r="A156" s="140" t="s">
        <v>1008</v>
      </c>
      <c r="B156" s="140" t="s">
        <v>353</v>
      </c>
      <c r="C156" s="140" t="s">
        <v>1283</v>
      </c>
      <c r="D156" s="140" t="s">
        <v>1284</v>
      </c>
      <c r="E156" s="145" t="s">
        <v>352</v>
      </c>
      <c r="F156" s="146">
        <v>0.64</v>
      </c>
      <c r="G156" s="125">
        <v>40.088911634746644</v>
      </c>
      <c r="H156" s="125">
        <v>0</v>
      </c>
      <c r="I156" s="125">
        <v>40.088911634746644</v>
      </c>
      <c r="J156" s="125">
        <v>-10.419177917501994</v>
      </c>
      <c r="K156" s="125">
        <v>5.5345852503513981E-2</v>
      </c>
      <c r="L156" s="125">
        <v>-10.36383206499848</v>
      </c>
      <c r="M156" s="125">
        <v>38.886244285704244</v>
      </c>
      <c r="N156" s="148">
        <v>0</v>
      </c>
      <c r="O156" s="122" t="str">
        <f>VLOOKUP(B156,Data!B:K,10,FALSE)</f>
        <v>East London / South Essex Business Rates Pool</v>
      </c>
    </row>
    <row r="157" spans="1:15" x14ac:dyDescent="0.25">
      <c r="A157" s="140" t="s">
        <v>1009</v>
      </c>
      <c r="B157" s="140" t="s">
        <v>150</v>
      </c>
      <c r="C157" s="140" t="s">
        <v>1281</v>
      </c>
      <c r="D157" s="140">
        <v>0</v>
      </c>
      <c r="E157" s="145" t="s">
        <v>1010</v>
      </c>
      <c r="F157" s="146">
        <v>0.01</v>
      </c>
      <c r="G157" s="125">
        <v>7.8976310697206724</v>
      </c>
      <c r="H157" s="125">
        <v>2.4264999986660851</v>
      </c>
      <c r="I157" s="125">
        <v>5.4711310710545877</v>
      </c>
      <c r="J157" s="125">
        <v>3.2438745556349713</v>
      </c>
      <c r="K157" s="125">
        <v>-3.6651800329927653E-3</v>
      </c>
      <c r="L157" s="125">
        <v>3.2402093756019785</v>
      </c>
      <c r="M157" s="125">
        <v>5.0607962407254936</v>
      </c>
      <c r="N157" s="148">
        <v>0</v>
      </c>
      <c r="O157" s="122">
        <f>VLOOKUP(B157,Data!B:K,10,FALSE)</f>
        <v>0</v>
      </c>
    </row>
    <row r="158" spans="1:15" x14ac:dyDescent="0.25">
      <c r="A158" s="140" t="s">
        <v>1011</v>
      </c>
      <c r="B158" s="140" t="s">
        <v>355</v>
      </c>
      <c r="C158" s="140" t="s">
        <v>1286</v>
      </c>
      <c r="D158" s="140">
        <v>0</v>
      </c>
      <c r="E158" s="145" t="s">
        <v>354</v>
      </c>
      <c r="F158" s="146">
        <v>0.49</v>
      </c>
      <c r="G158" s="125">
        <v>36.770917774352299</v>
      </c>
      <c r="H158" s="125">
        <v>5.3728944522876052</v>
      </c>
      <c r="I158" s="125">
        <v>31.398023322064692</v>
      </c>
      <c r="J158" s="125">
        <v>9.0729680370861754</v>
      </c>
      <c r="K158" s="125">
        <v>-0.20271160361374108</v>
      </c>
      <c r="L158" s="125">
        <v>8.8702564334724343</v>
      </c>
      <c r="M158" s="125">
        <v>29.043171572909841</v>
      </c>
      <c r="N158" s="148">
        <v>0</v>
      </c>
      <c r="O158" s="122">
        <f>VLOOKUP(B158,Data!B:K,10,FALSE)</f>
        <v>0</v>
      </c>
    </row>
    <row r="159" spans="1:15" x14ac:dyDescent="0.25">
      <c r="A159" s="140" t="s">
        <v>1012</v>
      </c>
      <c r="B159" s="140" t="s">
        <v>153</v>
      </c>
      <c r="C159" s="140" t="s">
        <v>1298</v>
      </c>
      <c r="D159" s="140">
        <v>0</v>
      </c>
      <c r="E159" s="145" t="s">
        <v>801</v>
      </c>
      <c r="F159" s="146">
        <v>0.1</v>
      </c>
      <c r="G159" s="125">
        <v>141.93790925942443</v>
      </c>
      <c r="H159" s="125">
        <v>22.599167637802982</v>
      </c>
      <c r="I159" s="125">
        <v>119.33874162162145</v>
      </c>
      <c r="J159" s="125">
        <v>71.482819212490327</v>
      </c>
      <c r="K159" s="125">
        <v>-0.13269924990930804</v>
      </c>
      <c r="L159" s="125">
        <v>71.350119962581019</v>
      </c>
      <c r="M159" s="125">
        <v>110.38833599999985</v>
      </c>
      <c r="N159" s="148">
        <v>0</v>
      </c>
      <c r="O159" s="122">
        <f>VLOOKUP(B159,Data!B:K,10,FALSE)</f>
        <v>0</v>
      </c>
    </row>
    <row r="160" spans="1:15" x14ac:dyDescent="0.25">
      <c r="A160" s="140" t="s">
        <v>1013</v>
      </c>
      <c r="B160" s="140" t="s">
        <v>357</v>
      </c>
      <c r="C160" s="140" t="s">
        <v>1278</v>
      </c>
      <c r="D160" s="140">
        <v>0</v>
      </c>
      <c r="E160" s="145" t="s">
        <v>356</v>
      </c>
      <c r="F160" s="146">
        <v>0.4</v>
      </c>
      <c r="G160" s="125">
        <v>2.8401135377132967</v>
      </c>
      <c r="H160" s="125">
        <v>0.22101679638041183</v>
      </c>
      <c r="I160" s="125">
        <v>2.6190967413328847</v>
      </c>
      <c r="J160" s="125">
        <v>-15.084191994101152</v>
      </c>
      <c r="K160" s="125">
        <v>-4.4378400548382047E-2</v>
      </c>
      <c r="L160" s="125">
        <v>-15.128570394649534</v>
      </c>
      <c r="M160" s="125">
        <v>2.4226644857329185</v>
      </c>
      <c r="N160" s="148">
        <v>0.5</v>
      </c>
      <c r="O160" s="122">
        <f>VLOOKUP(B160,Data!B:K,10,FALSE)</f>
        <v>0</v>
      </c>
    </row>
    <row r="161" spans="1:15" x14ac:dyDescent="0.25">
      <c r="A161" s="140" t="s">
        <v>1014</v>
      </c>
      <c r="B161" s="140" t="s">
        <v>359</v>
      </c>
      <c r="C161" s="140" t="s">
        <v>1278</v>
      </c>
      <c r="D161" s="140" t="s">
        <v>1279</v>
      </c>
      <c r="E161" s="145" t="s">
        <v>358</v>
      </c>
      <c r="F161" s="146">
        <v>0.5</v>
      </c>
      <c r="G161" s="125">
        <v>2.523324116852304</v>
      </c>
      <c r="H161" s="125">
        <v>0</v>
      </c>
      <c r="I161" s="125">
        <v>2.523324116852304</v>
      </c>
      <c r="J161" s="125">
        <v>-10.240888777517544</v>
      </c>
      <c r="K161" s="125">
        <v>-1.9194600852610932E-2</v>
      </c>
      <c r="L161" s="125">
        <v>-10.260083378370155</v>
      </c>
      <c r="M161" s="125">
        <v>2.447624393346735</v>
      </c>
      <c r="N161" s="148">
        <v>0</v>
      </c>
      <c r="O161" s="122" t="str">
        <f>VLOOKUP(B161,Data!B:K,10,FALSE)</f>
        <v>Derbyshire Business Rates Pool</v>
      </c>
    </row>
    <row r="162" spans="1:15" x14ac:dyDescent="0.25">
      <c r="A162" s="140" t="s">
        <v>1015</v>
      </c>
      <c r="B162" s="140" t="s">
        <v>361</v>
      </c>
      <c r="C162" s="140" t="s">
        <v>1283</v>
      </c>
      <c r="D162" s="140" t="s">
        <v>1284</v>
      </c>
      <c r="E162" s="145" t="s">
        <v>360</v>
      </c>
      <c r="F162" s="146">
        <v>0.64</v>
      </c>
      <c r="G162" s="125">
        <v>58.547512924217763</v>
      </c>
      <c r="H162" s="125">
        <v>0</v>
      </c>
      <c r="I162" s="125">
        <v>58.547512924217763</v>
      </c>
      <c r="J162" s="125">
        <v>-148.48439389469473</v>
      </c>
      <c r="K162" s="125">
        <v>1.2949524086119197</v>
      </c>
      <c r="L162" s="125">
        <v>-147.18944148608281</v>
      </c>
      <c r="M162" s="125">
        <v>56.791087536491226</v>
      </c>
      <c r="N162" s="148">
        <v>0</v>
      </c>
      <c r="O162" s="122">
        <f>VLOOKUP(B162,Data!B:K,10,FALSE)</f>
        <v>0</v>
      </c>
    </row>
    <row r="163" spans="1:15" x14ac:dyDescent="0.25">
      <c r="A163" s="140" t="s">
        <v>1016</v>
      </c>
      <c r="B163" s="140" t="s">
        <v>363</v>
      </c>
      <c r="C163" s="140" t="s">
        <v>1278</v>
      </c>
      <c r="D163" s="140">
        <v>0</v>
      </c>
      <c r="E163" s="145" t="s">
        <v>362</v>
      </c>
      <c r="F163" s="146">
        <v>0.4</v>
      </c>
      <c r="G163" s="125">
        <v>2.9372876255296001</v>
      </c>
      <c r="H163" s="125">
        <v>0.43746099155334944</v>
      </c>
      <c r="I163" s="125">
        <v>2.4998266339762507</v>
      </c>
      <c r="J163" s="125">
        <v>-9.2782666956695437</v>
      </c>
      <c r="K163" s="125">
        <v>5.5324139810425166E-2</v>
      </c>
      <c r="L163" s="125">
        <v>-9.2229425558591185</v>
      </c>
      <c r="M163" s="125">
        <v>2.3123396364280322</v>
      </c>
      <c r="N163" s="148">
        <v>0.5</v>
      </c>
      <c r="O163" s="122" t="str">
        <f>VLOOKUP(B163,Data!B:K,10,FALSE)</f>
        <v>Leicestershire Business Rates Pool</v>
      </c>
    </row>
    <row r="164" spans="1:15" x14ac:dyDescent="0.25">
      <c r="A164" s="140" t="s">
        <v>1017</v>
      </c>
      <c r="B164" s="140" t="s">
        <v>365</v>
      </c>
      <c r="C164" s="140" t="s">
        <v>1278</v>
      </c>
      <c r="D164" s="140">
        <v>0</v>
      </c>
      <c r="E164" s="145" t="s">
        <v>364</v>
      </c>
      <c r="F164" s="146">
        <v>0.4</v>
      </c>
      <c r="G164" s="125">
        <v>1.9739981563034861</v>
      </c>
      <c r="H164" s="125">
        <v>0</v>
      </c>
      <c r="I164" s="125">
        <v>1.9739981563034861</v>
      </c>
      <c r="J164" s="125">
        <v>-14.565028673835204</v>
      </c>
      <c r="K164" s="125">
        <v>8.7885074527170204E-2</v>
      </c>
      <c r="L164" s="125">
        <v>-14.477143599308034</v>
      </c>
      <c r="M164" s="125">
        <v>1.8259482945807246</v>
      </c>
      <c r="N164" s="148">
        <v>0.5</v>
      </c>
      <c r="O164" s="122">
        <f>VLOOKUP(B164,Data!B:K,10,FALSE)</f>
        <v>0</v>
      </c>
    </row>
    <row r="165" spans="1:15" x14ac:dyDescent="0.25">
      <c r="A165" s="140" t="s">
        <v>1018</v>
      </c>
      <c r="B165" s="140" t="s">
        <v>367</v>
      </c>
      <c r="C165" s="140" t="s">
        <v>1283</v>
      </c>
      <c r="D165" s="140" t="s">
        <v>1284</v>
      </c>
      <c r="E165" s="145" t="s">
        <v>366</v>
      </c>
      <c r="F165" s="146">
        <v>0.64</v>
      </c>
      <c r="G165" s="125">
        <v>63.110940019805355</v>
      </c>
      <c r="H165" s="125">
        <v>0</v>
      </c>
      <c r="I165" s="125">
        <v>63.110940019805355</v>
      </c>
      <c r="J165" s="125">
        <v>-49.82033178077544</v>
      </c>
      <c r="K165" s="125">
        <v>0.20990115499608208</v>
      </c>
      <c r="L165" s="125">
        <v>-49.610430625779358</v>
      </c>
      <c r="M165" s="125">
        <v>61.217611819211193</v>
      </c>
      <c r="N165" s="148">
        <v>0</v>
      </c>
      <c r="O165" s="122">
        <f>VLOOKUP(B165,Data!B:K,10,FALSE)</f>
        <v>0</v>
      </c>
    </row>
    <row r="166" spans="1:15" x14ac:dyDescent="0.25">
      <c r="A166" s="140" t="s">
        <v>1019</v>
      </c>
      <c r="B166" s="140" t="s">
        <v>275</v>
      </c>
      <c r="C166" s="140" t="s">
        <v>1281</v>
      </c>
      <c r="D166" s="140">
        <v>0</v>
      </c>
      <c r="E166" s="145" t="s">
        <v>1020</v>
      </c>
      <c r="F166" s="146">
        <v>0.01</v>
      </c>
      <c r="G166" s="125">
        <v>20.215596354816917</v>
      </c>
      <c r="H166" s="125">
        <v>7.9185163512595516</v>
      </c>
      <c r="I166" s="125">
        <v>12.297080003557367</v>
      </c>
      <c r="J166" s="125">
        <v>9.394570971022647</v>
      </c>
      <c r="K166" s="125">
        <v>-5.8975779260634908E-3</v>
      </c>
      <c r="L166" s="125">
        <v>9.3886733930965836</v>
      </c>
      <c r="M166" s="125">
        <v>11.374799003290565</v>
      </c>
      <c r="N166" s="148">
        <v>0</v>
      </c>
      <c r="O166" s="122">
        <f>VLOOKUP(B166,Data!B:K,10,FALSE)</f>
        <v>0</v>
      </c>
    </row>
    <row r="167" spans="1:15" x14ac:dyDescent="0.25">
      <c r="A167" s="140" t="s">
        <v>1021</v>
      </c>
      <c r="B167" s="140" t="s">
        <v>369</v>
      </c>
      <c r="C167" s="140" t="s">
        <v>1278</v>
      </c>
      <c r="D167" s="140">
        <v>0</v>
      </c>
      <c r="E167" s="145" t="s">
        <v>368</v>
      </c>
      <c r="F167" s="146">
        <v>0.4</v>
      </c>
      <c r="G167" s="125">
        <v>5.0128451409726438</v>
      </c>
      <c r="H167" s="125">
        <v>0.60378647433489374</v>
      </c>
      <c r="I167" s="125">
        <v>4.4090586666377503</v>
      </c>
      <c r="J167" s="125">
        <v>-17.830444998042672</v>
      </c>
      <c r="K167" s="125">
        <v>-1.1608623202164381E-2</v>
      </c>
      <c r="L167" s="125">
        <v>-17.842053621244837</v>
      </c>
      <c r="M167" s="125">
        <v>4.078379266639919</v>
      </c>
      <c r="N167" s="148">
        <v>0.5</v>
      </c>
      <c r="O167" s="122">
        <f>VLOOKUP(B167,Data!B:K,10,FALSE)</f>
        <v>0</v>
      </c>
    </row>
    <row r="168" spans="1:15" x14ac:dyDescent="0.25">
      <c r="A168" s="140" t="s">
        <v>1022</v>
      </c>
      <c r="B168" s="140" t="s">
        <v>371</v>
      </c>
      <c r="C168" s="140" t="s">
        <v>1278</v>
      </c>
      <c r="D168" s="140">
        <v>0</v>
      </c>
      <c r="E168" s="145" t="s">
        <v>370</v>
      </c>
      <c r="F168" s="146">
        <v>0.4</v>
      </c>
      <c r="G168" s="125">
        <v>5.4976380711338164</v>
      </c>
      <c r="H168" s="125">
        <v>2.0340247538835778</v>
      </c>
      <c r="I168" s="125">
        <v>3.4636133172502386</v>
      </c>
      <c r="J168" s="125">
        <v>-3.8179774667260071</v>
      </c>
      <c r="K168" s="125">
        <v>0.10939420404477751</v>
      </c>
      <c r="L168" s="125">
        <v>-3.7085832626812296</v>
      </c>
      <c r="M168" s="125">
        <v>3.2038423184564708</v>
      </c>
      <c r="N168" s="148">
        <v>0.5</v>
      </c>
      <c r="O168" s="122" t="str">
        <f>VLOOKUP(B168,Data!B:K,10,FALSE)</f>
        <v>Lancashire Business Rates Pool</v>
      </c>
    </row>
    <row r="169" spans="1:15" x14ac:dyDescent="0.25">
      <c r="A169" s="140" t="s">
        <v>1023</v>
      </c>
      <c r="B169" s="140" t="s">
        <v>373</v>
      </c>
      <c r="C169" s="140" t="s">
        <v>1278</v>
      </c>
      <c r="D169" s="140" t="s">
        <v>1282</v>
      </c>
      <c r="E169" s="145" t="s">
        <v>372</v>
      </c>
      <c r="F169" s="146">
        <v>0.8</v>
      </c>
      <c r="G169" s="125">
        <v>4.1913251441263917</v>
      </c>
      <c r="H169" s="125">
        <v>0</v>
      </c>
      <c r="I169" s="125">
        <v>4.1913251441263917</v>
      </c>
      <c r="J169" s="125">
        <v>-37.193550136335809</v>
      </c>
      <c r="K169" s="125">
        <v>-6.0682902806561856E-2</v>
      </c>
      <c r="L169" s="125">
        <v>-37.25423303914237</v>
      </c>
      <c r="M169" s="125">
        <v>4.0655853898025995</v>
      </c>
      <c r="N169" s="148">
        <v>0</v>
      </c>
      <c r="O169" s="122" t="str">
        <f>VLOOKUP(B169,Data!B:K,10,FALSE)</f>
        <v>Suffolk Business Rates Pool</v>
      </c>
    </row>
    <row r="170" spans="1:15" x14ac:dyDescent="0.25">
      <c r="A170" s="140" t="s">
        <v>1024</v>
      </c>
      <c r="B170" s="140" t="s">
        <v>375</v>
      </c>
      <c r="C170" s="140" t="s">
        <v>1296</v>
      </c>
      <c r="D170" s="140" t="s">
        <v>1303</v>
      </c>
      <c r="E170" s="145" t="s">
        <v>374</v>
      </c>
      <c r="F170" s="146">
        <v>1</v>
      </c>
      <c r="G170" s="125">
        <v>40.074314924271135</v>
      </c>
      <c r="H170" s="125">
        <v>0</v>
      </c>
      <c r="I170" s="125">
        <v>40.074314924271135</v>
      </c>
      <c r="J170" s="125">
        <v>2.3339326561880558</v>
      </c>
      <c r="K170" s="125">
        <v>-8.2285971519561407E-2</v>
      </c>
      <c r="L170" s="125">
        <v>2.2516466846684944</v>
      </c>
      <c r="M170" s="125">
        <v>38.872085476542999</v>
      </c>
      <c r="N170" s="148">
        <v>0</v>
      </c>
      <c r="O170" s="122">
        <f>VLOOKUP(B170,Data!B:K,10,FALSE)</f>
        <v>0</v>
      </c>
    </row>
    <row r="171" spans="1:15" x14ac:dyDescent="0.25">
      <c r="A171" s="140" t="s">
        <v>1025</v>
      </c>
      <c r="B171" s="140" t="s">
        <v>377</v>
      </c>
      <c r="C171" s="140" t="s">
        <v>1296</v>
      </c>
      <c r="D171" s="140">
        <v>0</v>
      </c>
      <c r="E171" s="145" t="s">
        <v>376</v>
      </c>
      <c r="F171" s="146">
        <v>0.5</v>
      </c>
      <c r="G171" s="125">
        <v>3.2988924227566288</v>
      </c>
      <c r="H171" s="125">
        <v>1.8204806934965272</v>
      </c>
      <c r="I171" s="125">
        <v>1.4784117292601016</v>
      </c>
      <c r="J171" s="125">
        <v>0.56077943397311647</v>
      </c>
      <c r="K171" s="125">
        <v>-3.2010483994161509E-3</v>
      </c>
      <c r="L171" s="125">
        <v>0.55757838557370032</v>
      </c>
      <c r="M171" s="125">
        <v>1.367530849565594</v>
      </c>
      <c r="N171" s="148">
        <v>0</v>
      </c>
      <c r="O171" s="122">
        <f>VLOOKUP(B171,Data!B:K,10,FALSE)</f>
        <v>0</v>
      </c>
    </row>
    <row r="172" spans="1:15" x14ac:dyDescent="0.25">
      <c r="A172" s="140" t="s">
        <v>1026</v>
      </c>
      <c r="B172" s="140" t="s">
        <v>379</v>
      </c>
      <c r="C172" s="140" t="s">
        <v>1294</v>
      </c>
      <c r="D172" s="140" t="s">
        <v>1284</v>
      </c>
      <c r="E172" s="145" t="s">
        <v>378</v>
      </c>
      <c r="F172" s="146">
        <v>0.64</v>
      </c>
      <c r="G172" s="125">
        <v>114.56387534645224</v>
      </c>
      <c r="H172" s="125">
        <v>0</v>
      </c>
      <c r="I172" s="125">
        <v>114.56387534645224</v>
      </c>
      <c r="J172" s="125">
        <v>-54.644115015037151</v>
      </c>
      <c r="K172" s="125">
        <v>-2.4451367115673861E-2</v>
      </c>
      <c r="L172" s="125">
        <v>-54.668566382152825</v>
      </c>
      <c r="M172" s="125">
        <v>111.12695908605866</v>
      </c>
      <c r="N172" s="148">
        <v>0</v>
      </c>
      <c r="O172" s="122">
        <f>VLOOKUP(B172,Data!B:K,10,FALSE)</f>
        <v>0</v>
      </c>
    </row>
    <row r="173" spans="1:15" x14ac:dyDescent="0.25">
      <c r="A173" s="140" t="s">
        <v>1027</v>
      </c>
      <c r="B173" s="140" t="s">
        <v>381</v>
      </c>
      <c r="C173" s="140" t="s">
        <v>1294</v>
      </c>
      <c r="D173" s="140" t="s">
        <v>1284</v>
      </c>
      <c r="E173" s="145" t="s">
        <v>380</v>
      </c>
      <c r="F173" s="146">
        <v>0.64</v>
      </c>
      <c r="G173" s="125">
        <v>66.997578363227632</v>
      </c>
      <c r="H173" s="125">
        <v>0</v>
      </c>
      <c r="I173" s="125">
        <v>66.997578363227632</v>
      </c>
      <c r="J173" s="125">
        <v>-151.35047329828575</v>
      </c>
      <c r="K173" s="125">
        <v>-8.3687651174756184E-2</v>
      </c>
      <c r="L173" s="125">
        <v>-151.43416094946051</v>
      </c>
      <c r="M173" s="125">
        <v>64.987651012330801</v>
      </c>
      <c r="N173" s="148">
        <v>0</v>
      </c>
      <c r="O173" s="122">
        <f>VLOOKUP(B173,Data!B:K,10,FALSE)</f>
        <v>0</v>
      </c>
    </row>
    <row r="174" spans="1:15" x14ac:dyDescent="0.25">
      <c r="A174" s="140" t="s">
        <v>1028</v>
      </c>
      <c r="B174" s="140" t="s">
        <v>54</v>
      </c>
      <c r="C174" s="140" t="s">
        <v>1293</v>
      </c>
      <c r="D174" s="140" t="s">
        <v>1280</v>
      </c>
      <c r="E174" s="145" t="s">
        <v>802</v>
      </c>
      <c r="F174" s="146">
        <v>0.59</v>
      </c>
      <c r="G174" s="125">
        <v>218.38359665585827</v>
      </c>
      <c r="H174" s="125">
        <v>0</v>
      </c>
      <c r="I174" s="125">
        <v>218.38359665585827</v>
      </c>
      <c r="J174" s="125">
        <v>-93.564658117107925</v>
      </c>
      <c r="K174" s="125">
        <v>0.41065495534716945</v>
      </c>
      <c r="L174" s="125">
        <v>-93.154003161760755</v>
      </c>
      <c r="M174" s="125">
        <v>211.83208875618251</v>
      </c>
      <c r="N174" s="148">
        <v>0</v>
      </c>
      <c r="O174" s="122" t="str">
        <f>VLOOKUP(B174,Data!B:K,10,FALSE)</f>
        <v>Kent Business Rates Pool</v>
      </c>
    </row>
    <row r="175" spans="1:15" x14ac:dyDescent="0.25">
      <c r="A175" s="140" t="s">
        <v>1029</v>
      </c>
      <c r="B175" s="140" t="s">
        <v>55</v>
      </c>
      <c r="C175" s="140" t="s">
        <v>1281</v>
      </c>
      <c r="D175" s="140" t="s">
        <v>1280</v>
      </c>
      <c r="E175" s="145" t="s">
        <v>1030</v>
      </c>
      <c r="F175" s="146">
        <v>0.01</v>
      </c>
      <c r="G175" s="125">
        <v>21.598171788803668</v>
      </c>
      <c r="H175" s="125">
        <v>0</v>
      </c>
      <c r="I175" s="125">
        <v>21.598171788803668</v>
      </c>
      <c r="J175" s="125">
        <v>15.45251832656977</v>
      </c>
      <c r="K175" s="125">
        <v>4.0388324440726819E-2</v>
      </c>
      <c r="L175" s="125">
        <v>15.492906651010497</v>
      </c>
      <c r="M175" s="125">
        <v>20.950226635139558</v>
      </c>
      <c r="N175" s="148">
        <v>0</v>
      </c>
      <c r="O175" s="122" t="str">
        <f>VLOOKUP(B175,Data!B:K,10,FALSE)</f>
        <v>Kent Business Rates Pool</v>
      </c>
    </row>
    <row r="176" spans="1:15" x14ac:dyDescent="0.25">
      <c r="A176" s="140" t="s">
        <v>1031</v>
      </c>
      <c r="B176" s="140" t="s">
        <v>383</v>
      </c>
      <c r="C176" s="140" t="s">
        <v>1278</v>
      </c>
      <c r="D176" s="140">
        <v>0</v>
      </c>
      <c r="E176" s="145" t="s">
        <v>382</v>
      </c>
      <c r="F176" s="146">
        <v>0.4</v>
      </c>
      <c r="G176" s="125">
        <v>2.5990283813505886</v>
      </c>
      <c r="H176" s="125">
        <v>0.17080655115635412</v>
      </c>
      <c r="I176" s="125">
        <v>2.4282218301942344</v>
      </c>
      <c r="J176" s="125">
        <v>-8.2989303435917527</v>
      </c>
      <c r="K176" s="125">
        <v>-0.18963306278915759</v>
      </c>
      <c r="L176" s="125">
        <v>-8.4885634063809103</v>
      </c>
      <c r="M176" s="125">
        <v>2.2461051929296669</v>
      </c>
      <c r="N176" s="148">
        <v>0.5</v>
      </c>
      <c r="O176" s="122" t="str">
        <f>VLOOKUP(B176,Data!B:K,10,FALSE)</f>
        <v>Northamptonshire Business Rates Pool</v>
      </c>
    </row>
    <row r="177" spans="1:15" x14ac:dyDescent="0.25">
      <c r="A177" s="140" t="s">
        <v>1032</v>
      </c>
      <c r="B177" s="140" t="s">
        <v>385</v>
      </c>
      <c r="C177" s="140" t="s">
        <v>1278</v>
      </c>
      <c r="D177" s="140">
        <v>0</v>
      </c>
      <c r="E177" s="145" t="s">
        <v>384</v>
      </c>
      <c r="F177" s="146">
        <v>0.4</v>
      </c>
      <c r="G177" s="125">
        <v>6.552520994180596</v>
      </c>
      <c r="H177" s="125">
        <v>1.2703799302653707</v>
      </c>
      <c r="I177" s="125">
        <v>5.2821410639152253</v>
      </c>
      <c r="J177" s="125">
        <v>-10.969117960456968</v>
      </c>
      <c r="K177" s="125">
        <v>-0.19693962951370381</v>
      </c>
      <c r="L177" s="125">
        <v>-11.166057589970672</v>
      </c>
      <c r="M177" s="125">
        <v>4.8859804841215837</v>
      </c>
      <c r="N177" s="148">
        <v>0.5</v>
      </c>
      <c r="O177" s="122" t="str">
        <f>VLOOKUP(B177,Data!B:K,10,FALSE)</f>
        <v>Norfolk Business Rates Pool</v>
      </c>
    </row>
    <row r="178" spans="1:15" x14ac:dyDescent="0.25">
      <c r="A178" s="140" t="s">
        <v>1033</v>
      </c>
      <c r="B178" s="140" t="s">
        <v>387</v>
      </c>
      <c r="C178" s="140" t="s">
        <v>1286</v>
      </c>
      <c r="D178" s="140">
        <v>0</v>
      </c>
      <c r="E178" s="145" t="s">
        <v>386</v>
      </c>
      <c r="F178" s="146">
        <v>0.49</v>
      </c>
      <c r="G178" s="125">
        <v>110.29884123669108</v>
      </c>
      <c r="H178" s="125">
        <v>31.823662379118645</v>
      </c>
      <c r="I178" s="125">
        <v>78.475178857572431</v>
      </c>
      <c r="J178" s="125">
        <v>38.377075218805196</v>
      </c>
      <c r="K178" s="125">
        <v>-0.90573587248534437</v>
      </c>
      <c r="L178" s="125">
        <v>37.471339346319851</v>
      </c>
      <c r="M178" s="125">
        <v>72.589540443254506</v>
      </c>
      <c r="N178" s="148">
        <v>0</v>
      </c>
      <c r="O178" s="122">
        <f>VLOOKUP(B178,Data!B:K,10,FALSE)</f>
        <v>0</v>
      </c>
    </row>
    <row r="179" spans="1:15" x14ac:dyDescent="0.25">
      <c r="A179" s="140" t="s">
        <v>1034</v>
      </c>
      <c r="B179" s="140" t="s">
        <v>389</v>
      </c>
      <c r="C179" s="140" t="s">
        <v>1283</v>
      </c>
      <c r="D179" s="140" t="s">
        <v>1284</v>
      </c>
      <c r="E179" s="145" t="s">
        <v>388</v>
      </c>
      <c r="F179" s="146">
        <v>0.64</v>
      </c>
      <c r="G179" s="125">
        <v>22.770146100272232</v>
      </c>
      <c r="H179" s="125">
        <v>0</v>
      </c>
      <c r="I179" s="125">
        <v>22.770146100272232</v>
      </c>
      <c r="J179" s="125">
        <v>-31.370847714766747</v>
      </c>
      <c r="K179" s="125">
        <v>0.11489141856168672</v>
      </c>
      <c r="L179" s="125">
        <v>-31.25595629620506</v>
      </c>
      <c r="M179" s="125">
        <v>22.087041717264064</v>
      </c>
      <c r="N179" s="148">
        <v>0</v>
      </c>
      <c r="O179" s="122">
        <f>VLOOKUP(B179,Data!B:K,10,FALSE)</f>
        <v>0</v>
      </c>
    </row>
    <row r="180" spans="1:15" x14ac:dyDescent="0.25">
      <c r="A180" s="140" t="s">
        <v>1035</v>
      </c>
      <c r="B180" s="140" t="s">
        <v>391</v>
      </c>
      <c r="C180" s="140" t="s">
        <v>1285</v>
      </c>
      <c r="D180" s="140" t="s">
        <v>1292</v>
      </c>
      <c r="E180" s="145" t="s">
        <v>390</v>
      </c>
      <c r="F180" s="146">
        <v>0.99</v>
      </c>
      <c r="G180" s="125">
        <v>102.35553195399795</v>
      </c>
      <c r="H180" s="125">
        <v>0</v>
      </c>
      <c r="I180" s="125">
        <v>102.35553195399795</v>
      </c>
      <c r="J180" s="125">
        <v>-2.3403001288384946</v>
      </c>
      <c r="K180" s="125">
        <v>0.22673973753613641</v>
      </c>
      <c r="L180" s="125">
        <v>-2.1135603913023582</v>
      </c>
      <c r="M180" s="125">
        <v>99.284865995378013</v>
      </c>
      <c r="N180" s="148">
        <v>0</v>
      </c>
      <c r="O180" s="122" t="str">
        <f>VLOOKUP(B180,Data!B:K,10,FALSE)</f>
        <v>Leeds City Region Business Rates Pool</v>
      </c>
    </row>
    <row r="181" spans="1:15" x14ac:dyDescent="0.25">
      <c r="A181" s="140" t="s">
        <v>1036</v>
      </c>
      <c r="B181" s="140" t="s">
        <v>393</v>
      </c>
      <c r="C181" s="140" t="s">
        <v>1285</v>
      </c>
      <c r="D181" s="140" t="s">
        <v>1302</v>
      </c>
      <c r="E181" s="145" t="s">
        <v>392</v>
      </c>
      <c r="F181" s="146">
        <v>0.99</v>
      </c>
      <c r="G181" s="125">
        <v>95.637513940630228</v>
      </c>
      <c r="H181" s="125">
        <v>0</v>
      </c>
      <c r="I181" s="125">
        <v>95.637513940630228</v>
      </c>
      <c r="J181" s="125">
        <v>54.783309021197304</v>
      </c>
      <c r="K181" s="125">
        <v>1.2620614041199758</v>
      </c>
      <c r="L181" s="125">
        <v>56.04537042531728</v>
      </c>
      <c r="M181" s="125">
        <v>92.768388522411314</v>
      </c>
      <c r="N181" s="148">
        <v>0</v>
      </c>
      <c r="O181" s="122">
        <f>VLOOKUP(B181,Data!B:K,10,FALSE)</f>
        <v>0</v>
      </c>
    </row>
    <row r="182" spans="1:15" x14ac:dyDescent="0.25">
      <c r="A182" s="140" t="s">
        <v>1037</v>
      </c>
      <c r="B182" s="140" t="s">
        <v>396</v>
      </c>
      <c r="C182" s="140" t="s">
        <v>1294</v>
      </c>
      <c r="D182" s="140" t="s">
        <v>1284</v>
      </c>
      <c r="E182" s="145" t="s">
        <v>395</v>
      </c>
      <c r="F182" s="146">
        <v>0.64</v>
      </c>
      <c r="G182" s="125">
        <v>150.04293817345697</v>
      </c>
      <c r="H182" s="125">
        <v>0</v>
      </c>
      <c r="I182" s="125">
        <v>150.04293817345697</v>
      </c>
      <c r="J182" s="125">
        <v>52.005465830509202</v>
      </c>
      <c r="K182" s="125">
        <v>0.87555932561252092</v>
      </c>
      <c r="L182" s="125">
        <v>52.881025156121723</v>
      </c>
      <c r="M182" s="125">
        <v>145.54165002825326</v>
      </c>
      <c r="N182" s="148">
        <v>0</v>
      </c>
      <c r="O182" s="122">
        <f>VLOOKUP(B182,Data!B:K,10,FALSE)</f>
        <v>0</v>
      </c>
    </row>
    <row r="183" spans="1:15" x14ac:dyDescent="0.25">
      <c r="A183" s="140" t="s">
        <v>1038</v>
      </c>
      <c r="B183" s="140" t="s">
        <v>158</v>
      </c>
      <c r="C183" s="140" t="s">
        <v>1293</v>
      </c>
      <c r="D183" s="140">
        <v>0</v>
      </c>
      <c r="E183" s="145" t="s">
        <v>803</v>
      </c>
      <c r="F183" s="146">
        <v>0.09</v>
      </c>
      <c r="G183" s="125">
        <v>239.2438150996451</v>
      </c>
      <c r="H183" s="125">
        <v>56.979607564061581</v>
      </c>
      <c r="I183" s="125">
        <v>182.26420753558352</v>
      </c>
      <c r="J183" s="125">
        <v>152.07889127045962</v>
      </c>
      <c r="K183" s="125">
        <v>0.6010419141561556</v>
      </c>
      <c r="L183" s="125">
        <v>152.67993318461578</v>
      </c>
      <c r="M183" s="125">
        <v>168.59439197041476</v>
      </c>
      <c r="N183" s="148">
        <v>0</v>
      </c>
      <c r="O183" s="122" t="str">
        <f>VLOOKUP(B183,Data!B:K,10,FALSE)</f>
        <v>Lancashire Business Rates Pool</v>
      </c>
    </row>
    <row r="184" spans="1:15" x14ac:dyDescent="0.25">
      <c r="A184" s="140" t="s">
        <v>1039</v>
      </c>
      <c r="B184" s="140" t="s">
        <v>106</v>
      </c>
      <c r="C184" s="140" t="s">
        <v>1281</v>
      </c>
      <c r="D184" s="140">
        <v>0</v>
      </c>
      <c r="E184" s="145" t="s">
        <v>1040</v>
      </c>
      <c r="F184" s="146">
        <v>0.01</v>
      </c>
      <c r="G184" s="125">
        <v>24.34607253398763</v>
      </c>
      <c r="H184" s="125">
        <v>9.2616487983101603</v>
      </c>
      <c r="I184" s="125">
        <v>15.084423735677472</v>
      </c>
      <c r="J184" s="125">
        <v>10.865213706371723</v>
      </c>
      <c r="K184" s="125">
        <v>7.0921089769161227E-2</v>
      </c>
      <c r="L184" s="125">
        <v>10.936134796140884</v>
      </c>
      <c r="M184" s="125">
        <v>13.953091955501662</v>
      </c>
      <c r="N184" s="148">
        <v>0</v>
      </c>
      <c r="O184" s="122">
        <f>VLOOKUP(B184,Data!B:K,10,FALSE)</f>
        <v>0</v>
      </c>
    </row>
    <row r="185" spans="1:15" x14ac:dyDescent="0.25">
      <c r="A185" s="140" t="s">
        <v>1041</v>
      </c>
      <c r="B185" s="140" t="s">
        <v>398</v>
      </c>
      <c r="C185" s="140" t="s">
        <v>1278</v>
      </c>
      <c r="D185" s="140">
        <v>0</v>
      </c>
      <c r="E185" s="145" t="s">
        <v>397</v>
      </c>
      <c r="F185" s="146">
        <v>0.4</v>
      </c>
      <c r="G185" s="125">
        <v>6.4595870916205564</v>
      </c>
      <c r="H185" s="125">
        <v>0.94125933760156111</v>
      </c>
      <c r="I185" s="125">
        <v>5.518327754018995</v>
      </c>
      <c r="J185" s="125">
        <v>-18.848052836798598</v>
      </c>
      <c r="K185" s="125">
        <v>1.0749224797452577</v>
      </c>
      <c r="L185" s="125">
        <v>-17.77313035705334</v>
      </c>
      <c r="M185" s="125">
        <v>5.1044531724675704</v>
      </c>
      <c r="N185" s="148">
        <v>0.5</v>
      </c>
      <c r="O185" s="122">
        <f>VLOOKUP(B185,Data!B:K,10,FALSE)</f>
        <v>0</v>
      </c>
    </row>
    <row r="186" spans="1:15" x14ac:dyDescent="0.25">
      <c r="A186" s="140" t="s">
        <v>1042</v>
      </c>
      <c r="B186" s="140" t="s">
        <v>400</v>
      </c>
      <c r="C186" s="140" t="s">
        <v>1285</v>
      </c>
      <c r="D186" s="140" t="s">
        <v>1292</v>
      </c>
      <c r="E186" s="145" t="s">
        <v>399</v>
      </c>
      <c r="F186" s="146">
        <v>0.99</v>
      </c>
      <c r="G186" s="125">
        <v>198.88432570155484</v>
      </c>
      <c r="H186" s="125">
        <v>0</v>
      </c>
      <c r="I186" s="125">
        <v>198.88432570155484</v>
      </c>
      <c r="J186" s="125">
        <v>-136.93478019126184</v>
      </c>
      <c r="K186" s="125">
        <v>-1.9279331526036003E-2</v>
      </c>
      <c r="L186" s="125">
        <v>-136.95405952278787</v>
      </c>
      <c r="M186" s="125">
        <v>192.91779593050819</v>
      </c>
      <c r="N186" s="148">
        <v>0</v>
      </c>
      <c r="O186" s="122" t="str">
        <f>VLOOKUP(B186,Data!B:K,10,FALSE)</f>
        <v>Leeds City Region Business Rates Pool</v>
      </c>
    </row>
    <row r="187" spans="1:15" x14ac:dyDescent="0.25">
      <c r="A187" s="140" t="s">
        <v>1043</v>
      </c>
      <c r="B187" s="140" t="s">
        <v>402</v>
      </c>
      <c r="C187" s="140" t="s">
        <v>1286</v>
      </c>
      <c r="D187" s="140">
        <v>0</v>
      </c>
      <c r="E187" s="145" t="s">
        <v>401</v>
      </c>
      <c r="F187" s="146">
        <v>0.49</v>
      </c>
      <c r="G187" s="125">
        <v>135.82614573054676</v>
      </c>
      <c r="H187" s="125">
        <v>38.357791779071299</v>
      </c>
      <c r="I187" s="125">
        <v>97.46835395147545</v>
      </c>
      <c r="J187" s="125">
        <v>44.209130089277814</v>
      </c>
      <c r="K187" s="125">
        <v>0.79066789307604068</v>
      </c>
      <c r="L187" s="125">
        <v>44.999797982353854</v>
      </c>
      <c r="M187" s="125">
        <v>90.1582274051148</v>
      </c>
      <c r="N187" s="148">
        <v>0</v>
      </c>
      <c r="O187" s="122" t="str">
        <f>VLOOKUP(B187,Data!B:K,10,FALSE)</f>
        <v>Leicestershire Business Rates Pool</v>
      </c>
    </row>
    <row r="188" spans="1:15" x14ac:dyDescent="0.25">
      <c r="A188" s="140" t="s">
        <v>1044</v>
      </c>
      <c r="B188" s="140" t="s">
        <v>101</v>
      </c>
      <c r="C188" s="140" t="s">
        <v>1293</v>
      </c>
      <c r="D188" s="140">
        <v>0</v>
      </c>
      <c r="E188" s="145" t="s">
        <v>804</v>
      </c>
      <c r="F188" s="146">
        <v>0.09</v>
      </c>
      <c r="G188" s="125">
        <v>68.067397279990246</v>
      </c>
      <c r="H188" s="125">
        <v>8.548720524127722</v>
      </c>
      <c r="I188" s="125">
        <v>59.518676755862522</v>
      </c>
      <c r="J188" s="125">
        <v>38.810119654387833</v>
      </c>
      <c r="K188" s="125">
        <v>0.11258008739373793</v>
      </c>
      <c r="L188" s="125">
        <v>38.922699741781571</v>
      </c>
      <c r="M188" s="125">
        <v>55.054775999172833</v>
      </c>
      <c r="N188" s="148">
        <v>0</v>
      </c>
      <c r="O188" s="122" t="str">
        <f>VLOOKUP(B188,Data!B:K,10,FALSE)</f>
        <v>Leicestershire Business Rates Pool</v>
      </c>
    </row>
    <row r="189" spans="1:15" x14ac:dyDescent="0.25">
      <c r="A189" s="140" t="s">
        <v>1045</v>
      </c>
      <c r="B189" s="140" t="s">
        <v>102</v>
      </c>
      <c r="C189" s="140" t="s">
        <v>1281</v>
      </c>
      <c r="D189" s="140">
        <v>0</v>
      </c>
      <c r="E189" s="145" t="s">
        <v>1046</v>
      </c>
      <c r="F189" s="146">
        <v>0.01</v>
      </c>
      <c r="G189" s="125">
        <v>13.43231702080006</v>
      </c>
      <c r="H189" s="125">
        <v>4.7676783413881365</v>
      </c>
      <c r="I189" s="125">
        <v>8.6646386794119241</v>
      </c>
      <c r="J189" s="125">
        <v>5.1668613587683403</v>
      </c>
      <c r="K189" s="125">
        <v>2.8220306409461493E-2</v>
      </c>
      <c r="L189" s="125">
        <v>5.1950816651778018</v>
      </c>
      <c r="M189" s="125">
        <v>8.0147907784560299</v>
      </c>
      <c r="N189" s="148">
        <v>0</v>
      </c>
      <c r="O189" s="122" t="str">
        <f>VLOOKUP(B189,Data!B:K,10,FALSE)</f>
        <v>Leicestershire Business Rates Pool</v>
      </c>
    </row>
    <row r="190" spans="1:15" x14ac:dyDescent="0.25">
      <c r="A190" s="140" t="s">
        <v>1047</v>
      </c>
      <c r="B190" s="140" t="s">
        <v>404</v>
      </c>
      <c r="C190" s="140" t="s">
        <v>1278</v>
      </c>
      <c r="D190" s="140">
        <v>0</v>
      </c>
      <c r="E190" s="145" t="s">
        <v>403</v>
      </c>
      <c r="F190" s="146">
        <v>0.4</v>
      </c>
      <c r="G190" s="125">
        <v>2.1597886944844964</v>
      </c>
      <c r="H190" s="125">
        <v>2.326673364751041E-3</v>
      </c>
      <c r="I190" s="125">
        <v>2.1574620211197453</v>
      </c>
      <c r="J190" s="125">
        <v>-7.5077948405545074</v>
      </c>
      <c r="K190" s="125">
        <v>1.6216119919548078E-2</v>
      </c>
      <c r="L190" s="125">
        <v>-7.4915787206349593</v>
      </c>
      <c r="M190" s="125">
        <v>1.9956523695357644</v>
      </c>
      <c r="N190" s="148">
        <v>0.5</v>
      </c>
      <c r="O190" s="122">
        <f>VLOOKUP(B190,Data!B:K,10,FALSE)</f>
        <v>0</v>
      </c>
    </row>
    <row r="191" spans="1:15" x14ac:dyDescent="0.25">
      <c r="A191" s="140" t="s">
        <v>1048</v>
      </c>
      <c r="B191" s="140" t="s">
        <v>406</v>
      </c>
      <c r="C191" s="140" t="s">
        <v>1294</v>
      </c>
      <c r="D191" s="140" t="s">
        <v>1284</v>
      </c>
      <c r="E191" s="145" t="s">
        <v>405</v>
      </c>
      <c r="F191" s="146">
        <v>0.64</v>
      </c>
      <c r="G191" s="125">
        <v>128.4700806398028</v>
      </c>
      <c r="H191" s="125">
        <v>0</v>
      </c>
      <c r="I191" s="125">
        <v>128.4700806398028</v>
      </c>
      <c r="J191" s="125">
        <v>87.473811850133359</v>
      </c>
      <c r="K191" s="125">
        <v>1.0272200944794605</v>
      </c>
      <c r="L191" s="125">
        <v>88.501031944612819</v>
      </c>
      <c r="M191" s="125">
        <v>124.61597822060871</v>
      </c>
      <c r="N191" s="148">
        <v>0</v>
      </c>
      <c r="O191" s="122">
        <f>VLOOKUP(B191,Data!B:K,10,FALSE)</f>
        <v>0</v>
      </c>
    </row>
    <row r="192" spans="1:15" x14ac:dyDescent="0.25">
      <c r="A192" s="140" t="s">
        <v>1049</v>
      </c>
      <c r="B192" s="140" t="s">
        <v>408</v>
      </c>
      <c r="C192" s="140" t="s">
        <v>1278</v>
      </c>
      <c r="D192" s="140">
        <v>0</v>
      </c>
      <c r="E192" s="145" t="s">
        <v>407</v>
      </c>
      <c r="F192" s="146">
        <v>0.4</v>
      </c>
      <c r="G192" s="125">
        <v>2.0361545941395685</v>
      </c>
      <c r="H192" s="125">
        <v>0</v>
      </c>
      <c r="I192" s="125">
        <v>2.0361545941395685</v>
      </c>
      <c r="J192" s="125">
        <v>-11.189162671740579</v>
      </c>
      <c r="K192" s="125">
        <v>0.16292131791049336</v>
      </c>
      <c r="L192" s="125">
        <v>-11.026241353830086</v>
      </c>
      <c r="M192" s="125">
        <v>1.8834429995791009</v>
      </c>
      <c r="N192" s="148">
        <v>0.5</v>
      </c>
      <c r="O192" s="122" t="str">
        <f>VLOOKUP(B192,Data!B:K,10,FALSE)</f>
        <v>Greater Birmingham &amp; Solihull Business Rates Pool</v>
      </c>
    </row>
    <row r="193" spans="1:15" x14ac:dyDescent="0.25">
      <c r="A193" s="140" t="s">
        <v>1050</v>
      </c>
      <c r="B193" s="140" t="s">
        <v>410</v>
      </c>
      <c r="C193" s="140" t="s">
        <v>1278</v>
      </c>
      <c r="D193" s="140" t="s">
        <v>1290</v>
      </c>
      <c r="E193" s="145" t="s">
        <v>409</v>
      </c>
      <c r="F193" s="146">
        <v>0.60000000000000009</v>
      </c>
      <c r="G193" s="125">
        <v>4.196915992183877</v>
      </c>
      <c r="H193" s="125">
        <v>0</v>
      </c>
      <c r="I193" s="125">
        <v>4.196915992183877</v>
      </c>
      <c r="J193" s="125">
        <v>-20.199490226463528</v>
      </c>
      <c r="K193" s="125">
        <v>0.1694870999825504</v>
      </c>
      <c r="L193" s="125">
        <v>-20.030003126480977</v>
      </c>
      <c r="M193" s="125">
        <v>4.0710085124183601</v>
      </c>
      <c r="N193" s="148">
        <v>0</v>
      </c>
      <c r="O193" s="122" t="str">
        <f>VLOOKUP(B193,Data!B:K,10,FALSE)</f>
        <v>Lincolnshire Business Rates Pool</v>
      </c>
    </row>
    <row r="194" spans="1:15" x14ac:dyDescent="0.25">
      <c r="A194" s="140" t="s">
        <v>1051</v>
      </c>
      <c r="B194" s="140" t="s">
        <v>116</v>
      </c>
      <c r="C194" s="140" t="s">
        <v>1298</v>
      </c>
      <c r="D194" s="140" t="s">
        <v>1290</v>
      </c>
      <c r="E194" s="145" t="s">
        <v>805</v>
      </c>
      <c r="F194" s="146">
        <v>0.4</v>
      </c>
      <c r="G194" s="125">
        <v>148.11899983654351</v>
      </c>
      <c r="H194" s="125">
        <v>0</v>
      </c>
      <c r="I194" s="125">
        <v>148.11899983654351</v>
      </c>
      <c r="J194" s="125">
        <v>70.542981605755813</v>
      </c>
      <c r="K194" s="125">
        <v>0.11957121938065995</v>
      </c>
      <c r="L194" s="125">
        <v>70.662552825136473</v>
      </c>
      <c r="M194" s="125">
        <v>143.6754298414472</v>
      </c>
      <c r="N194" s="148">
        <v>0</v>
      </c>
      <c r="O194" s="122" t="str">
        <f>VLOOKUP(B194,Data!B:K,10,FALSE)</f>
        <v>Lincolnshire Business Rates Pool</v>
      </c>
    </row>
    <row r="195" spans="1:15" x14ac:dyDescent="0.25">
      <c r="A195" s="140" t="s">
        <v>1052</v>
      </c>
      <c r="B195" s="140" t="s">
        <v>412</v>
      </c>
      <c r="C195" s="140" t="s">
        <v>1285</v>
      </c>
      <c r="D195" s="140" t="s">
        <v>1302</v>
      </c>
      <c r="E195" s="145" t="s">
        <v>411</v>
      </c>
      <c r="F195" s="146">
        <v>0.99</v>
      </c>
      <c r="G195" s="125">
        <v>264.32512197238583</v>
      </c>
      <c r="H195" s="125">
        <v>0</v>
      </c>
      <c r="I195" s="125">
        <v>264.32512197238583</v>
      </c>
      <c r="J195" s="125">
        <v>72.819230297892332</v>
      </c>
      <c r="K195" s="125">
        <v>0.36466251445949638</v>
      </c>
      <c r="L195" s="125">
        <v>73.183892812351829</v>
      </c>
      <c r="M195" s="125">
        <v>256.39536831321425</v>
      </c>
      <c r="N195" s="148">
        <v>0</v>
      </c>
      <c r="O195" s="122">
        <f>VLOOKUP(B195,Data!B:K,10,FALSE)</f>
        <v>0</v>
      </c>
    </row>
    <row r="196" spans="1:15" x14ac:dyDescent="0.25">
      <c r="A196" s="140" t="s">
        <v>1053</v>
      </c>
      <c r="B196" s="140" t="s">
        <v>414</v>
      </c>
      <c r="C196" s="140" t="s">
        <v>1286</v>
      </c>
      <c r="D196" s="140">
        <v>0</v>
      </c>
      <c r="E196" s="145" t="s">
        <v>413</v>
      </c>
      <c r="F196" s="146">
        <v>0.49</v>
      </c>
      <c r="G196" s="125">
        <v>62.820504782570083</v>
      </c>
      <c r="H196" s="125">
        <v>15.941268319667959</v>
      </c>
      <c r="I196" s="125">
        <v>46.879236462902128</v>
      </c>
      <c r="J196" s="125">
        <v>13.955652609362687</v>
      </c>
      <c r="K196" s="125">
        <v>0.68037484000738857</v>
      </c>
      <c r="L196" s="125">
        <v>14.636027449370076</v>
      </c>
      <c r="M196" s="125">
        <v>43.363293728184473</v>
      </c>
      <c r="N196" s="148">
        <v>0</v>
      </c>
      <c r="O196" s="122">
        <f>VLOOKUP(B196,Data!B:K,10,FALSE)</f>
        <v>0</v>
      </c>
    </row>
    <row r="197" spans="1:15" x14ac:dyDescent="0.25">
      <c r="A197" s="140" t="s">
        <v>1054</v>
      </c>
      <c r="B197" s="140" t="s">
        <v>416</v>
      </c>
      <c r="C197" s="140" t="s">
        <v>1278</v>
      </c>
      <c r="D197" s="140" t="s">
        <v>1280</v>
      </c>
      <c r="E197" s="145" t="s">
        <v>415</v>
      </c>
      <c r="F197" s="146">
        <v>0.4</v>
      </c>
      <c r="G197" s="125">
        <v>3.135707016154103</v>
      </c>
      <c r="H197" s="125">
        <v>0</v>
      </c>
      <c r="I197" s="125">
        <v>3.135707016154103</v>
      </c>
      <c r="J197" s="125">
        <v>-18.602194413172846</v>
      </c>
      <c r="K197" s="125">
        <v>5.1000979980575067E-2</v>
      </c>
      <c r="L197" s="125">
        <v>-18.551193433192271</v>
      </c>
      <c r="M197" s="125">
        <v>3.0416358056694799</v>
      </c>
      <c r="N197" s="148">
        <v>0</v>
      </c>
      <c r="O197" s="122" t="str">
        <f>VLOOKUP(B197,Data!B:K,10,FALSE)</f>
        <v>Kent Business Rates Pool</v>
      </c>
    </row>
    <row r="198" spans="1:15" x14ac:dyDescent="0.25">
      <c r="A198" s="140" t="s">
        <v>1055</v>
      </c>
      <c r="B198" s="140" t="s">
        <v>418</v>
      </c>
      <c r="C198" s="140" t="s">
        <v>1278</v>
      </c>
      <c r="D198" s="140">
        <v>0</v>
      </c>
      <c r="E198" s="145" t="s">
        <v>417</v>
      </c>
      <c r="F198" s="146">
        <v>0.4</v>
      </c>
      <c r="G198" s="125">
        <v>1.4741346044812669</v>
      </c>
      <c r="H198" s="125">
        <v>0</v>
      </c>
      <c r="I198" s="125">
        <v>1.4741346044812669</v>
      </c>
      <c r="J198" s="125">
        <v>-3.7193100800429155</v>
      </c>
      <c r="K198" s="125">
        <v>-1.7948460122904741E-2</v>
      </c>
      <c r="L198" s="125">
        <v>-3.7372585401658203</v>
      </c>
      <c r="M198" s="125">
        <v>1.3635745091451719</v>
      </c>
      <c r="N198" s="148">
        <v>0.5</v>
      </c>
      <c r="O198" s="122" t="str">
        <f>VLOOKUP(B198,Data!B:K,10,FALSE)</f>
        <v>Essex Business Rates Pool</v>
      </c>
    </row>
    <row r="199" spans="1:15" x14ac:dyDescent="0.25">
      <c r="A199" s="140" t="s">
        <v>1056</v>
      </c>
      <c r="B199" s="140" t="s">
        <v>420</v>
      </c>
      <c r="C199" s="140" t="s">
        <v>1278</v>
      </c>
      <c r="D199" s="140">
        <v>0</v>
      </c>
      <c r="E199" s="145" t="s">
        <v>419</v>
      </c>
      <c r="F199" s="146">
        <v>0.4</v>
      </c>
      <c r="G199" s="125">
        <v>1.8623541091215028</v>
      </c>
      <c r="H199" s="125">
        <v>0.10359529231048702</v>
      </c>
      <c r="I199" s="125">
        <v>1.7587588168110158</v>
      </c>
      <c r="J199" s="125">
        <v>-4.7902783969638438</v>
      </c>
      <c r="K199" s="125">
        <v>1.2764020277989729E-2</v>
      </c>
      <c r="L199" s="125">
        <v>-4.7775143766858541</v>
      </c>
      <c r="M199" s="125">
        <v>1.6268519055501895</v>
      </c>
      <c r="N199" s="148">
        <v>0.5</v>
      </c>
      <c r="O199" s="122">
        <f>VLOOKUP(B199,Data!B:K,10,FALSE)</f>
        <v>0</v>
      </c>
    </row>
    <row r="200" spans="1:15" x14ac:dyDescent="0.25">
      <c r="A200" s="140" t="s">
        <v>1057</v>
      </c>
      <c r="B200" s="140" t="s">
        <v>423</v>
      </c>
      <c r="C200" s="140" t="s">
        <v>1285</v>
      </c>
      <c r="D200" s="140" t="s">
        <v>1289</v>
      </c>
      <c r="E200" s="145" t="s">
        <v>422</v>
      </c>
      <c r="F200" s="146">
        <v>0.99</v>
      </c>
      <c r="G200" s="125">
        <v>297.58153275209378</v>
      </c>
      <c r="H200" s="125">
        <v>0</v>
      </c>
      <c r="I200" s="125">
        <v>297.58153275209378</v>
      </c>
      <c r="J200" s="125">
        <v>-19.014917508270383</v>
      </c>
      <c r="K200" s="125">
        <v>2.3847044055094706</v>
      </c>
      <c r="L200" s="125">
        <v>-16.630213102760912</v>
      </c>
      <c r="M200" s="125">
        <v>288.65408676953098</v>
      </c>
      <c r="N200" s="148">
        <v>0</v>
      </c>
      <c r="O200" s="122" t="str">
        <f>VLOOKUP(B200,Data!B:K,10,FALSE)</f>
        <v>Greater Manchester &amp; Cheshire Business Rates Pool</v>
      </c>
    </row>
    <row r="201" spans="1:15" x14ac:dyDescent="0.25">
      <c r="A201" s="140" t="s">
        <v>1058</v>
      </c>
      <c r="B201" s="140" t="s">
        <v>425</v>
      </c>
      <c r="C201" s="140" t="s">
        <v>1278</v>
      </c>
      <c r="D201" s="140">
        <v>0</v>
      </c>
      <c r="E201" s="145" t="s">
        <v>424</v>
      </c>
      <c r="F201" s="146">
        <v>0.4</v>
      </c>
      <c r="G201" s="125">
        <v>4.3219163105112877</v>
      </c>
      <c r="H201" s="125">
        <v>0.73199405251528138</v>
      </c>
      <c r="I201" s="125">
        <v>3.5899222579960064</v>
      </c>
      <c r="J201" s="125">
        <v>-7.1046581824319865</v>
      </c>
      <c r="K201" s="125">
        <v>0.10529339488953138</v>
      </c>
      <c r="L201" s="125">
        <v>-6.9993647875424552</v>
      </c>
      <c r="M201" s="125">
        <v>3.3206780886463059</v>
      </c>
      <c r="N201" s="148">
        <v>0.5</v>
      </c>
      <c r="O201" s="122" t="str">
        <f>VLOOKUP(B201,Data!B:K,10,FALSE)</f>
        <v>Nottingham Business Rates Pool</v>
      </c>
    </row>
    <row r="202" spans="1:15" x14ac:dyDescent="0.25">
      <c r="A202" s="140" t="s">
        <v>1059</v>
      </c>
      <c r="B202" s="140" t="s">
        <v>427</v>
      </c>
      <c r="C202" s="140" t="s">
        <v>1286</v>
      </c>
      <c r="D202" s="140" t="s">
        <v>1280</v>
      </c>
      <c r="E202" s="145" t="s">
        <v>426</v>
      </c>
      <c r="F202" s="146">
        <v>0.99</v>
      </c>
      <c r="G202" s="125">
        <v>58.684662933564624</v>
      </c>
      <c r="H202" s="125">
        <v>0</v>
      </c>
      <c r="I202" s="125">
        <v>58.684662933564624</v>
      </c>
      <c r="J202" s="125">
        <v>-26.283398831406689</v>
      </c>
      <c r="K202" s="125">
        <v>-0.34322667832908849</v>
      </c>
      <c r="L202" s="125">
        <v>-26.626625509735778</v>
      </c>
      <c r="M202" s="125">
        <v>56.924123045557685</v>
      </c>
      <c r="N202" s="148">
        <v>0</v>
      </c>
      <c r="O202" s="122">
        <f>VLOOKUP(B202,Data!B:K,10,FALSE)</f>
        <v>0</v>
      </c>
    </row>
    <row r="203" spans="1:15" x14ac:dyDescent="0.25">
      <c r="A203" s="140" t="s">
        <v>1060</v>
      </c>
      <c r="B203" s="140" t="s">
        <v>429</v>
      </c>
      <c r="C203" s="140" t="s">
        <v>1278</v>
      </c>
      <c r="D203" s="140">
        <v>0</v>
      </c>
      <c r="E203" s="145" t="s">
        <v>428</v>
      </c>
      <c r="F203" s="146">
        <v>0.4</v>
      </c>
      <c r="G203" s="125">
        <v>1.3294471558705154</v>
      </c>
      <c r="H203" s="125">
        <v>5.2367455920044333E-2</v>
      </c>
      <c r="I203" s="125">
        <v>1.277079699950471</v>
      </c>
      <c r="J203" s="125">
        <v>-4.1680886739165004</v>
      </c>
      <c r="K203" s="125">
        <v>3.1010748748467876E-3</v>
      </c>
      <c r="L203" s="125">
        <v>-4.1649875990416536</v>
      </c>
      <c r="M203" s="125">
        <v>1.1812987224541858</v>
      </c>
      <c r="N203" s="148">
        <v>0.5</v>
      </c>
      <c r="O203" s="122" t="str">
        <f>VLOOKUP(B203,Data!B:K,10,FALSE)</f>
        <v>Leicestershire Business Rates Pool</v>
      </c>
    </row>
    <row r="204" spans="1:15" x14ac:dyDescent="0.25">
      <c r="A204" s="140" t="s">
        <v>1061</v>
      </c>
      <c r="B204" s="140" t="s">
        <v>431</v>
      </c>
      <c r="C204" s="140" t="s">
        <v>1278</v>
      </c>
      <c r="D204" s="140">
        <v>0</v>
      </c>
      <c r="E204" s="145" t="s">
        <v>430</v>
      </c>
      <c r="F204" s="146">
        <v>0.4</v>
      </c>
      <c r="G204" s="125">
        <v>3.1774683052380404</v>
      </c>
      <c r="H204" s="125">
        <v>0.38170901766474546</v>
      </c>
      <c r="I204" s="125">
        <v>2.7957592875732948</v>
      </c>
      <c r="J204" s="125">
        <v>-10.067942350464046</v>
      </c>
      <c r="K204" s="125">
        <v>-0.17780552690879148</v>
      </c>
      <c r="L204" s="125">
        <v>-10.245747877372837</v>
      </c>
      <c r="M204" s="125">
        <v>2.5860773410052977</v>
      </c>
      <c r="N204" s="148">
        <v>0.5</v>
      </c>
      <c r="O204" s="122" t="str">
        <f>VLOOKUP(B204,Data!B:K,10,FALSE)</f>
        <v>Somerset Business Rates Pool</v>
      </c>
    </row>
    <row r="205" spans="1:15" x14ac:dyDescent="0.25">
      <c r="A205" s="140" t="s">
        <v>1062</v>
      </c>
      <c r="B205" s="140" t="s">
        <v>394</v>
      </c>
      <c r="C205" s="140" t="s">
        <v>1301</v>
      </c>
      <c r="D205" s="140">
        <v>0</v>
      </c>
      <c r="E205" s="145" t="s">
        <v>783</v>
      </c>
      <c r="F205" s="146">
        <v>0.01</v>
      </c>
      <c r="G205" s="125">
        <v>31.419594173759371</v>
      </c>
      <c r="H205" s="125">
        <v>12.050294969572462</v>
      </c>
      <c r="I205" s="125">
        <v>19.369299204186909</v>
      </c>
      <c r="J205" s="125">
        <v>15.236350822337908</v>
      </c>
      <c r="K205" s="125">
        <v>3.671674692505178E-2</v>
      </c>
      <c r="L205" s="125">
        <v>15.27306756926296</v>
      </c>
      <c r="M205" s="125">
        <v>17.91660176387289</v>
      </c>
      <c r="N205" s="148">
        <v>0</v>
      </c>
      <c r="O205" s="122">
        <f>VLOOKUP(B205,Data!B:K,10,FALSE)</f>
        <v>0</v>
      </c>
    </row>
    <row r="206" spans="1:15" x14ac:dyDescent="0.25">
      <c r="A206" s="140" t="s">
        <v>1063</v>
      </c>
      <c r="B206" s="140" t="s">
        <v>434</v>
      </c>
      <c r="C206" s="140" t="s">
        <v>1283</v>
      </c>
      <c r="D206" s="140" t="s">
        <v>1284</v>
      </c>
      <c r="E206" s="145" t="s">
        <v>433</v>
      </c>
      <c r="F206" s="146">
        <v>0.64</v>
      </c>
      <c r="G206" s="125">
        <v>44.662387181601453</v>
      </c>
      <c r="H206" s="125">
        <v>0</v>
      </c>
      <c r="I206" s="125">
        <v>44.662387181601453</v>
      </c>
      <c r="J206" s="125">
        <v>-9.5676059993341642</v>
      </c>
      <c r="K206" s="125">
        <v>-0.17908568585980156</v>
      </c>
      <c r="L206" s="125">
        <v>-9.7466916851939658</v>
      </c>
      <c r="M206" s="125">
        <v>43.322515566153406</v>
      </c>
      <c r="N206" s="148">
        <v>0</v>
      </c>
      <c r="O206" s="122">
        <f>VLOOKUP(B206,Data!B:K,10,FALSE)</f>
        <v>0</v>
      </c>
    </row>
    <row r="207" spans="1:15" x14ac:dyDescent="0.25">
      <c r="A207" s="140" t="s">
        <v>1064</v>
      </c>
      <c r="B207" s="140" t="s">
        <v>436</v>
      </c>
      <c r="C207" s="140" t="s">
        <v>1278</v>
      </c>
      <c r="D207" s="140" t="s">
        <v>1299</v>
      </c>
      <c r="E207" s="145" t="s">
        <v>435</v>
      </c>
      <c r="F207" s="146">
        <v>0.4</v>
      </c>
      <c r="G207" s="125">
        <v>2.7747692448568997</v>
      </c>
      <c r="H207" s="125">
        <v>0</v>
      </c>
      <c r="I207" s="125">
        <v>2.7747692448568997</v>
      </c>
      <c r="J207" s="125">
        <v>-3.2309106110074977</v>
      </c>
      <c r="K207" s="125">
        <v>1.0756084441480684E-2</v>
      </c>
      <c r="L207" s="125">
        <v>-3.220154526566017</v>
      </c>
      <c r="M207" s="125">
        <v>2.6915261675111926</v>
      </c>
      <c r="N207" s="148">
        <v>0</v>
      </c>
      <c r="O207" s="122" t="str">
        <f>VLOOKUP(B207,Data!B:K,10,FALSE)</f>
        <v>Devon Business Rates Pool</v>
      </c>
    </row>
    <row r="208" spans="1:15" x14ac:dyDescent="0.25">
      <c r="A208" s="140" t="s">
        <v>1065</v>
      </c>
      <c r="B208" s="140" t="s">
        <v>438</v>
      </c>
      <c r="C208" s="140" t="s">
        <v>1278</v>
      </c>
      <c r="D208" s="140" t="s">
        <v>1282</v>
      </c>
      <c r="E208" s="145" t="s">
        <v>437</v>
      </c>
      <c r="F208" s="146">
        <v>0.8</v>
      </c>
      <c r="G208" s="125">
        <v>2.6566968225008512</v>
      </c>
      <c r="H208" s="125">
        <v>0</v>
      </c>
      <c r="I208" s="125">
        <v>2.6566968225008512</v>
      </c>
      <c r="J208" s="125">
        <v>-14.805160325357136</v>
      </c>
      <c r="K208" s="125">
        <v>0.15684601560235478</v>
      </c>
      <c r="L208" s="125">
        <v>-14.648314309754781</v>
      </c>
      <c r="M208" s="125">
        <v>2.5769959178258257</v>
      </c>
      <c r="N208" s="148">
        <v>0</v>
      </c>
      <c r="O208" s="122" t="str">
        <f>VLOOKUP(B208,Data!B:K,10,FALSE)</f>
        <v>Suffolk Business Rates Pool</v>
      </c>
    </row>
    <row r="209" spans="1:15" x14ac:dyDescent="0.25">
      <c r="A209" s="140" t="s">
        <v>1066</v>
      </c>
      <c r="B209" s="140" t="s">
        <v>440</v>
      </c>
      <c r="C209" s="140" t="s">
        <v>1278</v>
      </c>
      <c r="D209" s="140">
        <v>0</v>
      </c>
      <c r="E209" s="145" t="s">
        <v>439</v>
      </c>
      <c r="F209" s="146">
        <v>0.4</v>
      </c>
      <c r="G209" s="125">
        <v>2.0607031919504371</v>
      </c>
      <c r="H209" s="125">
        <v>0</v>
      </c>
      <c r="I209" s="125">
        <v>2.0607031919504371</v>
      </c>
      <c r="J209" s="125">
        <v>-15.429009492662047</v>
      </c>
      <c r="K209" s="125">
        <v>-5.4632233403410169E-2</v>
      </c>
      <c r="L209" s="125">
        <v>-15.483641726065457</v>
      </c>
      <c r="M209" s="125">
        <v>1.9061504525541544</v>
      </c>
      <c r="N209" s="148">
        <v>0.5</v>
      </c>
      <c r="O209" s="122">
        <f>VLOOKUP(B209,Data!B:K,10,FALSE)</f>
        <v>0</v>
      </c>
    </row>
    <row r="210" spans="1:15" x14ac:dyDescent="0.25">
      <c r="A210" s="140" t="s">
        <v>1067</v>
      </c>
      <c r="B210" s="140" t="s">
        <v>442</v>
      </c>
      <c r="C210" s="140" t="s">
        <v>1286</v>
      </c>
      <c r="D210" s="140">
        <v>0</v>
      </c>
      <c r="E210" s="145" t="s">
        <v>441</v>
      </c>
      <c r="F210" s="146">
        <v>0.49</v>
      </c>
      <c r="G210" s="125">
        <v>60.799298363071088</v>
      </c>
      <c r="H210" s="125">
        <v>16.533546706636209</v>
      </c>
      <c r="I210" s="125">
        <v>44.26575165643488</v>
      </c>
      <c r="J210" s="125">
        <v>26.259573542009448</v>
      </c>
      <c r="K210" s="125">
        <v>-0.21791668157328559</v>
      </c>
      <c r="L210" s="125">
        <v>26.041656860436163</v>
      </c>
      <c r="M210" s="125">
        <v>40.945820282202263</v>
      </c>
      <c r="N210" s="148">
        <v>0</v>
      </c>
      <c r="O210" s="122">
        <f>VLOOKUP(B210,Data!B:K,10,FALSE)</f>
        <v>0</v>
      </c>
    </row>
    <row r="211" spans="1:15" x14ac:dyDescent="0.25">
      <c r="A211" s="140" t="s">
        <v>1068</v>
      </c>
      <c r="B211" s="140" t="s">
        <v>444</v>
      </c>
      <c r="C211" s="140" t="s">
        <v>1286</v>
      </c>
      <c r="D211" s="140">
        <v>0</v>
      </c>
      <c r="E211" s="145" t="s">
        <v>443</v>
      </c>
      <c r="F211" s="146">
        <v>0.49</v>
      </c>
      <c r="G211" s="125">
        <v>56.177662112924409</v>
      </c>
      <c r="H211" s="125">
        <v>11.476300930411869</v>
      </c>
      <c r="I211" s="125">
        <v>44.701361182512542</v>
      </c>
      <c r="J211" s="125">
        <v>-27.564207498959451</v>
      </c>
      <c r="K211" s="125">
        <v>-0.17520909793753603</v>
      </c>
      <c r="L211" s="125">
        <v>-27.739416596896987</v>
      </c>
      <c r="M211" s="125">
        <v>41.348759093824107</v>
      </c>
      <c r="N211" s="148">
        <v>0.38142933138965951</v>
      </c>
      <c r="O211" s="122">
        <f>VLOOKUP(B211,Data!B:K,10,FALSE)</f>
        <v>0</v>
      </c>
    </row>
    <row r="212" spans="1:15" x14ac:dyDescent="0.25">
      <c r="A212" s="140" t="s">
        <v>1069</v>
      </c>
      <c r="B212" s="140" t="s">
        <v>446</v>
      </c>
      <c r="C212" s="140" t="s">
        <v>1278</v>
      </c>
      <c r="D212" s="140" t="s">
        <v>1300</v>
      </c>
      <c r="E212" s="145" t="s">
        <v>445</v>
      </c>
      <c r="F212" s="146">
        <v>0.30000000000000004</v>
      </c>
      <c r="G212" s="125">
        <v>1.2372361774617797</v>
      </c>
      <c r="H212" s="125">
        <v>0</v>
      </c>
      <c r="I212" s="125">
        <v>1.2372361774617797</v>
      </c>
      <c r="J212" s="125">
        <v>-11.381790566326488</v>
      </c>
      <c r="K212" s="125">
        <v>0.31850290393865421</v>
      </c>
      <c r="L212" s="125">
        <v>-11.063287662387834</v>
      </c>
      <c r="M212" s="125">
        <v>1.2001190921379263</v>
      </c>
      <c r="N212" s="148">
        <v>0</v>
      </c>
      <c r="O212" s="122" t="str">
        <f>VLOOKUP(B212,Data!B:K,10,FALSE)</f>
        <v>Surrey-Croydon Business Rates Pool</v>
      </c>
    </row>
    <row r="213" spans="1:15" x14ac:dyDescent="0.25">
      <c r="A213" s="140" t="s">
        <v>1070</v>
      </c>
      <c r="B213" s="140" t="s">
        <v>448</v>
      </c>
      <c r="C213" s="140" t="s">
        <v>1278</v>
      </c>
      <c r="D213" s="140">
        <v>0</v>
      </c>
      <c r="E213" s="145" t="s">
        <v>447</v>
      </c>
      <c r="F213" s="146">
        <v>0.4</v>
      </c>
      <c r="G213" s="125">
        <v>3.9375675504393919</v>
      </c>
      <c r="H213" s="125">
        <v>9.2375324448961765E-2</v>
      </c>
      <c r="I213" s="125">
        <v>3.8451922259904303</v>
      </c>
      <c r="J213" s="125">
        <v>-22.676098293009929</v>
      </c>
      <c r="K213" s="125">
        <v>-0.28942373896294527</v>
      </c>
      <c r="L213" s="125">
        <v>-22.965522031972874</v>
      </c>
      <c r="M213" s="125">
        <v>3.5568028090411481</v>
      </c>
      <c r="N213" s="148">
        <v>0.5</v>
      </c>
      <c r="O213" s="122">
        <f>VLOOKUP(B213,Data!B:K,10,FALSE)</f>
        <v>0</v>
      </c>
    </row>
    <row r="214" spans="1:15" x14ac:dyDescent="0.25">
      <c r="A214" s="140" t="s">
        <v>1071</v>
      </c>
      <c r="B214" s="140" t="s">
        <v>450</v>
      </c>
      <c r="C214" s="140" t="s">
        <v>1278</v>
      </c>
      <c r="D214" s="140">
        <v>0</v>
      </c>
      <c r="E214" s="145" t="s">
        <v>449</v>
      </c>
      <c r="F214" s="146">
        <v>0.4</v>
      </c>
      <c r="G214" s="125">
        <v>4.1300763505561227</v>
      </c>
      <c r="H214" s="125">
        <v>0.59237422108980264</v>
      </c>
      <c r="I214" s="125">
        <v>3.5377021294663198</v>
      </c>
      <c r="J214" s="125">
        <v>-10.954501748979384</v>
      </c>
      <c r="K214" s="125">
        <v>0.16488596266537847</v>
      </c>
      <c r="L214" s="125">
        <v>-10.789615786314005</v>
      </c>
      <c r="M214" s="125">
        <v>3.2723744697563459</v>
      </c>
      <c r="N214" s="148">
        <v>0.5</v>
      </c>
      <c r="O214" s="122" t="str">
        <f>VLOOKUP(B214,Data!B:K,10,FALSE)</f>
        <v>Nottingham Business Rates Pool</v>
      </c>
    </row>
    <row r="215" spans="1:15" x14ac:dyDescent="0.25">
      <c r="A215" s="140" t="s">
        <v>1072</v>
      </c>
      <c r="B215" s="140" t="s">
        <v>451</v>
      </c>
      <c r="C215" s="140" t="s">
        <v>1285</v>
      </c>
      <c r="D215" s="140">
        <v>0</v>
      </c>
      <c r="E215" s="145" t="s">
        <v>1073</v>
      </c>
      <c r="F215" s="146">
        <v>0.49</v>
      </c>
      <c r="G215" s="125">
        <v>122.34379764921796</v>
      </c>
      <c r="H215" s="125">
        <v>35.393712991115564</v>
      </c>
      <c r="I215" s="125">
        <v>86.950084658102398</v>
      </c>
      <c r="J215" s="125">
        <v>16.883780139008536</v>
      </c>
      <c r="K215" s="125">
        <v>8.8232693599330503E-2</v>
      </c>
      <c r="L215" s="125">
        <v>16.972012832607867</v>
      </c>
      <c r="M215" s="125">
        <v>80.428828308744727</v>
      </c>
      <c r="N215" s="148">
        <v>0</v>
      </c>
      <c r="O215" s="122">
        <f>VLOOKUP(B215,Data!B:K,10,FALSE)</f>
        <v>0</v>
      </c>
    </row>
    <row r="216" spans="1:15" x14ac:dyDescent="0.25">
      <c r="A216" s="140" t="s">
        <v>1074</v>
      </c>
      <c r="B216" s="140" t="s">
        <v>453</v>
      </c>
      <c r="C216" s="140" t="s">
        <v>1278</v>
      </c>
      <c r="D216" s="140">
        <v>0</v>
      </c>
      <c r="E216" s="145" t="s">
        <v>452</v>
      </c>
      <c r="F216" s="146">
        <v>0.4</v>
      </c>
      <c r="G216" s="125">
        <v>4.1825442119241751</v>
      </c>
      <c r="H216" s="125">
        <v>0.5887793775697332</v>
      </c>
      <c r="I216" s="125">
        <v>3.5937648343544422</v>
      </c>
      <c r="J216" s="125">
        <v>-9.0057087026675795</v>
      </c>
      <c r="K216" s="125">
        <v>0.23769569728567141</v>
      </c>
      <c r="L216" s="125">
        <v>-8.7680130053819081</v>
      </c>
      <c r="M216" s="125">
        <v>3.3242324717778593</v>
      </c>
      <c r="N216" s="148">
        <v>0.5</v>
      </c>
      <c r="O216" s="122" t="str">
        <f>VLOOKUP(B216,Data!B:K,10,FALSE)</f>
        <v>Staffordshire &amp; Stoke on Trent Business Rates Pool</v>
      </c>
    </row>
    <row r="217" spans="1:15" x14ac:dyDescent="0.25">
      <c r="A217" s="140" t="s">
        <v>1075</v>
      </c>
      <c r="B217" s="140" t="s">
        <v>456</v>
      </c>
      <c r="C217" s="140" t="s">
        <v>1283</v>
      </c>
      <c r="D217" s="140" t="s">
        <v>1284</v>
      </c>
      <c r="E217" s="145" t="s">
        <v>455</v>
      </c>
      <c r="F217" s="146">
        <v>0.64</v>
      </c>
      <c r="G217" s="125">
        <v>153.63791557440734</v>
      </c>
      <c r="H217" s="125">
        <v>0</v>
      </c>
      <c r="I217" s="125">
        <v>153.63791557440734</v>
      </c>
      <c r="J217" s="125">
        <v>78.248813868064587</v>
      </c>
      <c r="K217" s="125">
        <v>0.38307379856826174</v>
      </c>
      <c r="L217" s="125">
        <v>78.631887666632849</v>
      </c>
      <c r="M217" s="125">
        <v>149.02877810717513</v>
      </c>
      <c r="N217" s="148">
        <v>0</v>
      </c>
      <c r="O217" s="122">
        <f>VLOOKUP(B217,Data!B:K,10,FALSE)</f>
        <v>0</v>
      </c>
    </row>
    <row r="218" spans="1:15" x14ac:dyDescent="0.25">
      <c r="A218" s="140" t="s">
        <v>1076</v>
      </c>
      <c r="B218" s="140" t="s">
        <v>132</v>
      </c>
      <c r="C218" s="140" t="s">
        <v>1298</v>
      </c>
      <c r="D218" s="140">
        <v>0</v>
      </c>
      <c r="E218" s="145" t="s">
        <v>806</v>
      </c>
      <c r="F218" s="146">
        <v>0.1</v>
      </c>
      <c r="G218" s="125">
        <v>207.1510031701784</v>
      </c>
      <c r="H218" s="125">
        <v>58.034962954699637</v>
      </c>
      <c r="I218" s="125">
        <v>149.11604021547876</v>
      </c>
      <c r="J218" s="125">
        <v>123.02714678639823</v>
      </c>
      <c r="K218" s="125">
        <v>8.7680145753182614E-2</v>
      </c>
      <c r="L218" s="125">
        <v>123.11482693215142</v>
      </c>
      <c r="M218" s="125">
        <v>137.93233719931786</v>
      </c>
      <c r="N218" s="148">
        <v>0</v>
      </c>
      <c r="O218" s="122" t="str">
        <f>VLOOKUP(B218,Data!B:K,10,FALSE)</f>
        <v>Norfolk Business Rates Pool</v>
      </c>
    </row>
    <row r="219" spans="1:15" x14ac:dyDescent="0.25">
      <c r="A219" s="140" t="s">
        <v>1077</v>
      </c>
      <c r="B219" s="140" t="s">
        <v>458</v>
      </c>
      <c r="C219" s="140" t="s">
        <v>1278</v>
      </c>
      <c r="D219" s="140" t="s">
        <v>1299</v>
      </c>
      <c r="E219" s="145" t="s">
        <v>457</v>
      </c>
      <c r="F219" s="146">
        <v>0.4</v>
      </c>
      <c r="G219" s="125">
        <v>3.6321383291981002</v>
      </c>
      <c r="H219" s="125">
        <v>0</v>
      </c>
      <c r="I219" s="125">
        <v>3.6321383291981002</v>
      </c>
      <c r="J219" s="125">
        <v>-8.8633576449871576</v>
      </c>
      <c r="K219" s="125">
        <v>1.6943026768940328E-2</v>
      </c>
      <c r="L219" s="125">
        <v>-8.8464146182182173</v>
      </c>
      <c r="M219" s="125">
        <v>3.5231741793221572</v>
      </c>
      <c r="N219" s="148">
        <v>0</v>
      </c>
      <c r="O219" s="122" t="str">
        <f>VLOOKUP(B219,Data!B:K,10,FALSE)</f>
        <v>Devon Business Rates Pool</v>
      </c>
    </row>
    <row r="220" spans="1:15" x14ac:dyDescent="0.25">
      <c r="A220" s="140" t="s">
        <v>1078</v>
      </c>
      <c r="B220" s="140" t="s">
        <v>460</v>
      </c>
      <c r="C220" s="140" t="s">
        <v>1278</v>
      </c>
      <c r="D220" s="140">
        <v>0</v>
      </c>
      <c r="E220" s="145" t="s">
        <v>459</v>
      </c>
      <c r="F220" s="146">
        <v>0.4</v>
      </c>
      <c r="G220" s="125">
        <v>1.7788903445507844</v>
      </c>
      <c r="H220" s="125">
        <v>0.1827449445527112</v>
      </c>
      <c r="I220" s="125">
        <v>1.5961453999980733</v>
      </c>
      <c r="J220" s="125">
        <v>-4.3358809530357592</v>
      </c>
      <c r="K220" s="125">
        <v>2.2540672138395834E-3</v>
      </c>
      <c r="L220" s="125">
        <v>-4.3336268858219196</v>
      </c>
      <c r="M220" s="125">
        <v>1.4764344949982178</v>
      </c>
      <c r="N220" s="148">
        <v>0.5</v>
      </c>
      <c r="O220" s="122">
        <f>VLOOKUP(B220,Data!B:K,10,FALSE)</f>
        <v>0</v>
      </c>
    </row>
    <row r="221" spans="1:15" x14ac:dyDescent="0.25">
      <c r="A221" s="140" t="s">
        <v>1079</v>
      </c>
      <c r="B221" s="140" t="s">
        <v>462</v>
      </c>
      <c r="C221" s="140" t="s">
        <v>1278</v>
      </c>
      <c r="D221" s="140" t="s">
        <v>1279</v>
      </c>
      <c r="E221" s="145" t="s">
        <v>461</v>
      </c>
      <c r="F221" s="146">
        <v>0.5</v>
      </c>
      <c r="G221" s="125">
        <v>3.0360322714914036</v>
      </c>
      <c r="H221" s="125">
        <v>0</v>
      </c>
      <c r="I221" s="125">
        <v>3.0360322714914036</v>
      </c>
      <c r="J221" s="125">
        <v>-4.2507411204791614</v>
      </c>
      <c r="K221" s="125">
        <v>1.8874915614377485E-3</v>
      </c>
      <c r="L221" s="125">
        <v>-4.2488536289177237</v>
      </c>
      <c r="M221" s="125">
        <v>2.9449513033466617</v>
      </c>
      <c r="N221" s="148">
        <v>0</v>
      </c>
      <c r="O221" s="122" t="str">
        <f>VLOOKUP(B221,Data!B:K,10,FALSE)</f>
        <v>Derbyshire Business Rates Pool</v>
      </c>
    </row>
    <row r="222" spans="1:15" x14ac:dyDescent="0.25">
      <c r="A222" s="140" t="s">
        <v>1080</v>
      </c>
      <c r="B222" s="140" t="s">
        <v>464</v>
      </c>
      <c r="C222" s="140" t="s">
        <v>1286</v>
      </c>
      <c r="D222" s="140">
        <v>0</v>
      </c>
      <c r="E222" s="145" t="s">
        <v>463</v>
      </c>
      <c r="F222" s="146">
        <v>0.49</v>
      </c>
      <c r="G222" s="125">
        <v>51.615296754560823</v>
      </c>
      <c r="H222" s="125">
        <v>13.396440957685572</v>
      </c>
      <c r="I222" s="125">
        <v>38.218855796875253</v>
      </c>
      <c r="J222" s="125">
        <v>8.909427681112728</v>
      </c>
      <c r="K222" s="125">
        <v>0.6062555641319225</v>
      </c>
      <c r="L222" s="125">
        <v>9.5156832452446505</v>
      </c>
      <c r="M222" s="125">
        <v>35.352441612109608</v>
      </c>
      <c r="N222" s="148">
        <v>0</v>
      </c>
      <c r="O222" s="122">
        <f>VLOOKUP(B222,Data!B:K,10,FALSE)</f>
        <v>0</v>
      </c>
    </row>
    <row r="223" spans="1:15" x14ac:dyDescent="0.25">
      <c r="A223" s="140" t="s">
        <v>1081</v>
      </c>
      <c r="B223" s="140" t="s">
        <v>466</v>
      </c>
      <c r="C223" s="140" t="s">
        <v>1278</v>
      </c>
      <c r="D223" s="140">
        <v>0</v>
      </c>
      <c r="E223" s="145" t="s">
        <v>465</v>
      </c>
      <c r="F223" s="146">
        <v>0.4</v>
      </c>
      <c r="G223" s="125">
        <v>2.6221583016541485</v>
      </c>
      <c r="H223" s="125">
        <v>0</v>
      </c>
      <c r="I223" s="125">
        <v>2.6221583016541485</v>
      </c>
      <c r="J223" s="125">
        <v>-12.48033443991141</v>
      </c>
      <c r="K223" s="125">
        <v>1.6206772280440873E-2</v>
      </c>
      <c r="L223" s="125">
        <v>-12.464127667630969</v>
      </c>
      <c r="M223" s="125">
        <v>2.4254964290300873</v>
      </c>
      <c r="N223" s="148">
        <v>0.5</v>
      </c>
      <c r="O223" s="122">
        <f>VLOOKUP(B223,Data!B:K,10,FALSE)</f>
        <v>0</v>
      </c>
    </row>
    <row r="224" spans="1:15" x14ac:dyDescent="0.25">
      <c r="A224" s="140" t="s">
        <v>1082</v>
      </c>
      <c r="B224" s="140" t="s">
        <v>468</v>
      </c>
      <c r="C224" s="140" t="s">
        <v>1278</v>
      </c>
      <c r="D224" s="140" t="s">
        <v>1290</v>
      </c>
      <c r="E224" s="145" t="s">
        <v>467</v>
      </c>
      <c r="F224" s="146">
        <v>0.60000000000000009</v>
      </c>
      <c r="G224" s="125">
        <v>3.6953911096121494</v>
      </c>
      <c r="H224" s="125">
        <v>0</v>
      </c>
      <c r="I224" s="125">
        <v>3.6953911096121494</v>
      </c>
      <c r="J224" s="125">
        <v>-10.195818156702563</v>
      </c>
      <c r="K224" s="125">
        <v>7.6602415627966991E-2</v>
      </c>
      <c r="L224" s="125">
        <v>-10.119215741074596</v>
      </c>
      <c r="M224" s="125">
        <v>3.5845293763237849</v>
      </c>
      <c r="N224" s="148">
        <v>0</v>
      </c>
      <c r="O224" s="122" t="str">
        <f>VLOOKUP(B224,Data!B:K,10,FALSE)</f>
        <v>Lincolnshire Business Rates Pool</v>
      </c>
    </row>
    <row r="225" spans="1:15" x14ac:dyDescent="0.25">
      <c r="A225" s="140" t="s">
        <v>1083</v>
      </c>
      <c r="B225" s="140" t="s">
        <v>470</v>
      </c>
      <c r="C225" s="140" t="s">
        <v>1286</v>
      </c>
      <c r="D225" s="140" t="s">
        <v>1290</v>
      </c>
      <c r="E225" s="145" t="s">
        <v>469</v>
      </c>
      <c r="F225" s="146">
        <v>0.99</v>
      </c>
      <c r="G225" s="125">
        <v>42.328264629189661</v>
      </c>
      <c r="H225" s="125">
        <v>0</v>
      </c>
      <c r="I225" s="125">
        <v>42.328264629189661</v>
      </c>
      <c r="J225" s="125">
        <v>-29.421180685222172</v>
      </c>
      <c r="K225" s="125">
        <v>-1.4607602353876814E-2</v>
      </c>
      <c r="L225" s="125">
        <v>-29.435788287576049</v>
      </c>
      <c r="M225" s="125">
        <v>41.058416690313969</v>
      </c>
      <c r="N225" s="148">
        <v>0</v>
      </c>
      <c r="O225" s="122">
        <f>VLOOKUP(B225,Data!B:K,10,FALSE)</f>
        <v>0</v>
      </c>
    </row>
    <row r="226" spans="1:15" x14ac:dyDescent="0.25">
      <c r="A226" s="140" t="s">
        <v>1084</v>
      </c>
      <c r="B226" s="140" t="s">
        <v>472</v>
      </c>
      <c r="C226" s="140" t="s">
        <v>1278</v>
      </c>
      <c r="D226" s="140">
        <v>0</v>
      </c>
      <c r="E226" s="145" t="s">
        <v>471</v>
      </c>
      <c r="F226" s="146">
        <v>0.4</v>
      </c>
      <c r="G226" s="125">
        <v>3.6380402281803841</v>
      </c>
      <c r="H226" s="125">
        <v>0.5356187989479182</v>
      </c>
      <c r="I226" s="125">
        <v>3.1024214292324657</v>
      </c>
      <c r="J226" s="125">
        <v>-7.6880993032516605</v>
      </c>
      <c r="K226" s="125">
        <v>-3.5598663986215584E-2</v>
      </c>
      <c r="L226" s="125">
        <v>-7.723697967237876</v>
      </c>
      <c r="M226" s="125">
        <v>2.8697398220400308</v>
      </c>
      <c r="N226" s="148">
        <v>0.5</v>
      </c>
      <c r="O226" s="122" t="str">
        <f>VLOOKUP(B226,Data!B:K,10,FALSE)</f>
        <v>Norfolk Business Rates Pool</v>
      </c>
    </row>
    <row r="227" spans="1:15" x14ac:dyDescent="0.25">
      <c r="A227" s="140" t="s">
        <v>1085</v>
      </c>
      <c r="B227" s="140" t="s">
        <v>474</v>
      </c>
      <c r="C227" s="140" t="s">
        <v>1286</v>
      </c>
      <c r="D227" s="140">
        <v>0</v>
      </c>
      <c r="E227" s="145" t="s">
        <v>473</v>
      </c>
      <c r="F227" s="146">
        <v>0.49</v>
      </c>
      <c r="G227" s="125">
        <v>37.491810722991808</v>
      </c>
      <c r="H227" s="125">
        <v>6.9189430109632051</v>
      </c>
      <c r="I227" s="125">
        <v>30.5728677120286</v>
      </c>
      <c r="J227" s="125">
        <v>2.5510666532032285</v>
      </c>
      <c r="K227" s="125">
        <v>-0.45150695551179298</v>
      </c>
      <c r="L227" s="125">
        <v>2.0995596976914355</v>
      </c>
      <c r="M227" s="125">
        <v>28.279902633626456</v>
      </c>
      <c r="N227" s="148">
        <v>0</v>
      </c>
      <c r="O227" s="122">
        <f>VLOOKUP(B227,Data!B:K,10,FALSE)</f>
        <v>0</v>
      </c>
    </row>
    <row r="228" spans="1:15" x14ac:dyDescent="0.25">
      <c r="A228" s="140" t="s">
        <v>1086</v>
      </c>
      <c r="B228" s="140" t="s">
        <v>476</v>
      </c>
      <c r="C228" s="140" t="s">
        <v>1285</v>
      </c>
      <c r="D228" s="140">
        <v>0</v>
      </c>
      <c r="E228" s="145" t="s">
        <v>475</v>
      </c>
      <c r="F228" s="146">
        <v>0.49</v>
      </c>
      <c r="G228" s="125">
        <v>63.37669081166257</v>
      </c>
      <c r="H228" s="125">
        <v>16.914498933252233</v>
      </c>
      <c r="I228" s="125">
        <v>46.462191878410337</v>
      </c>
      <c r="J228" s="125">
        <v>19.724271234399936</v>
      </c>
      <c r="K228" s="125">
        <v>-4.0127445765676839E-2</v>
      </c>
      <c r="L228" s="125">
        <v>19.684143788634259</v>
      </c>
      <c r="M228" s="125">
        <v>42.977527487529564</v>
      </c>
      <c r="N228" s="148">
        <v>0</v>
      </c>
      <c r="O228" s="122">
        <f>VLOOKUP(B228,Data!B:K,10,FALSE)</f>
        <v>0</v>
      </c>
    </row>
    <row r="229" spans="1:15" x14ac:dyDescent="0.25">
      <c r="A229" s="140" t="s">
        <v>1087</v>
      </c>
      <c r="B229" s="140" t="s">
        <v>478</v>
      </c>
      <c r="C229" s="140" t="s">
        <v>1278</v>
      </c>
      <c r="D229" s="140">
        <v>0</v>
      </c>
      <c r="E229" s="145" t="s">
        <v>477</v>
      </c>
      <c r="F229" s="146">
        <v>0.4</v>
      </c>
      <c r="G229" s="125">
        <v>2.0399563724195811</v>
      </c>
      <c r="H229" s="125">
        <v>0.19146994647027085</v>
      </c>
      <c r="I229" s="125">
        <v>1.8484864259493103</v>
      </c>
      <c r="J229" s="125">
        <v>-14.760923811340296</v>
      </c>
      <c r="K229" s="125">
        <v>0.14159617928284618</v>
      </c>
      <c r="L229" s="125">
        <v>-14.61932763205745</v>
      </c>
      <c r="M229" s="125">
        <v>1.7098499440031121</v>
      </c>
      <c r="N229" s="148">
        <v>0.5</v>
      </c>
      <c r="O229" s="122" t="str">
        <f>VLOOKUP(B229,Data!B:K,10,FALSE)</f>
        <v>Coventry &amp; Warwickshire Business Rates Pool</v>
      </c>
    </row>
    <row r="230" spans="1:15" x14ac:dyDescent="0.25">
      <c r="A230" s="140" t="s">
        <v>1088</v>
      </c>
      <c r="B230" s="140" t="s">
        <v>481</v>
      </c>
      <c r="C230" s="140" t="s">
        <v>1278</v>
      </c>
      <c r="D230" s="140">
        <v>0</v>
      </c>
      <c r="E230" s="145" t="s">
        <v>480</v>
      </c>
      <c r="F230" s="146">
        <v>0.4</v>
      </c>
      <c r="G230" s="125">
        <v>2.547422470626409</v>
      </c>
      <c r="H230" s="125">
        <v>0.23532566875070893</v>
      </c>
      <c r="I230" s="125">
        <v>2.3120968018757</v>
      </c>
      <c r="J230" s="125">
        <v>-17.523525409042715</v>
      </c>
      <c r="K230" s="125">
        <v>-3.1344617741417835E-3</v>
      </c>
      <c r="L230" s="125">
        <v>-17.526659870816857</v>
      </c>
      <c r="M230" s="125">
        <v>2.1386895417350225</v>
      </c>
      <c r="N230" s="148">
        <v>0.5</v>
      </c>
      <c r="O230" s="122" t="str">
        <f>VLOOKUP(B230,Data!B:K,10,FALSE)</f>
        <v>Leicestershire Business Rates Pool</v>
      </c>
    </row>
    <row r="231" spans="1:15" x14ac:dyDescent="0.25">
      <c r="A231" s="140" t="s">
        <v>1089</v>
      </c>
      <c r="B231" s="140" t="s">
        <v>226</v>
      </c>
      <c r="C231" s="140" t="s">
        <v>1293</v>
      </c>
      <c r="D231" s="140">
        <v>0</v>
      </c>
      <c r="E231" s="145" t="s">
        <v>228</v>
      </c>
      <c r="F231" s="146">
        <v>0.09</v>
      </c>
      <c r="G231" s="125">
        <v>72.695104638466475</v>
      </c>
      <c r="H231" s="125">
        <v>7.5570645943967101</v>
      </c>
      <c r="I231" s="125">
        <v>65.138040044069768</v>
      </c>
      <c r="J231" s="125">
        <v>46.213550562750875</v>
      </c>
      <c r="K231" s="125">
        <v>0.21329565574576037</v>
      </c>
      <c r="L231" s="125">
        <v>46.426846218496635</v>
      </c>
      <c r="M231" s="125">
        <v>60.252687040764542</v>
      </c>
      <c r="N231" s="148">
        <v>0</v>
      </c>
      <c r="O231" s="122" t="str">
        <f>VLOOKUP(B231,Data!B:K,10,FALSE)</f>
        <v>North Yorkshire Business Rates Pool</v>
      </c>
    </row>
    <row r="232" spans="1:15" x14ac:dyDescent="0.25">
      <c r="A232" s="140" t="s">
        <v>1090</v>
      </c>
      <c r="B232" s="140" t="s">
        <v>227</v>
      </c>
      <c r="C232" s="140" t="s">
        <v>1281</v>
      </c>
      <c r="D232" s="140">
        <v>0</v>
      </c>
      <c r="E232" s="145" t="s">
        <v>1091</v>
      </c>
      <c r="F232" s="146">
        <v>0.01</v>
      </c>
      <c r="G232" s="125">
        <v>8.8174343051177182</v>
      </c>
      <c r="H232" s="125">
        <v>2.8970674861808421</v>
      </c>
      <c r="I232" s="125">
        <v>5.9203668189368761</v>
      </c>
      <c r="J232" s="125">
        <v>2.8729488818204705</v>
      </c>
      <c r="K232" s="125">
        <v>2.9354013646187394E-2</v>
      </c>
      <c r="L232" s="125">
        <v>2.9023028954666579</v>
      </c>
      <c r="M232" s="125">
        <v>5.4763393075166107</v>
      </c>
      <c r="N232" s="148">
        <v>0</v>
      </c>
      <c r="O232" s="122">
        <f>VLOOKUP(B232,Data!B:K,10,FALSE)</f>
        <v>0</v>
      </c>
    </row>
    <row r="233" spans="1:15" x14ac:dyDescent="0.25">
      <c r="A233" s="140" t="s">
        <v>1092</v>
      </c>
      <c r="B233" s="140" t="s">
        <v>483</v>
      </c>
      <c r="C233" s="140" t="s">
        <v>1278</v>
      </c>
      <c r="D233" s="140">
        <v>0</v>
      </c>
      <c r="E233" s="145" t="s">
        <v>482</v>
      </c>
      <c r="F233" s="146">
        <v>0.4</v>
      </c>
      <c r="G233" s="125">
        <v>7.4575831597533542</v>
      </c>
      <c r="H233" s="125">
        <v>0.88601400978518841</v>
      </c>
      <c r="I233" s="125">
        <v>6.5715691499681661</v>
      </c>
      <c r="J233" s="125">
        <v>-29.99498423963043</v>
      </c>
      <c r="K233" s="125">
        <v>-8.3869734669161033E-2</v>
      </c>
      <c r="L233" s="125">
        <v>-30.078853974299591</v>
      </c>
      <c r="M233" s="125">
        <v>6.0787014637205541</v>
      </c>
      <c r="N233" s="148">
        <v>0.5</v>
      </c>
      <c r="O233" s="122">
        <f>VLOOKUP(B233,Data!B:K,10,FALSE)</f>
        <v>0</v>
      </c>
    </row>
    <row r="234" spans="1:15" x14ac:dyDescent="0.25">
      <c r="A234" s="140" t="s">
        <v>1093</v>
      </c>
      <c r="B234" s="140" t="s">
        <v>215</v>
      </c>
      <c r="C234" s="140" t="s">
        <v>1298</v>
      </c>
      <c r="D234" s="140">
        <v>0</v>
      </c>
      <c r="E234" s="145" t="s">
        <v>807</v>
      </c>
      <c r="F234" s="146">
        <v>0.1</v>
      </c>
      <c r="G234" s="125">
        <v>111.00691281800303</v>
      </c>
      <c r="H234" s="125">
        <v>22.493063169829767</v>
      </c>
      <c r="I234" s="125">
        <v>88.513849648173263</v>
      </c>
      <c r="J234" s="125">
        <v>63.633698092928199</v>
      </c>
      <c r="K234" s="125">
        <v>-0.20838313303788425</v>
      </c>
      <c r="L234" s="125">
        <v>63.425314959890315</v>
      </c>
      <c r="M234" s="125">
        <v>81.875310924560267</v>
      </c>
      <c r="N234" s="148">
        <v>0</v>
      </c>
      <c r="O234" s="122" t="str">
        <f>VLOOKUP(B234,Data!B:K,10,FALSE)</f>
        <v>Northamptonshire Business Rates Pool</v>
      </c>
    </row>
    <row r="235" spans="1:15" x14ac:dyDescent="0.25">
      <c r="A235" s="140" t="s">
        <v>1094</v>
      </c>
      <c r="B235" s="140" t="s">
        <v>485</v>
      </c>
      <c r="C235" s="140" t="s">
        <v>1296</v>
      </c>
      <c r="D235" s="140">
        <v>0</v>
      </c>
      <c r="E235" s="145" t="s">
        <v>1095</v>
      </c>
      <c r="F235" s="146">
        <v>0.5</v>
      </c>
      <c r="G235" s="125">
        <v>85.280502211591823</v>
      </c>
      <c r="H235" s="125">
        <v>18.989969114239994</v>
      </c>
      <c r="I235" s="125">
        <v>66.290533097351826</v>
      </c>
      <c r="J235" s="125">
        <v>26.486317230947122</v>
      </c>
      <c r="K235" s="125">
        <v>-4.2734193909296891E-2</v>
      </c>
      <c r="L235" s="125">
        <v>26.443583037037826</v>
      </c>
      <c r="M235" s="125">
        <v>61.318743115050445</v>
      </c>
      <c r="N235" s="148">
        <v>0</v>
      </c>
      <c r="O235" s="122">
        <f>VLOOKUP(B235,Data!B:K,10,FALSE)</f>
        <v>0</v>
      </c>
    </row>
    <row r="236" spans="1:15" x14ac:dyDescent="0.25">
      <c r="A236" s="140" t="s">
        <v>1096</v>
      </c>
      <c r="B236" s="140" t="s">
        <v>487</v>
      </c>
      <c r="C236" s="140" t="s">
        <v>1278</v>
      </c>
      <c r="D236" s="140">
        <v>0</v>
      </c>
      <c r="E236" s="145" t="s">
        <v>486</v>
      </c>
      <c r="F236" s="146">
        <v>0.4</v>
      </c>
      <c r="G236" s="125">
        <v>6.7406547387016165</v>
      </c>
      <c r="H236" s="125">
        <v>0.98201788857960326</v>
      </c>
      <c r="I236" s="125">
        <v>5.7586368501220129</v>
      </c>
      <c r="J236" s="125">
        <v>-25.49652037772174</v>
      </c>
      <c r="K236" s="125">
        <v>0.27991241434041214</v>
      </c>
      <c r="L236" s="125">
        <v>-25.216607963381328</v>
      </c>
      <c r="M236" s="125">
        <v>5.3267390863628625</v>
      </c>
      <c r="N236" s="148">
        <v>0.5</v>
      </c>
      <c r="O236" s="122" t="str">
        <f>VLOOKUP(B236,Data!B:K,10,FALSE)</f>
        <v>Norfolk Business Rates Pool</v>
      </c>
    </row>
    <row r="237" spans="1:15" x14ac:dyDescent="0.25">
      <c r="A237" s="140" t="s">
        <v>1097</v>
      </c>
      <c r="B237" s="140" t="s">
        <v>489</v>
      </c>
      <c r="C237" s="140" t="s">
        <v>1286</v>
      </c>
      <c r="D237" s="140">
        <v>0</v>
      </c>
      <c r="E237" s="145" t="s">
        <v>488</v>
      </c>
      <c r="F237" s="146">
        <v>0.49</v>
      </c>
      <c r="G237" s="125">
        <v>127.88245603438693</v>
      </c>
      <c r="H237" s="125">
        <v>34.981222836010197</v>
      </c>
      <c r="I237" s="125">
        <v>92.901233198376744</v>
      </c>
      <c r="J237" s="125">
        <v>27.495221400977488</v>
      </c>
      <c r="K237" s="125">
        <v>1.0884174164621427</v>
      </c>
      <c r="L237" s="125">
        <v>28.583638817439631</v>
      </c>
      <c r="M237" s="125">
        <v>85.933640708498487</v>
      </c>
      <c r="N237" s="148">
        <v>0</v>
      </c>
      <c r="O237" s="122">
        <f>VLOOKUP(B237,Data!B:K,10,FALSE)</f>
        <v>0</v>
      </c>
    </row>
    <row r="238" spans="1:15" x14ac:dyDescent="0.25">
      <c r="A238" s="140" t="s">
        <v>1098</v>
      </c>
      <c r="B238" s="140" t="s">
        <v>50</v>
      </c>
      <c r="C238" s="140" t="s">
        <v>1293</v>
      </c>
      <c r="D238" s="140">
        <v>0</v>
      </c>
      <c r="E238" s="145" t="s">
        <v>808</v>
      </c>
      <c r="F238" s="146">
        <v>0.09</v>
      </c>
      <c r="G238" s="125">
        <v>127.30533599658699</v>
      </c>
      <c r="H238" s="125">
        <v>22.553184765588998</v>
      </c>
      <c r="I238" s="125">
        <v>104.752151230998</v>
      </c>
      <c r="J238" s="125">
        <v>85.908608717983782</v>
      </c>
      <c r="K238" s="125">
        <v>0.14561210541587855</v>
      </c>
      <c r="L238" s="125">
        <v>86.05422082339966</v>
      </c>
      <c r="M238" s="125">
        <v>96.895739888673148</v>
      </c>
      <c r="N238" s="148">
        <v>0</v>
      </c>
      <c r="O238" s="122" t="str">
        <f>VLOOKUP(B238,Data!B:K,10,FALSE)</f>
        <v>Nottingham Business Rates Pool</v>
      </c>
    </row>
    <row r="239" spans="1:15" x14ac:dyDescent="0.25">
      <c r="A239" s="140" t="s">
        <v>1099</v>
      </c>
      <c r="B239" s="140" t="s">
        <v>51</v>
      </c>
      <c r="C239" s="140" t="s">
        <v>1281</v>
      </c>
      <c r="D239" s="140">
        <v>0</v>
      </c>
      <c r="E239" s="145" t="s">
        <v>1100</v>
      </c>
      <c r="F239" s="146">
        <v>0.01</v>
      </c>
      <c r="G239" s="125">
        <v>16.3948978979274</v>
      </c>
      <c r="H239" s="125">
        <v>5.9614724487777799</v>
      </c>
      <c r="I239" s="125">
        <v>10.433425449149619</v>
      </c>
      <c r="J239" s="125">
        <v>6.999939284394217</v>
      </c>
      <c r="K239" s="125">
        <v>4.7681793287103424E-2</v>
      </c>
      <c r="L239" s="125">
        <v>7.0476210776813204</v>
      </c>
      <c r="M239" s="125">
        <v>9.6509185404633975</v>
      </c>
      <c r="N239" s="148">
        <v>0</v>
      </c>
      <c r="O239" s="122">
        <f>VLOOKUP(B239,Data!B:K,10,FALSE)</f>
        <v>0</v>
      </c>
    </row>
    <row r="240" spans="1:15" x14ac:dyDescent="0.25">
      <c r="A240" s="140" t="s">
        <v>1101</v>
      </c>
      <c r="B240" s="140" t="s">
        <v>491</v>
      </c>
      <c r="C240" s="140" t="s">
        <v>1278</v>
      </c>
      <c r="D240" s="140">
        <v>0</v>
      </c>
      <c r="E240" s="145" t="s">
        <v>490</v>
      </c>
      <c r="F240" s="146">
        <v>0.4</v>
      </c>
      <c r="G240" s="125">
        <v>3.8198680610540041</v>
      </c>
      <c r="H240" s="125">
        <v>0.26871182774076424</v>
      </c>
      <c r="I240" s="125">
        <v>3.55115623331324</v>
      </c>
      <c r="J240" s="125">
        <v>-9.0560232369711162</v>
      </c>
      <c r="K240" s="125">
        <v>4.6919914632077564E-3</v>
      </c>
      <c r="L240" s="125">
        <v>-9.0513312455079085</v>
      </c>
      <c r="M240" s="125">
        <v>3.2848195158147471</v>
      </c>
      <c r="N240" s="148">
        <v>0.5</v>
      </c>
      <c r="O240" s="122" t="str">
        <f>VLOOKUP(B240,Data!B:K,10,FALSE)</f>
        <v>Coventry &amp; Warwickshire Business Rates Pool</v>
      </c>
    </row>
    <row r="241" spans="1:15" x14ac:dyDescent="0.25">
      <c r="A241" s="140" t="s">
        <v>1102</v>
      </c>
      <c r="B241" s="140" t="s">
        <v>493</v>
      </c>
      <c r="C241" s="140" t="s">
        <v>1278</v>
      </c>
      <c r="D241" s="140">
        <v>0</v>
      </c>
      <c r="E241" s="145" t="s">
        <v>492</v>
      </c>
      <c r="F241" s="146">
        <v>0.4</v>
      </c>
      <c r="G241" s="125">
        <v>1.6244130298131174</v>
      </c>
      <c r="H241" s="125">
        <v>0.14086439393124264</v>
      </c>
      <c r="I241" s="125">
        <v>1.4835486358818748</v>
      </c>
      <c r="J241" s="125">
        <v>-3.6180459063258845</v>
      </c>
      <c r="K241" s="125">
        <v>6.34275729697098E-4</v>
      </c>
      <c r="L241" s="125">
        <v>-3.6174116305961874</v>
      </c>
      <c r="M241" s="125">
        <v>1.3722824881907343</v>
      </c>
      <c r="N241" s="148">
        <v>0.5</v>
      </c>
      <c r="O241" s="122" t="str">
        <f>VLOOKUP(B241,Data!B:K,10,FALSE)</f>
        <v>Leicestershire Business Rates Pool</v>
      </c>
    </row>
    <row r="242" spans="1:15" x14ac:dyDescent="0.25">
      <c r="A242" s="140" t="s">
        <v>1103</v>
      </c>
      <c r="B242" s="140" t="s">
        <v>495</v>
      </c>
      <c r="C242" s="140" t="s">
        <v>1285</v>
      </c>
      <c r="D242" s="140" t="s">
        <v>1289</v>
      </c>
      <c r="E242" s="145" t="s">
        <v>494</v>
      </c>
      <c r="F242" s="146">
        <v>0.99</v>
      </c>
      <c r="G242" s="125">
        <v>102.81605779329264</v>
      </c>
      <c r="H242" s="125">
        <v>0</v>
      </c>
      <c r="I242" s="125">
        <v>102.81605779329264</v>
      </c>
      <c r="J242" s="125">
        <v>47.830647469265898</v>
      </c>
      <c r="K242" s="125">
        <v>0.14455617272422217</v>
      </c>
      <c r="L242" s="125">
        <v>47.97520364199012</v>
      </c>
      <c r="M242" s="125">
        <v>99.731576059493861</v>
      </c>
      <c r="N242" s="148">
        <v>0</v>
      </c>
      <c r="O242" s="122" t="str">
        <f>VLOOKUP(B242,Data!B:K,10,FALSE)</f>
        <v>Greater Manchester &amp; Cheshire Business Rates Pool</v>
      </c>
    </row>
    <row r="243" spans="1:15" x14ac:dyDescent="0.25">
      <c r="A243" s="140" t="s">
        <v>1104</v>
      </c>
      <c r="B243" s="140" t="s">
        <v>497</v>
      </c>
      <c r="C243" s="140" t="s">
        <v>1278</v>
      </c>
      <c r="D243" s="140">
        <v>0</v>
      </c>
      <c r="E243" s="145" t="s">
        <v>496</v>
      </c>
      <c r="F243" s="146">
        <v>0.4</v>
      </c>
      <c r="G243" s="125">
        <v>6.6513533966016141</v>
      </c>
      <c r="H243" s="125">
        <v>0.62987833286989858</v>
      </c>
      <c r="I243" s="125">
        <v>6.0214750637317156</v>
      </c>
      <c r="J243" s="125">
        <v>-29.239904985121477</v>
      </c>
      <c r="K243" s="125">
        <v>0.20856550256788609</v>
      </c>
      <c r="L243" s="125">
        <v>-29.031339482553591</v>
      </c>
      <c r="M243" s="125">
        <v>5.5698644339518371</v>
      </c>
      <c r="N243" s="148">
        <v>0.5</v>
      </c>
      <c r="O243" s="122">
        <f>VLOOKUP(B243,Data!B:K,10,FALSE)</f>
        <v>0</v>
      </c>
    </row>
    <row r="244" spans="1:15" x14ac:dyDescent="0.25">
      <c r="A244" s="140" t="s">
        <v>1105</v>
      </c>
      <c r="B244" s="140" t="s">
        <v>191</v>
      </c>
      <c r="C244" s="140" t="s">
        <v>1298</v>
      </c>
      <c r="D244" s="140">
        <v>0</v>
      </c>
      <c r="E244" s="145" t="s">
        <v>809</v>
      </c>
      <c r="F244" s="146">
        <v>0.1</v>
      </c>
      <c r="G244" s="125">
        <v>75.084468323008863</v>
      </c>
      <c r="H244" s="125">
        <v>5.8684046132343228</v>
      </c>
      <c r="I244" s="125">
        <v>69.216063709774545</v>
      </c>
      <c r="J244" s="125">
        <v>39.002563365942279</v>
      </c>
      <c r="K244" s="125">
        <v>4.3796588030147632E-2</v>
      </c>
      <c r="L244" s="125">
        <v>39.046359953972427</v>
      </c>
      <c r="M244" s="125">
        <v>64.024858931541459</v>
      </c>
      <c r="N244" s="148">
        <v>0</v>
      </c>
      <c r="O244" s="122" t="str">
        <f>VLOOKUP(B244,Data!B:K,10,FALSE)</f>
        <v>North Oxfordshire Business Rates Pool</v>
      </c>
    </row>
    <row r="245" spans="1:15" x14ac:dyDescent="0.25">
      <c r="A245" s="140" t="s">
        <v>1106</v>
      </c>
      <c r="B245" s="140" t="s">
        <v>499</v>
      </c>
      <c r="C245" s="140" t="s">
        <v>1278</v>
      </c>
      <c r="D245" s="140">
        <v>0</v>
      </c>
      <c r="E245" s="145" t="s">
        <v>498</v>
      </c>
      <c r="F245" s="146">
        <v>0.4</v>
      </c>
      <c r="G245" s="125">
        <v>5.623629384422955</v>
      </c>
      <c r="H245" s="125">
        <v>1.7072637173638028</v>
      </c>
      <c r="I245" s="125">
        <v>3.9163656670591518</v>
      </c>
      <c r="J245" s="125">
        <v>-3.259592738431389</v>
      </c>
      <c r="K245" s="125">
        <v>8.3241050932418403E-2</v>
      </c>
      <c r="L245" s="125">
        <v>-3.1763516874989706</v>
      </c>
      <c r="M245" s="125">
        <v>3.6226382420297156</v>
      </c>
      <c r="N245" s="148">
        <v>0.45423799423206235</v>
      </c>
      <c r="O245" s="122" t="str">
        <f>VLOOKUP(B245,Data!B:K,10,FALSE)</f>
        <v>Lancashire Business Rates Pool</v>
      </c>
    </row>
    <row r="246" spans="1:15" x14ac:dyDescent="0.25">
      <c r="A246" s="140" t="s">
        <v>1107</v>
      </c>
      <c r="B246" s="140" t="s">
        <v>501</v>
      </c>
      <c r="C246" s="140" t="s">
        <v>1286</v>
      </c>
      <c r="D246" s="140">
        <v>0</v>
      </c>
      <c r="E246" s="145" t="s">
        <v>500</v>
      </c>
      <c r="F246" s="146">
        <v>0.49</v>
      </c>
      <c r="G246" s="125">
        <v>55.467281609032582</v>
      </c>
      <c r="H246" s="125">
        <v>15.055762767335573</v>
      </c>
      <c r="I246" s="125">
        <v>40.41151884169701</v>
      </c>
      <c r="J246" s="125">
        <v>-2.3698495507808364</v>
      </c>
      <c r="K246" s="125">
        <v>-0.16898424045748017</v>
      </c>
      <c r="L246" s="125">
        <v>-2.5388337912383165</v>
      </c>
      <c r="M246" s="125">
        <v>37.380654928569733</v>
      </c>
      <c r="N246" s="148">
        <v>5.5394419855965271E-2</v>
      </c>
      <c r="O246" s="122">
        <f>VLOOKUP(B246,Data!B:K,10,FALSE)</f>
        <v>0</v>
      </c>
    </row>
    <row r="247" spans="1:15" x14ac:dyDescent="0.25">
      <c r="A247" s="140" t="s">
        <v>1108</v>
      </c>
      <c r="B247" s="140" t="s">
        <v>503</v>
      </c>
      <c r="C247" s="140" t="s">
        <v>1286</v>
      </c>
      <c r="D247" s="140" t="s">
        <v>1299</v>
      </c>
      <c r="E247" s="145" t="s">
        <v>502</v>
      </c>
      <c r="F247" s="146">
        <v>0.99</v>
      </c>
      <c r="G247" s="125">
        <v>72.436399026208903</v>
      </c>
      <c r="H247" s="125">
        <v>0</v>
      </c>
      <c r="I247" s="125">
        <v>72.436399026208903</v>
      </c>
      <c r="J247" s="125">
        <v>-12.103665189112037</v>
      </c>
      <c r="K247" s="125">
        <v>8.8991401629384015E-2</v>
      </c>
      <c r="L247" s="125">
        <v>-12.014673787482653</v>
      </c>
      <c r="M247" s="125">
        <v>70.263307055422629</v>
      </c>
      <c r="N247" s="148">
        <v>0</v>
      </c>
      <c r="O247" s="122" t="str">
        <f>VLOOKUP(B247,Data!B:K,10,FALSE)</f>
        <v>Devon Business Rates Pool</v>
      </c>
    </row>
    <row r="248" spans="1:15" x14ac:dyDescent="0.25">
      <c r="A248" s="140" t="s">
        <v>1109</v>
      </c>
      <c r="B248" s="140" t="s">
        <v>505</v>
      </c>
      <c r="C248" s="140" t="s">
        <v>1286</v>
      </c>
      <c r="D248" s="140">
        <v>0</v>
      </c>
      <c r="E248" s="145" t="s">
        <v>504</v>
      </c>
      <c r="F248" s="146">
        <v>0.49</v>
      </c>
      <c r="G248" s="125">
        <v>18.415406561600712</v>
      </c>
      <c r="H248" s="125">
        <v>1.725291415696798</v>
      </c>
      <c r="I248" s="125">
        <v>16.690115145903913</v>
      </c>
      <c r="J248" s="125">
        <v>-13.296457508763069</v>
      </c>
      <c r="K248" s="125">
        <v>0.18059824275811209</v>
      </c>
      <c r="L248" s="125">
        <v>-13.115859266004957</v>
      </c>
      <c r="M248" s="125">
        <v>15.438356509961121</v>
      </c>
      <c r="N248" s="148">
        <v>0.44341370713377326</v>
      </c>
      <c r="O248" s="122">
        <f>VLOOKUP(B248,Data!B:K,10,FALSE)</f>
        <v>0</v>
      </c>
    </row>
    <row r="249" spans="1:15" x14ac:dyDescent="0.25">
      <c r="A249" s="140" t="s">
        <v>1110</v>
      </c>
      <c r="B249" s="140" t="s">
        <v>507</v>
      </c>
      <c r="C249" s="140" t="s">
        <v>1286</v>
      </c>
      <c r="D249" s="140" t="s">
        <v>1303</v>
      </c>
      <c r="E249" s="145" t="s">
        <v>506</v>
      </c>
      <c r="F249" s="146">
        <v>0.99</v>
      </c>
      <c r="G249" s="125">
        <v>63.630060255896204</v>
      </c>
      <c r="H249" s="125">
        <v>0</v>
      </c>
      <c r="I249" s="125">
        <v>63.630060255896204</v>
      </c>
      <c r="J249" s="125">
        <v>-17.157504592867845</v>
      </c>
      <c r="K249" s="125">
        <v>0.50864909389011714</v>
      </c>
      <c r="L249" s="125">
        <v>-16.648855498977728</v>
      </c>
      <c r="M249" s="125">
        <v>61.721158448219313</v>
      </c>
      <c r="N249" s="148">
        <v>0</v>
      </c>
      <c r="O249" s="122">
        <f>VLOOKUP(B249,Data!B:K,10,FALSE)</f>
        <v>0</v>
      </c>
    </row>
    <row r="250" spans="1:15" x14ac:dyDescent="0.25">
      <c r="A250" s="140" t="s">
        <v>1111</v>
      </c>
      <c r="B250" s="140" t="s">
        <v>509</v>
      </c>
      <c r="C250" s="140" t="s">
        <v>1278</v>
      </c>
      <c r="D250" s="140">
        <v>0</v>
      </c>
      <c r="E250" s="145" t="s">
        <v>508</v>
      </c>
      <c r="F250" s="146">
        <v>0.4</v>
      </c>
      <c r="G250" s="125">
        <v>6.0131380953893876</v>
      </c>
      <c r="H250" s="125">
        <v>0.66524079904880751</v>
      </c>
      <c r="I250" s="125">
        <v>5.3478972963405802</v>
      </c>
      <c r="J250" s="125">
        <v>-17.452569256777441</v>
      </c>
      <c r="K250" s="125">
        <v>0.16050547892061218</v>
      </c>
      <c r="L250" s="125">
        <v>-17.292063777856828</v>
      </c>
      <c r="M250" s="125">
        <v>4.9468049991150371</v>
      </c>
      <c r="N250" s="148">
        <v>0.5</v>
      </c>
      <c r="O250" s="122">
        <f>VLOOKUP(B250,Data!B:K,10,FALSE)</f>
        <v>0</v>
      </c>
    </row>
    <row r="251" spans="1:15" x14ac:dyDescent="0.25">
      <c r="A251" s="140" t="s">
        <v>1112</v>
      </c>
      <c r="B251" s="140" t="s">
        <v>511</v>
      </c>
      <c r="C251" s="140" t="s">
        <v>1278</v>
      </c>
      <c r="D251" s="140">
        <v>0</v>
      </c>
      <c r="E251" s="145" t="s">
        <v>510</v>
      </c>
      <c r="F251" s="146">
        <v>0.4</v>
      </c>
      <c r="G251" s="125">
        <v>1.1117216121154556</v>
      </c>
      <c r="H251" s="125">
        <v>0</v>
      </c>
      <c r="I251" s="125">
        <v>1.1117216121154556</v>
      </c>
      <c r="J251" s="125">
        <v>-6.281423991391839</v>
      </c>
      <c r="K251" s="125">
        <v>-6.9125488162392834E-2</v>
      </c>
      <c r="L251" s="125">
        <v>-6.3505494795542319</v>
      </c>
      <c r="M251" s="125">
        <v>1.0283424912067964</v>
      </c>
      <c r="N251" s="148">
        <v>0.5</v>
      </c>
      <c r="O251" s="122">
        <f>VLOOKUP(B251,Data!B:K,10,FALSE)</f>
        <v>0</v>
      </c>
    </row>
    <row r="252" spans="1:15" x14ac:dyDescent="0.25">
      <c r="A252" s="140" t="s">
        <v>1113</v>
      </c>
      <c r="B252" s="140" t="s">
        <v>261</v>
      </c>
      <c r="C252" s="140" t="s">
        <v>1281</v>
      </c>
      <c r="D252" s="140">
        <v>0</v>
      </c>
      <c r="E252" s="149" t="s">
        <v>1304</v>
      </c>
      <c r="F252" s="146">
        <v>0.01</v>
      </c>
      <c r="G252" s="125">
        <v>22.618367871096893</v>
      </c>
      <c r="H252" s="125">
        <v>7.2949917109329183</v>
      </c>
      <c r="I252" s="125">
        <v>15.323376160163976</v>
      </c>
      <c r="J252" s="125">
        <v>10.152703627341586</v>
      </c>
      <c r="K252" s="125">
        <v>6.0647565050665264E-2</v>
      </c>
      <c r="L252" s="125">
        <v>10.213351192392251</v>
      </c>
      <c r="M252" s="125">
        <v>14.174122948151679</v>
      </c>
      <c r="N252" s="148">
        <v>0</v>
      </c>
      <c r="O252" s="122">
        <f>VLOOKUP(B252,Data!B:K,10,FALSE)</f>
        <v>0</v>
      </c>
    </row>
    <row r="253" spans="1:15" x14ac:dyDescent="0.25">
      <c r="A253" s="140" t="s">
        <v>1115</v>
      </c>
      <c r="B253" s="140" t="s">
        <v>868</v>
      </c>
      <c r="C253" s="140" t="s">
        <v>1281</v>
      </c>
      <c r="D253" s="140">
        <v>0</v>
      </c>
      <c r="E253" s="149" t="s">
        <v>1305</v>
      </c>
      <c r="F253" s="146">
        <v>0.01</v>
      </c>
      <c r="G253" s="125">
        <v>14.548923384535577</v>
      </c>
      <c r="H253" s="125">
        <v>4.4931011353334487</v>
      </c>
      <c r="I253" s="125">
        <v>10.055822249202128</v>
      </c>
      <c r="J253" s="125">
        <v>5.1714235171399796</v>
      </c>
      <c r="K253" s="125">
        <v>4.7038491275834815E-3</v>
      </c>
      <c r="L253" s="125">
        <v>5.1761273662675631</v>
      </c>
      <c r="M253" s="125">
        <v>9.3016355805119684</v>
      </c>
      <c r="N253" s="148">
        <v>0</v>
      </c>
      <c r="O253" s="122">
        <f>VLOOKUP(B253,Data!B:K,10,FALSE)</f>
        <v>0</v>
      </c>
    </row>
    <row r="254" spans="1:15" x14ac:dyDescent="0.25">
      <c r="A254" s="140" t="s">
        <v>1117</v>
      </c>
      <c r="B254" s="140" t="s">
        <v>513</v>
      </c>
      <c r="C254" s="140" t="s">
        <v>1286</v>
      </c>
      <c r="D254" s="140" t="s">
        <v>1291</v>
      </c>
      <c r="E254" s="145" t="s">
        <v>512</v>
      </c>
      <c r="F254" s="146">
        <v>0.99</v>
      </c>
      <c r="G254" s="125">
        <v>35.735715158345748</v>
      </c>
      <c r="H254" s="125">
        <v>0</v>
      </c>
      <c r="I254" s="125">
        <v>35.735715158345748</v>
      </c>
      <c r="J254" s="125">
        <v>-81.036854289107055</v>
      </c>
      <c r="K254" s="125">
        <v>3.7813739052495521E-2</v>
      </c>
      <c r="L254" s="125">
        <v>-80.999040550054559</v>
      </c>
      <c r="M254" s="125">
        <v>34.663643703595376</v>
      </c>
      <c r="N254" s="148">
        <v>0</v>
      </c>
      <c r="O254" s="122">
        <f>VLOOKUP(B254,Data!B:K,10,FALSE)</f>
        <v>0</v>
      </c>
    </row>
    <row r="255" spans="1:15" x14ac:dyDescent="0.25">
      <c r="A255" s="140" t="s">
        <v>1118</v>
      </c>
      <c r="B255" s="140" t="s">
        <v>515</v>
      </c>
      <c r="C255" s="140" t="s">
        <v>1283</v>
      </c>
      <c r="D255" s="140" t="s">
        <v>1284</v>
      </c>
      <c r="E255" s="145" t="s">
        <v>514</v>
      </c>
      <c r="F255" s="146">
        <v>0.64</v>
      </c>
      <c r="G255" s="125">
        <v>68.184933637152156</v>
      </c>
      <c r="H255" s="125">
        <v>0</v>
      </c>
      <c r="I255" s="125">
        <v>68.184933637152156</v>
      </c>
      <c r="J255" s="125">
        <v>28.388180859216735</v>
      </c>
      <c r="K255" s="125">
        <v>1.1478188652841226E-2</v>
      </c>
      <c r="L255" s="125">
        <v>28.399659047869577</v>
      </c>
      <c r="M255" s="125">
        <v>66.139385628037587</v>
      </c>
      <c r="N255" s="148">
        <v>0</v>
      </c>
      <c r="O255" s="122">
        <f>VLOOKUP(B255,Data!B:K,10,FALSE)</f>
        <v>0</v>
      </c>
    </row>
    <row r="256" spans="1:15" x14ac:dyDescent="0.25">
      <c r="A256" s="140" t="s">
        <v>1119</v>
      </c>
      <c r="B256" s="140" t="s">
        <v>517</v>
      </c>
      <c r="C256" s="140" t="s">
        <v>1286</v>
      </c>
      <c r="D256" s="140">
        <v>0</v>
      </c>
      <c r="E256" s="145" t="s">
        <v>516</v>
      </c>
      <c r="F256" s="146">
        <v>0.49</v>
      </c>
      <c r="G256" s="125">
        <v>46.085674192878059</v>
      </c>
      <c r="H256" s="125">
        <v>11.402812914610093</v>
      </c>
      <c r="I256" s="125">
        <v>34.682861278267964</v>
      </c>
      <c r="J256" s="125">
        <v>14.171449830096453</v>
      </c>
      <c r="K256" s="125">
        <v>-0.53244177832856643</v>
      </c>
      <c r="L256" s="125">
        <v>13.639008051767886</v>
      </c>
      <c r="M256" s="125">
        <v>32.081646682397867</v>
      </c>
      <c r="N256" s="148">
        <v>0</v>
      </c>
      <c r="O256" s="122">
        <f>VLOOKUP(B256,Data!B:K,10,FALSE)</f>
        <v>0</v>
      </c>
    </row>
    <row r="257" spans="1:15" x14ac:dyDescent="0.25">
      <c r="A257" s="140" t="s">
        <v>1120</v>
      </c>
      <c r="B257" s="140" t="s">
        <v>519</v>
      </c>
      <c r="C257" s="140" t="s">
        <v>1278</v>
      </c>
      <c r="D257" s="140">
        <v>0</v>
      </c>
      <c r="E257" s="145" t="s">
        <v>518</v>
      </c>
      <c r="F257" s="146">
        <v>0.4</v>
      </c>
      <c r="G257" s="125">
        <v>2.1578185971447117</v>
      </c>
      <c r="H257" s="125">
        <v>3.5447261391058561E-2</v>
      </c>
      <c r="I257" s="125">
        <v>2.1223713357536531</v>
      </c>
      <c r="J257" s="125">
        <v>-10.771892880595113</v>
      </c>
      <c r="K257" s="125">
        <v>-7.3570701741990874E-2</v>
      </c>
      <c r="L257" s="125">
        <v>-10.845463582337104</v>
      </c>
      <c r="M257" s="125">
        <v>1.9631934855721291</v>
      </c>
      <c r="N257" s="148">
        <v>0.5</v>
      </c>
      <c r="O257" s="122" t="str">
        <f>VLOOKUP(B257,Data!B:K,10,FALSE)</f>
        <v>Greater Birmingham &amp; Solihull Business Rates Pool</v>
      </c>
    </row>
    <row r="258" spans="1:15" x14ac:dyDescent="0.25">
      <c r="A258" s="140" t="s">
        <v>1121</v>
      </c>
      <c r="B258" s="140" t="s">
        <v>521</v>
      </c>
      <c r="C258" s="140" t="s">
        <v>1278</v>
      </c>
      <c r="D258" s="140" t="s">
        <v>1300</v>
      </c>
      <c r="E258" s="145" t="s">
        <v>520</v>
      </c>
      <c r="F258" s="146">
        <v>0.30000000000000004</v>
      </c>
      <c r="G258" s="125">
        <v>2.2947267955904986</v>
      </c>
      <c r="H258" s="125">
        <v>0</v>
      </c>
      <c r="I258" s="125">
        <v>2.2947267955904986</v>
      </c>
      <c r="J258" s="125">
        <v>-13.490460324566245</v>
      </c>
      <c r="K258" s="125">
        <v>0.20687978136756691</v>
      </c>
      <c r="L258" s="125">
        <v>-13.283580543198678</v>
      </c>
      <c r="M258" s="125">
        <v>2.2258849917227836</v>
      </c>
      <c r="N258" s="148">
        <v>0</v>
      </c>
      <c r="O258" s="122">
        <f>VLOOKUP(B258,Data!B:K,10,FALSE)</f>
        <v>0</v>
      </c>
    </row>
    <row r="259" spans="1:15" x14ac:dyDescent="0.25">
      <c r="A259" s="140" t="s">
        <v>1122</v>
      </c>
      <c r="B259" s="140" t="s">
        <v>523</v>
      </c>
      <c r="C259" s="140" t="s">
        <v>1278</v>
      </c>
      <c r="D259" s="140">
        <v>0</v>
      </c>
      <c r="E259" s="145" t="s">
        <v>522</v>
      </c>
      <c r="F259" s="146">
        <v>0.4</v>
      </c>
      <c r="G259" s="125">
        <v>1.4119720704287737</v>
      </c>
      <c r="H259" s="125">
        <v>0.10914891747108288</v>
      </c>
      <c r="I259" s="125">
        <v>1.3028231529576908</v>
      </c>
      <c r="J259" s="125">
        <v>-4.1472616158854203</v>
      </c>
      <c r="K259" s="125">
        <v>-2.8828193431040816E-2</v>
      </c>
      <c r="L259" s="125">
        <v>-4.1760898093164611</v>
      </c>
      <c r="M259" s="125">
        <v>1.2051114164858641</v>
      </c>
      <c r="N259" s="148">
        <v>0.5</v>
      </c>
      <c r="O259" s="122" t="str">
        <f>VLOOKUP(B259,Data!B:K,10,FALSE)</f>
        <v>Lancashire Business Rates Pool</v>
      </c>
    </row>
    <row r="260" spans="1:15" x14ac:dyDescent="0.25">
      <c r="A260" s="140" t="s">
        <v>1123</v>
      </c>
      <c r="B260" s="140" t="s">
        <v>525</v>
      </c>
      <c r="C260" s="140" t="s">
        <v>1283</v>
      </c>
      <c r="D260" s="140" t="s">
        <v>1284</v>
      </c>
      <c r="E260" s="145" t="s">
        <v>524</v>
      </c>
      <c r="F260" s="146">
        <v>0.64</v>
      </c>
      <c r="G260" s="125">
        <v>21.714303706927137</v>
      </c>
      <c r="H260" s="125">
        <v>0</v>
      </c>
      <c r="I260" s="125">
        <v>21.714303706927137</v>
      </c>
      <c r="J260" s="125">
        <v>-34.781572106767996</v>
      </c>
      <c r="K260" s="125">
        <v>1.1311438070158886E-2</v>
      </c>
      <c r="L260" s="125">
        <v>-34.770260668697837</v>
      </c>
      <c r="M260" s="125">
        <v>21.062874595719322</v>
      </c>
      <c r="N260" s="148">
        <v>0</v>
      </c>
      <c r="O260" s="122">
        <f>VLOOKUP(B260,Data!B:K,10,FALSE)</f>
        <v>0</v>
      </c>
    </row>
    <row r="261" spans="1:15" x14ac:dyDescent="0.25">
      <c r="A261" s="140" t="s">
        <v>1124</v>
      </c>
      <c r="B261" s="140" t="s">
        <v>527</v>
      </c>
      <c r="C261" s="140" t="s">
        <v>1278</v>
      </c>
      <c r="D261" s="140">
        <v>0</v>
      </c>
      <c r="E261" s="145" t="s">
        <v>526</v>
      </c>
      <c r="F261" s="146">
        <v>0.4</v>
      </c>
      <c r="G261" s="125">
        <v>1.4617324904981159</v>
      </c>
      <c r="H261" s="125">
        <v>1.4755678387654946E-2</v>
      </c>
      <c r="I261" s="125">
        <v>1.4469768121104609</v>
      </c>
      <c r="J261" s="125">
        <v>-3.7142666526038806</v>
      </c>
      <c r="K261" s="125">
        <v>0.14870727164956632</v>
      </c>
      <c r="L261" s="125">
        <v>-3.5655593809543142</v>
      </c>
      <c r="M261" s="125">
        <v>1.3384535512021765</v>
      </c>
      <c r="N261" s="148">
        <v>0.5</v>
      </c>
      <c r="O261" s="122" t="str">
        <f>VLOOKUP(B261,Data!B:K,10,FALSE)</f>
        <v>North Yorkshire Business Rates Pool</v>
      </c>
    </row>
    <row r="262" spans="1:15" x14ac:dyDescent="0.25">
      <c r="A262" s="140" t="s">
        <v>1125</v>
      </c>
      <c r="B262" s="140" t="s">
        <v>529</v>
      </c>
      <c r="C262" s="140" t="s">
        <v>1285</v>
      </c>
      <c r="D262" s="140" t="s">
        <v>1289</v>
      </c>
      <c r="E262" s="145" t="s">
        <v>528</v>
      </c>
      <c r="F262" s="146">
        <v>0.99</v>
      </c>
      <c r="G262" s="125">
        <v>99.163473910555822</v>
      </c>
      <c r="H262" s="125">
        <v>0</v>
      </c>
      <c r="I262" s="125">
        <v>99.163473910555822</v>
      </c>
      <c r="J262" s="125">
        <v>42.450860016177245</v>
      </c>
      <c r="K262" s="125">
        <v>-0.17342720270158907</v>
      </c>
      <c r="L262" s="125">
        <v>42.277432813475656</v>
      </c>
      <c r="M262" s="125">
        <v>96.188569693239145</v>
      </c>
      <c r="N262" s="148">
        <v>0</v>
      </c>
      <c r="O262" s="122" t="str">
        <f>VLOOKUP(B262,Data!B:K,10,FALSE)</f>
        <v>Greater Manchester &amp; Cheshire Business Rates Pool</v>
      </c>
    </row>
    <row r="263" spans="1:15" x14ac:dyDescent="0.25">
      <c r="A263" s="140" t="s">
        <v>1126</v>
      </c>
      <c r="B263" s="140" t="s">
        <v>531</v>
      </c>
      <c r="C263" s="140" t="s">
        <v>1278</v>
      </c>
      <c r="D263" s="140">
        <v>0</v>
      </c>
      <c r="E263" s="145" t="s">
        <v>530</v>
      </c>
      <c r="F263" s="146">
        <v>0.4</v>
      </c>
      <c r="G263" s="125">
        <v>1.6716350600042365</v>
      </c>
      <c r="H263" s="125">
        <v>0</v>
      </c>
      <c r="I263" s="125">
        <v>1.6716350600042365</v>
      </c>
      <c r="J263" s="125">
        <v>-4.962304485250435</v>
      </c>
      <c r="K263" s="125">
        <v>-7.1585333108131088E-2</v>
      </c>
      <c r="L263" s="125">
        <v>-5.0338898183585661</v>
      </c>
      <c r="M263" s="125">
        <v>1.5462624305039188</v>
      </c>
      <c r="N263" s="148">
        <v>0.5</v>
      </c>
      <c r="O263" s="122" t="str">
        <f>VLOOKUP(B263,Data!B:K,10,FALSE)</f>
        <v>Essex Business Rates Pool</v>
      </c>
    </row>
    <row r="264" spans="1:15" x14ac:dyDescent="0.25">
      <c r="A264" s="140" t="s">
        <v>1127</v>
      </c>
      <c r="B264" s="140" t="s">
        <v>533</v>
      </c>
      <c r="C264" s="140" t="s">
        <v>1278</v>
      </c>
      <c r="D264" s="140">
        <v>0</v>
      </c>
      <c r="E264" s="145" t="s">
        <v>532</v>
      </c>
      <c r="F264" s="146">
        <v>0.4</v>
      </c>
      <c r="G264" s="125">
        <v>2.2860425500422297</v>
      </c>
      <c r="H264" s="125">
        <v>0.18947393080816233</v>
      </c>
      <c r="I264" s="125">
        <v>2.0965686192340676</v>
      </c>
      <c r="J264" s="125">
        <v>-2.6101988740561795</v>
      </c>
      <c r="K264" s="125">
        <v>8.2242328714657198E-2</v>
      </c>
      <c r="L264" s="125">
        <v>-2.5279565453415223</v>
      </c>
      <c r="M264" s="125">
        <v>1.9393259727915126</v>
      </c>
      <c r="N264" s="148">
        <v>0.5</v>
      </c>
      <c r="O264" s="122" t="str">
        <f>VLOOKUP(B264,Data!B:K,10,FALSE)</f>
        <v>Lancashire Business Rates Pool</v>
      </c>
    </row>
    <row r="265" spans="1:15" x14ac:dyDescent="0.25">
      <c r="A265" s="140" t="s">
        <v>1128</v>
      </c>
      <c r="B265" s="140" t="s">
        <v>535</v>
      </c>
      <c r="C265" s="140" t="s">
        <v>1278</v>
      </c>
      <c r="D265" s="140">
        <v>0</v>
      </c>
      <c r="E265" s="145" t="s">
        <v>534</v>
      </c>
      <c r="F265" s="146">
        <v>0.4</v>
      </c>
      <c r="G265" s="125">
        <v>2.3574657681325064</v>
      </c>
      <c r="H265" s="125">
        <v>7.2506718481630081E-2</v>
      </c>
      <c r="I265" s="125">
        <v>2.2849590496508765</v>
      </c>
      <c r="J265" s="125">
        <v>-4.9257903857881802</v>
      </c>
      <c r="K265" s="125">
        <v>1.0106042421851313E-3</v>
      </c>
      <c r="L265" s="125">
        <v>-4.924779781545995</v>
      </c>
      <c r="M265" s="125">
        <v>2.1135871209270607</v>
      </c>
      <c r="N265" s="148">
        <v>0.5</v>
      </c>
      <c r="O265" s="122">
        <f>VLOOKUP(B265,Data!B:K,10,FALSE)</f>
        <v>0</v>
      </c>
    </row>
    <row r="266" spans="1:15" x14ac:dyDescent="0.25">
      <c r="A266" s="140" t="s">
        <v>1129</v>
      </c>
      <c r="B266" s="140" t="s">
        <v>537</v>
      </c>
      <c r="C266" s="140" t="s">
        <v>1285</v>
      </c>
      <c r="D266" s="140">
        <v>0</v>
      </c>
      <c r="E266" s="145" t="s">
        <v>536</v>
      </c>
      <c r="F266" s="146">
        <v>0.49</v>
      </c>
      <c r="G266" s="125">
        <v>83.678296713160762</v>
      </c>
      <c r="H266" s="125">
        <v>21.922972787740786</v>
      </c>
      <c r="I266" s="125">
        <v>61.755323925419972</v>
      </c>
      <c r="J266" s="125">
        <v>28.295189075411322</v>
      </c>
      <c r="K266" s="125">
        <v>-0.22187665775360443</v>
      </c>
      <c r="L266" s="125">
        <v>28.073312417657718</v>
      </c>
      <c r="M266" s="125">
        <v>57.123674631013479</v>
      </c>
      <c r="N266" s="148">
        <v>0</v>
      </c>
      <c r="O266" s="122">
        <f>VLOOKUP(B266,Data!B:K,10,FALSE)</f>
        <v>0</v>
      </c>
    </row>
    <row r="267" spans="1:15" x14ac:dyDescent="0.25">
      <c r="A267" s="140" t="s">
        <v>1130</v>
      </c>
      <c r="B267" s="140" t="s">
        <v>539</v>
      </c>
      <c r="C267" s="140" t="s">
        <v>1278</v>
      </c>
      <c r="D267" s="140">
        <v>0</v>
      </c>
      <c r="E267" s="145" t="s">
        <v>538</v>
      </c>
      <c r="F267" s="146">
        <v>0.4</v>
      </c>
      <c r="G267" s="125">
        <v>2.4751104278320368</v>
      </c>
      <c r="H267" s="125">
        <v>0.15268077822070383</v>
      </c>
      <c r="I267" s="125">
        <v>2.3224296496113328</v>
      </c>
      <c r="J267" s="125">
        <v>-12.767130408910489</v>
      </c>
      <c r="K267" s="125">
        <v>7.8993194581878257E-2</v>
      </c>
      <c r="L267" s="125">
        <v>-12.688137214328611</v>
      </c>
      <c r="M267" s="125">
        <v>2.1482474258904829</v>
      </c>
      <c r="N267" s="148">
        <v>0.5</v>
      </c>
      <c r="O267" s="122" t="str">
        <f>VLOOKUP(B267,Data!B:K,10,FALSE)</f>
        <v>Coventry &amp; Warwickshire Business Rates Pool</v>
      </c>
    </row>
    <row r="268" spans="1:15" x14ac:dyDescent="0.25">
      <c r="A268" s="140" t="s">
        <v>1131</v>
      </c>
      <c r="B268" s="140" t="s">
        <v>541</v>
      </c>
      <c r="C268" s="140" t="s">
        <v>1278</v>
      </c>
      <c r="D268" s="140" t="s">
        <v>1300</v>
      </c>
      <c r="E268" s="145" t="s">
        <v>540</v>
      </c>
      <c r="F268" s="146">
        <v>0.30000000000000004</v>
      </c>
      <c r="G268" s="125">
        <v>1.7934413932147011</v>
      </c>
      <c r="H268" s="125">
        <v>0</v>
      </c>
      <c r="I268" s="125">
        <v>1.7934413932147011</v>
      </c>
      <c r="J268" s="125">
        <v>-13.899759603579341</v>
      </c>
      <c r="K268" s="125">
        <v>0.17738748484009825</v>
      </c>
      <c r="L268" s="125">
        <v>-13.722372118739242</v>
      </c>
      <c r="M268" s="125">
        <v>1.7396381514182599</v>
      </c>
      <c r="N268" s="148">
        <v>0</v>
      </c>
      <c r="O268" s="122">
        <f>VLOOKUP(B268,Data!B:K,10,FALSE)</f>
        <v>0</v>
      </c>
    </row>
    <row r="269" spans="1:15" x14ac:dyDescent="0.25">
      <c r="A269" s="140" t="s">
        <v>1132</v>
      </c>
      <c r="B269" s="140" t="s">
        <v>543</v>
      </c>
      <c r="C269" s="140" t="s">
        <v>1278</v>
      </c>
      <c r="D269" s="140">
        <v>0</v>
      </c>
      <c r="E269" s="145" t="s">
        <v>542</v>
      </c>
      <c r="F269" s="146">
        <v>0.4</v>
      </c>
      <c r="G269" s="125">
        <v>2.4234778205560175</v>
      </c>
      <c r="H269" s="125">
        <v>0.12994049720124343</v>
      </c>
      <c r="I269" s="125">
        <v>2.2935373233547742</v>
      </c>
      <c r="J269" s="125">
        <v>-7.8557765733290132</v>
      </c>
      <c r="K269" s="125">
        <v>0.21999076352109181</v>
      </c>
      <c r="L269" s="125">
        <v>-7.6357858098079214</v>
      </c>
      <c r="M269" s="125">
        <v>2.1215220241031663</v>
      </c>
      <c r="N269" s="148">
        <v>0.5</v>
      </c>
      <c r="O269" s="122" t="str">
        <f>VLOOKUP(B269,Data!B:K,10,FALSE)</f>
        <v>Nottingham Business Rates Pool</v>
      </c>
    </row>
    <row r="270" spans="1:15" x14ac:dyDescent="0.25">
      <c r="A270" s="140" t="s">
        <v>1133</v>
      </c>
      <c r="B270" s="140" t="s">
        <v>545</v>
      </c>
      <c r="C270" s="140" t="s">
        <v>1278</v>
      </c>
      <c r="D270" s="140">
        <v>0</v>
      </c>
      <c r="E270" s="145" t="s">
        <v>544</v>
      </c>
      <c r="F270" s="146">
        <v>0.4</v>
      </c>
      <c r="G270" s="125">
        <v>2.479859673176366</v>
      </c>
      <c r="H270" s="125">
        <v>0.18958033958469517</v>
      </c>
      <c r="I270" s="125">
        <v>2.2902793335916707</v>
      </c>
      <c r="J270" s="125">
        <v>-15.709956033095299</v>
      </c>
      <c r="K270" s="125">
        <v>0.19149664691519419</v>
      </c>
      <c r="L270" s="125">
        <v>-15.518459386180105</v>
      </c>
      <c r="M270" s="125">
        <v>2.1185083835722955</v>
      </c>
      <c r="N270" s="148">
        <v>0.5</v>
      </c>
      <c r="O270" s="122">
        <f>VLOOKUP(B270,Data!B:K,10,FALSE)</f>
        <v>0</v>
      </c>
    </row>
    <row r="271" spans="1:15" x14ac:dyDescent="0.25">
      <c r="A271" s="140" t="s">
        <v>1134</v>
      </c>
      <c r="B271" s="140" t="s">
        <v>547</v>
      </c>
      <c r="C271" s="140" t="s">
        <v>1286</v>
      </c>
      <c r="D271" s="140">
        <v>0</v>
      </c>
      <c r="E271" s="145" t="s">
        <v>546</v>
      </c>
      <c r="F271" s="146">
        <v>0.49</v>
      </c>
      <c r="G271" s="125">
        <v>4.2848449384874199</v>
      </c>
      <c r="H271" s="125">
        <v>0</v>
      </c>
      <c r="I271" s="125">
        <v>4.2848449384874199</v>
      </c>
      <c r="J271" s="125">
        <v>-0.99987146225241852</v>
      </c>
      <c r="K271" s="125">
        <v>3.9195724178273883E-2</v>
      </c>
      <c r="L271" s="125">
        <v>-0.96067573807414464</v>
      </c>
      <c r="M271" s="125">
        <v>3.9634815681008635</v>
      </c>
      <c r="N271" s="148">
        <v>0.18920061567160273</v>
      </c>
      <c r="O271" s="122">
        <f>VLOOKUP(B271,Data!B:K,10,FALSE)</f>
        <v>0</v>
      </c>
    </row>
    <row r="272" spans="1:15" x14ac:dyDescent="0.25">
      <c r="A272" s="140" t="s">
        <v>1135</v>
      </c>
      <c r="B272" s="140" t="s">
        <v>549</v>
      </c>
      <c r="C272" s="140" t="s">
        <v>1278</v>
      </c>
      <c r="D272" s="140">
        <v>0</v>
      </c>
      <c r="E272" s="145" t="s">
        <v>548</v>
      </c>
      <c r="F272" s="146">
        <v>0.4</v>
      </c>
      <c r="G272" s="125">
        <v>1.7192659432313944</v>
      </c>
      <c r="H272" s="125">
        <v>0.143023570543902</v>
      </c>
      <c r="I272" s="125">
        <v>1.5762423726874923</v>
      </c>
      <c r="J272" s="125">
        <v>-5.5033739792281313</v>
      </c>
      <c r="K272" s="125">
        <v>3.338587752165445E-2</v>
      </c>
      <c r="L272" s="125">
        <v>-5.4699881017064769</v>
      </c>
      <c r="M272" s="125">
        <v>1.4580241947359305</v>
      </c>
      <c r="N272" s="148">
        <v>0.5</v>
      </c>
      <c r="O272" s="122" t="str">
        <f>VLOOKUP(B272,Data!B:K,10,FALSE)</f>
        <v>North Yorkshire Business Rates Pool</v>
      </c>
    </row>
    <row r="273" spans="1:15" x14ac:dyDescent="0.25">
      <c r="A273" s="140" t="s">
        <v>1136</v>
      </c>
      <c r="B273" s="140" t="s">
        <v>551</v>
      </c>
      <c r="C273" s="140" t="s">
        <v>1285</v>
      </c>
      <c r="D273" s="140" t="s">
        <v>1289</v>
      </c>
      <c r="E273" s="145" t="s">
        <v>550</v>
      </c>
      <c r="F273" s="146">
        <v>0.99</v>
      </c>
      <c r="G273" s="125">
        <v>118.71575386286601</v>
      </c>
      <c r="H273" s="125">
        <v>0</v>
      </c>
      <c r="I273" s="125">
        <v>118.71575386286601</v>
      </c>
      <c r="J273" s="125">
        <v>43.837083340250146</v>
      </c>
      <c r="K273" s="125">
        <v>-1.2171651763992486E-4</v>
      </c>
      <c r="L273" s="125">
        <v>43.836961623732506</v>
      </c>
      <c r="M273" s="125">
        <v>115.15428124698002</v>
      </c>
      <c r="N273" s="148">
        <v>0</v>
      </c>
      <c r="O273" s="122" t="str">
        <f>VLOOKUP(B273,Data!B:K,10,FALSE)</f>
        <v>Greater Manchester &amp; Cheshire Business Rates Pool</v>
      </c>
    </row>
    <row r="274" spans="1:15" x14ac:dyDescent="0.25">
      <c r="A274" s="140" t="s">
        <v>1137</v>
      </c>
      <c r="B274" s="140" t="s">
        <v>553</v>
      </c>
      <c r="C274" s="140" t="s">
        <v>1285</v>
      </c>
      <c r="D274" s="140" t="s">
        <v>1288</v>
      </c>
      <c r="E274" s="145" t="s">
        <v>552</v>
      </c>
      <c r="F274" s="146">
        <v>0.99</v>
      </c>
      <c r="G274" s="125">
        <v>141.40934767701077</v>
      </c>
      <c r="H274" s="125">
        <v>0</v>
      </c>
      <c r="I274" s="125">
        <v>141.40934767701077</v>
      </c>
      <c r="J274" s="125">
        <v>50.619729000795928</v>
      </c>
      <c r="K274" s="125">
        <v>-0.4975099575077877</v>
      </c>
      <c r="L274" s="125">
        <v>50.12221904328814</v>
      </c>
      <c r="M274" s="125">
        <v>137.16706724670044</v>
      </c>
      <c r="N274" s="148">
        <v>0</v>
      </c>
      <c r="O274" s="122">
        <f>VLOOKUP(B274,Data!B:K,10,FALSE)</f>
        <v>0</v>
      </c>
    </row>
    <row r="275" spans="1:15" x14ac:dyDescent="0.25">
      <c r="A275" s="140" t="s">
        <v>1138</v>
      </c>
      <c r="B275" s="140" t="s">
        <v>555</v>
      </c>
      <c r="C275" s="140" t="s">
        <v>1278</v>
      </c>
      <c r="D275" s="140">
        <v>0</v>
      </c>
      <c r="E275" s="145" t="s">
        <v>554</v>
      </c>
      <c r="F275" s="146">
        <v>0.4</v>
      </c>
      <c r="G275" s="125">
        <v>4.7952895899781014</v>
      </c>
      <c r="H275" s="125">
        <v>0.67241797398626801</v>
      </c>
      <c r="I275" s="125">
        <v>4.1228716159918335</v>
      </c>
      <c r="J275" s="125">
        <v>-10.099582905151465</v>
      </c>
      <c r="K275" s="125">
        <v>7.1161332501748831E-2</v>
      </c>
      <c r="L275" s="125">
        <v>-10.028421572649716</v>
      </c>
      <c r="M275" s="125">
        <v>3.8136562447924462</v>
      </c>
      <c r="N275" s="148">
        <v>0.5</v>
      </c>
      <c r="O275" s="122" t="str">
        <f>VLOOKUP(B275,Data!B:K,10,FALSE)</f>
        <v>North Yorkshire Business Rates Pool</v>
      </c>
    </row>
    <row r="276" spans="1:15" x14ac:dyDescent="0.25">
      <c r="A276" s="140" t="s">
        <v>1139</v>
      </c>
      <c r="B276" s="140" t="s">
        <v>557</v>
      </c>
      <c r="C276" s="140" t="s">
        <v>1278</v>
      </c>
      <c r="D276" s="140">
        <v>0</v>
      </c>
      <c r="E276" s="145" t="s">
        <v>556</v>
      </c>
      <c r="F276" s="146">
        <v>0.4</v>
      </c>
      <c r="G276" s="125">
        <v>3.9087683223450922</v>
      </c>
      <c r="H276" s="125">
        <v>0.49118396178313156</v>
      </c>
      <c r="I276" s="125">
        <v>3.4175843605619605</v>
      </c>
      <c r="J276" s="125">
        <v>-10.541871275043759</v>
      </c>
      <c r="K276" s="125">
        <v>-1.4737130878469173E-2</v>
      </c>
      <c r="L276" s="125">
        <v>-10.556608405922228</v>
      </c>
      <c r="M276" s="125">
        <v>3.1612655335198134</v>
      </c>
      <c r="N276" s="148">
        <v>0.5</v>
      </c>
      <c r="O276" s="122" t="str">
        <f>VLOOKUP(B276,Data!B:K,10,FALSE)</f>
        <v>Somerset Business Rates Pool</v>
      </c>
    </row>
    <row r="277" spans="1:15" x14ac:dyDescent="0.25">
      <c r="A277" s="140" t="s">
        <v>1140</v>
      </c>
      <c r="B277" s="140" t="s">
        <v>559</v>
      </c>
      <c r="C277" s="140" t="s">
        <v>1285</v>
      </c>
      <c r="D277" s="140" t="s">
        <v>1302</v>
      </c>
      <c r="E277" s="145" t="s">
        <v>558</v>
      </c>
      <c r="F277" s="146">
        <v>0.99</v>
      </c>
      <c r="G277" s="125">
        <v>92.861603012151278</v>
      </c>
      <c r="H277" s="125">
        <v>0</v>
      </c>
      <c r="I277" s="125">
        <v>92.861603012151278</v>
      </c>
      <c r="J277" s="125">
        <v>24.65318339633377</v>
      </c>
      <c r="K277" s="125">
        <v>0.92907417670848957</v>
      </c>
      <c r="L277" s="125">
        <v>25.582257573042259</v>
      </c>
      <c r="M277" s="125">
        <v>90.075754921786739</v>
      </c>
      <c r="N277" s="148">
        <v>0</v>
      </c>
      <c r="O277" s="122">
        <f>VLOOKUP(B277,Data!B:K,10,FALSE)</f>
        <v>0</v>
      </c>
    </row>
    <row r="278" spans="1:15" x14ac:dyDescent="0.25">
      <c r="A278" s="140" t="s">
        <v>1141</v>
      </c>
      <c r="B278" s="140" t="s">
        <v>561</v>
      </c>
      <c r="C278" s="140" t="s">
        <v>1278</v>
      </c>
      <c r="D278" s="140">
        <v>0</v>
      </c>
      <c r="E278" s="145" t="s">
        <v>560</v>
      </c>
      <c r="F278" s="146">
        <v>0.4</v>
      </c>
      <c r="G278" s="125">
        <v>2.6303295827968127</v>
      </c>
      <c r="H278" s="125">
        <v>0.2652129914300218</v>
      </c>
      <c r="I278" s="125">
        <v>2.3651165913667911</v>
      </c>
      <c r="J278" s="125">
        <v>-12.957082528558807</v>
      </c>
      <c r="K278" s="125">
        <v>0.45908176622816654</v>
      </c>
      <c r="L278" s="125">
        <v>-12.498000762330641</v>
      </c>
      <c r="M278" s="125">
        <v>2.1877328470142818</v>
      </c>
      <c r="N278" s="148">
        <v>0.5</v>
      </c>
      <c r="O278" s="122">
        <f>VLOOKUP(B278,Data!B:K,10,FALSE)</f>
        <v>0</v>
      </c>
    </row>
    <row r="279" spans="1:15" x14ac:dyDescent="0.25">
      <c r="A279" s="140" t="s">
        <v>1142</v>
      </c>
      <c r="B279" s="140" t="s">
        <v>563</v>
      </c>
      <c r="C279" s="140" t="s">
        <v>1278</v>
      </c>
      <c r="D279" s="140" t="s">
        <v>1280</v>
      </c>
      <c r="E279" s="145" t="s">
        <v>562</v>
      </c>
      <c r="F279" s="146">
        <v>0.4</v>
      </c>
      <c r="G279" s="125">
        <v>2.2165084428466986</v>
      </c>
      <c r="H279" s="125">
        <v>0</v>
      </c>
      <c r="I279" s="125">
        <v>2.2165084428466986</v>
      </c>
      <c r="J279" s="125">
        <v>-12.121162692527628</v>
      </c>
      <c r="K279" s="125">
        <v>3.542010169783083E-2</v>
      </c>
      <c r="L279" s="125">
        <v>-12.085742590829797</v>
      </c>
      <c r="M279" s="125">
        <v>2.1500131895612977</v>
      </c>
      <c r="N279" s="148">
        <v>0</v>
      </c>
      <c r="O279" s="122">
        <f>VLOOKUP(B279,Data!B:K,10,FALSE)</f>
        <v>0</v>
      </c>
    </row>
    <row r="280" spans="1:15" x14ac:dyDescent="0.25">
      <c r="A280" s="140" t="s">
        <v>1143</v>
      </c>
      <c r="B280" s="140" t="s">
        <v>565</v>
      </c>
      <c r="C280" s="140" t="s">
        <v>1285</v>
      </c>
      <c r="D280" s="140">
        <v>0</v>
      </c>
      <c r="E280" s="145" t="s">
        <v>564</v>
      </c>
      <c r="F280" s="146">
        <v>0.49</v>
      </c>
      <c r="G280" s="125">
        <v>191.67633467847401</v>
      </c>
      <c r="H280" s="125">
        <v>52.415268148795299</v>
      </c>
      <c r="I280" s="125">
        <v>139.26106652967871</v>
      </c>
      <c r="J280" s="125">
        <v>41.576435769564881</v>
      </c>
      <c r="K280" s="125">
        <v>0.78039115042367513</v>
      </c>
      <c r="L280" s="125">
        <v>42.356826919988556</v>
      </c>
      <c r="M280" s="125">
        <v>128.81648653995282</v>
      </c>
      <c r="N280" s="148">
        <v>0</v>
      </c>
      <c r="O280" s="122">
        <f>VLOOKUP(B280,Data!B:K,10,FALSE)</f>
        <v>0</v>
      </c>
    </row>
    <row r="281" spans="1:15" x14ac:dyDescent="0.25">
      <c r="A281" s="140" t="s">
        <v>1144</v>
      </c>
      <c r="B281" s="140" t="s">
        <v>567</v>
      </c>
      <c r="C281" s="140" t="s">
        <v>1278</v>
      </c>
      <c r="D281" s="140" t="s">
        <v>1280</v>
      </c>
      <c r="E281" s="145" t="s">
        <v>566</v>
      </c>
      <c r="F281" s="146">
        <v>0.4</v>
      </c>
      <c r="G281" s="125">
        <v>3.8955631587354196</v>
      </c>
      <c r="H281" s="125">
        <v>0</v>
      </c>
      <c r="I281" s="125">
        <v>3.8955631587354196</v>
      </c>
      <c r="J281" s="125">
        <v>-5.6631046954383821</v>
      </c>
      <c r="K281" s="125">
        <v>0.29515576120122766</v>
      </c>
      <c r="L281" s="125">
        <v>-5.3679489342371545</v>
      </c>
      <c r="M281" s="125">
        <v>3.778696263973357</v>
      </c>
      <c r="N281" s="148">
        <v>0</v>
      </c>
      <c r="O281" s="122" t="str">
        <f>VLOOKUP(B281,Data!B:K,10,FALSE)</f>
        <v>Kent Business Rates Pool</v>
      </c>
    </row>
    <row r="282" spans="1:15" x14ac:dyDescent="0.25">
      <c r="A282" s="140" t="s">
        <v>1145</v>
      </c>
      <c r="B282" s="140" t="s">
        <v>569</v>
      </c>
      <c r="C282" s="140" t="s">
        <v>1286</v>
      </c>
      <c r="D282" s="140">
        <v>0</v>
      </c>
      <c r="E282" s="145" t="s">
        <v>1146</v>
      </c>
      <c r="F282" s="146">
        <v>0.49</v>
      </c>
      <c r="G282" s="125">
        <v>62.436041510557061</v>
      </c>
      <c r="H282" s="125">
        <v>13.301165914493588</v>
      </c>
      <c r="I282" s="125">
        <v>49.134875596063473</v>
      </c>
      <c r="J282" s="125">
        <v>9.6493097655900328</v>
      </c>
      <c r="K282" s="125">
        <v>-0.11355769273959204</v>
      </c>
      <c r="L282" s="125">
        <v>9.5357520728504408</v>
      </c>
      <c r="M282" s="125">
        <v>45.449759926358716</v>
      </c>
      <c r="N282" s="148">
        <v>0</v>
      </c>
      <c r="O282" s="122">
        <f>VLOOKUP(B282,Data!B:K,10,FALSE)</f>
        <v>0</v>
      </c>
    </row>
    <row r="283" spans="1:15" x14ac:dyDescent="0.25">
      <c r="A283" s="140" t="s">
        <v>1147</v>
      </c>
      <c r="B283" s="140" t="s">
        <v>570</v>
      </c>
      <c r="C283" s="140" t="s">
        <v>1281</v>
      </c>
      <c r="D283" s="140">
        <v>0</v>
      </c>
      <c r="E283" s="145" t="s">
        <v>1148</v>
      </c>
      <c r="F283" s="146">
        <v>0.01</v>
      </c>
      <c r="G283" s="125">
        <v>5.3327007749276589</v>
      </c>
      <c r="H283" s="125">
        <v>1.5605536593831741</v>
      </c>
      <c r="I283" s="125">
        <v>3.772147115544485</v>
      </c>
      <c r="J283" s="125">
        <v>2.297753617223893</v>
      </c>
      <c r="K283" s="125">
        <v>6.8190656473010591E-4</v>
      </c>
      <c r="L283" s="125">
        <v>2.2984355237886231</v>
      </c>
      <c r="M283" s="125">
        <v>3.4892360818786488</v>
      </c>
      <c r="N283" s="148">
        <v>0</v>
      </c>
      <c r="O283" s="122">
        <f>VLOOKUP(B283,Data!B:K,10,FALSE)</f>
        <v>0</v>
      </c>
    </row>
    <row r="284" spans="1:15" x14ac:dyDescent="0.25">
      <c r="A284" s="140" t="s">
        <v>1149</v>
      </c>
      <c r="B284" s="140" t="s">
        <v>572</v>
      </c>
      <c r="C284" s="140" t="s">
        <v>1286</v>
      </c>
      <c r="D284" s="140" t="s">
        <v>1291</v>
      </c>
      <c r="E284" s="145" t="s">
        <v>571</v>
      </c>
      <c r="F284" s="146">
        <v>0.99</v>
      </c>
      <c r="G284" s="125">
        <v>38.808855358262015</v>
      </c>
      <c r="H284" s="125">
        <v>0</v>
      </c>
      <c r="I284" s="125">
        <v>38.808855358262015</v>
      </c>
      <c r="J284" s="125">
        <v>-58.317882080002292</v>
      </c>
      <c r="K284" s="125">
        <v>0.38719415739505081</v>
      </c>
      <c r="L284" s="125">
        <v>-57.930687922607241</v>
      </c>
      <c r="M284" s="125">
        <v>37.644589697514157</v>
      </c>
      <c r="N284" s="148">
        <v>0</v>
      </c>
      <c r="O284" s="122">
        <f>VLOOKUP(B284,Data!B:K,10,FALSE)</f>
        <v>0</v>
      </c>
    </row>
    <row r="285" spans="1:15" x14ac:dyDescent="0.25">
      <c r="A285" s="140" t="s">
        <v>1150</v>
      </c>
      <c r="B285" s="140" t="s">
        <v>574</v>
      </c>
      <c r="C285" s="140" t="s">
        <v>1285</v>
      </c>
      <c r="D285" s="140" t="s">
        <v>1288</v>
      </c>
      <c r="E285" s="145" t="s">
        <v>573</v>
      </c>
      <c r="F285" s="146">
        <v>0.99</v>
      </c>
      <c r="G285" s="125">
        <v>36.279844905731998</v>
      </c>
      <c r="H285" s="125">
        <v>0</v>
      </c>
      <c r="I285" s="125">
        <v>36.279844905731998</v>
      </c>
      <c r="J285" s="125">
        <v>-64.140049281519367</v>
      </c>
      <c r="K285" s="125">
        <v>-1.7330559917152613</v>
      </c>
      <c r="L285" s="125">
        <v>-65.873105273234628</v>
      </c>
      <c r="M285" s="125">
        <v>35.191449558560038</v>
      </c>
      <c r="N285" s="148">
        <v>0</v>
      </c>
      <c r="O285" s="122" t="str">
        <f>VLOOKUP(B285,Data!B:K,10,FALSE)</f>
        <v>Greater Birmingham &amp; Solihull Business Rates Pool</v>
      </c>
    </row>
    <row r="286" spans="1:15" x14ac:dyDescent="0.25">
      <c r="A286" s="140" t="s">
        <v>1151</v>
      </c>
      <c r="B286" s="140" t="s">
        <v>432</v>
      </c>
      <c r="C286" s="140" t="s">
        <v>1293</v>
      </c>
      <c r="D286" s="140">
        <v>0</v>
      </c>
      <c r="E286" s="145" t="s">
        <v>810</v>
      </c>
      <c r="F286" s="146">
        <v>0.09</v>
      </c>
      <c r="G286" s="125">
        <v>81.783664276857095</v>
      </c>
      <c r="H286" s="125">
        <v>16.082058920478673</v>
      </c>
      <c r="I286" s="125">
        <v>65.701605356378423</v>
      </c>
      <c r="J286" s="125">
        <v>51.088368744589978</v>
      </c>
      <c r="K286" s="125">
        <v>0.33800088666106376</v>
      </c>
      <c r="L286" s="125">
        <v>51.426369631251042</v>
      </c>
      <c r="M286" s="125">
        <v>60.773984954650047</v>
      </c>
      <c r="N286" s="148">
        <v>0</v>
      </c>
      <c r="O286" s="122" t="str">
        <f>VLOOKUP(B286,Data!B:K,10,FALSE)</f>
        <v>Somerset Business Rates Pool</v>
      </c>
    </row>
    <row r="287" spans="1:15" x14ac:dyDescent="0.25">
      <c r="A287" s="140" t="s">
        <v>1152</v>
      </c>
      <c r="B287" s="140" t="s">
        <v>576</v>
      </c>
      <c r="C287" s="140" t="s">
        <v>1278</v>
      </c>
      <c r="D287" s="140">
        <v>0</v>
      </c>
      <c r="E287" s="145" t="s">
        <v>575</v>
      </c>
      <c r="F287" s="146">
        <v>0.4</v>
      </c>
      <c r="G287" s="125">
        <v>1.0635849763848153</v>
      </c>
      <c r="H287" s="125">
        <v>0</v>
      </c>
      <c r="I287" s="125">
        <v>1.0635849763848153</v>
      </c>
      <c r="J287" s="125">
        <v>-11.079617384363711</v>
      </c>
      <c r="K287" s="125">
        <v>-7.6886223220446581E-2</v>
      </c>
      <c r="L287" s="125">
        <v>-11.156503607584158</v>
      </c>
      <c r="M287" s="125">
        <v>0.98381610315595425</v>
      </c>
      <c r="N287" s="148">
        <v>0.5</v>
      </c>
      <c r="O287" s="122" t="str">
        <f>VLOOKUP(B287,Data!B:K,10,FALSE)</f>
        <v>Buckinghamshire Business Rates Pool</v>
      </c>
    </row>
    <row r="288" spans="1:15" x14ac:dyDescent="0.25">
      <c r="A288" s="140" t="s">
        <v>1153</v>
      </c>
      <c r="B288" s="140" t="s">
        <v>578</v>
      </c>
      <c r="C288" s="140" t="s">
        <v>1278</v>
      </c>
      <c r="D288" s="140">
        <v>0</v>
      </c>
      <c r="E288" s="145" t="s">
        <v>577</v>
      </c>
      <c r="F288" s="146">
        <v>0.4</v>
      </c>
      <c r="G288" s="125">
        <v>2.5463651378764598</v>
      </c>
      <c r="H288" s="125">
        <v>0</v>
      </c>
      <c r="I288" s="125">
        <v>2.5463651378764598</v>
      </c>
      <c r="J288" s="125">
        <v>-25.473786785561025</v>
      </c>
      <c r="K288" s="125">
        <v>9.2025178035761712E-3</v>
      </c>
      <c r="L288" s="125">
        <v>-25.464584267757449</v>
      </c>
      <c r="M288" s="125">
        <v>2.3553877525357256</v>
      </c>
      <c r="N288" s="148">
        <v>0.5</v>
      </c>
      <c r="O288" s="122">
        <f>VLOOKUP(B288,Data!B:K,10,FALSE)</f>
        <v>0</v>
      </c>
    </row>
    <row r="289" spans="1:15" x14ac:dyDescent="0.25">
      <c r="A289" s="140" t="s">
        <v>1154</v>
      </c>
      <c r="B289" s="140" t="s">
        <v>580</v>
      </c>
      <c r="C289" s="140" t="s">
        <v>1278</v>
      </c>
      <c r="D289" s="140" t="s">
        <v>1279</v>
      </c>
      <c r="E289" s="145" t="s">
        <v>579</v>
      </c>
      <c r="F289" s="146">
        <v>0.5</v>
      </c>
      <c r="G289" s="125">
        <v>2.766073871067789</v>
      </c>
      <c r="H289" s="125">
        <v>0</v>
      </c>
      <c r="I289" s="125">
        <v>2.766073871067789</v>
      </c>
      <c r="J289" s="125">
        <v>-8.2419400431393939</v>
      </c>
      <c r="K289" s="125">
        <v>1.0184289533974322E-3</v>
      </c>
      <c r="L289" s="125">
        <v>-8.2409216141859964</v>
      </c>
      <c r="M289" s="125">
        <v>2.6830916549357551</v>
      </c>
      <c r="N289" s="148">
        <v>0</v>
      </c>
      <c r="O289" s="122" t="str">
        <f>VLOOKUP(B289,Data!B:K,10,FALSE)</f>
        <v>Derbyshire Business Rates Pool</v>
      </c>
    </row>
    <row r="290" spans="1:15" x14ac:dyDescent="0.25">
      <c r="A290" s="140" t="s">
        <v>1155</v>
      </c>
      <c r="B290" s="140" t="s">
        <v>582</v>
      </c>
      <c r="C290" s="140" t="s">
        <v>1286</v>
      </c>
      <c r="D290" s="140" t="s">
        <v>1287</v>
      </c>
      <c r="E290" s="145" t="s">
        <v>581</v>
      </c>
      <c r="F290" s="146">
        <v>0.94</v>
      </c>
      <c r="G290" s="125">
        <v>46.130581899998546</v>
      </c>
      <c r="H290" s="125">
        <v>0</v>
      </c>
      <c r="I290" s="125">
        <v>46.130581899998546</v>
      </c>
      <c r="J290" s="125">
        <v>-73.556244219495866</v>
      </c>
      <c r="K290" s="125">
        <v>-0.62851578757107518</v>
      </c>
      <c r="L290" s="125">
        <v>-74.184760007066942</v>
      </c>
      <c r="M290" s="125">
        <v>44.746664442998586</v>
      </c>
      <c r="N290" s="148">
        <v>0</v>
      </c>
      <c r="O290" s="122">
        <f>VLOOKUP(B290,Data!B:K,10,FALSE)</f>
        <v>0</v>
      </c>
    </row>
    <row r="291" spans="1:15" x14ac:dyDescent="0.25">
      <c r="A291" s="140" t="s">
        <v>1156</v>
      </c>
      <c r="B291" s="140" t="s">
        <v>584</v>
      </c>
      <c r="C291" s="140" t="s">
        <v>1278</v>
      </c>
      <c r="D291" s="140" t="s">
        <v>1299</v>
      </c>
      <c r="E291" s="145" t="s">
        <v>583</v>
      </c>
      <c r="F291" s="146">
        <v>0.4</v>
      </c>
      <c r="G291" s="125">
        <v>2.2629865152872597</v>
      </c>
      <c r="H291" s="125">
        <v>0</v>
      </c>
      <c r="I291" s="125">
        <v>2.2629865152872597</v>
      </c>
      <c r="J291" s="125">
        <v>-10.619155407903005</v>
      </c>
      <c r="K291" s="125">
        <v>0.65733330346033547</v>
      </c>
      <c r="L291" s="125">
        <v>-9.9618221044426694</v>
      </c>
      <c r="M291" s="125">
        <v>2.1950969198286416</v>
      </c>
      <c r="N291" s="148">
        <v>0</v>
      </c>
      <c r="O291" s="122">
        <f>VLOOKUP(B291,Data!B:K,10,FALSE)</f>
        <v>0</v>
      </c>
    </row>
    <row r="292" spans="1:15" x14ac:dyDescent="0.25">
      <c r="A292" s="140" t="s">
        <v>1157</v>
      </c>
      <c r="B292" s="140" t="s">
        <v>586</v>
      </c>
      <c r="C292" s="140" t="s">
        <v>1278</v>
      </c>
      <c r="D292" s="140" t="s">
        <v>1290</v>
      </c>
      <c r="E292" s="145" t="s">
        <v>585</v>
      </c>
      <c r="F292" s="146">
        <v>0.60000000000000009</v>
      </c>
      <c r="G292" s="125">
        <v>4.0708280809872255</v>
      </c>
      <c r="H292" s="125">
        <v>0</v>
      </c>
      <c r="I292" s="125">
        <v>4.0708280809872255</v>
      </c>
      <c r="J292" s="125">
        <v>-9.259502188640651</v>
      </c>
      <c r="K292" s="125">
        <v>-0.33056707217856385</v>
      </c>
      <c r="L292" s="125">
        <v>-9.5900692608192148</v>
      </c>
      <c r="M292" s="125">
        <v>3.9487032385576084</v>
      </c>
      <c r="N292" s="148">
        <v>0</v>
      </c>
      <c r="O292" s="122">
        <f>VLOOKUP(B292,Data!B:K,10,FALSE)</f>
        <v>0</v>
      </c>
    </row>
    <row r="293" spans="1:15" x14ac:dyDescent="0.25">
      <c r="A293" s="140" t="s">
        <v>1158</v>
      </c>
      <c r="B293" s="140" t="s">
        <v>588</v>
      </c>
      <c r="C293" s="140" t="s">
        <v>1278</v>
      </c>
      <c r="D293" s="140" t="s">
        <v>1290</v>
      </c>
      <c r="E293" s="145" t="s">
        <v>587</v>
      </c>
      <c r="F293" s="146">
        <v>0.60000000000000009</v>
      </c>
      <c r="G293" s="125">
        <v>4.316624540526405</v>
      </c>
      <c r="H293" s="125">
        <v>0</v>
      </c>
      <c r="I293" s="125">
        <v>4.316624540526405</v>
      </c>
      <c r="J293" s="125">
        <v>-20.059445654035251</v>
      </c>
      <c r="K293" s="125">
        <v>8.198780096185132E-2</v>
      </c>
      <c r="L293" s="125">
        <v>-19.9774578530734</v>
      </c>
      <c r="M293" s="125">
        <v>4.1871258043106128</v>
      </c>
      <c r="N293" s="148">
        <v>0</v>
      </c>
      <c r="O293" s="122" t="str">
        <f>VLOOKUP(B293,Data!B:K,10,FALSE)</f>
        <v>Lincolnshire Business Rates Pool</v>
      </c>
    </row>
    <row r="294" spans="1:15" x14ac:dyDescent="0.25">
      <c r="A294" s="140" t="s">
        <v>1159</v>
      </c>
      <c r="B294" s="140" t="s">
        <v>590</v>
      </c>
      <c r="C294" s="140" t="s">
        <v>1278</v>
      </c>
      <c r="D294" s="140">
        <v>0</v>
      </c>
      <c r="E294" s="145" t="s">
        <v>589</v>
      </c>
      <c r="F294" s="146">
        <v>0.4</v>
      </c>
      <c r="G294" s="125">
        <v>2.1635060361259448</v>
      </c>
      <c r="H294" s="125">
        <v>0</v>
      </c>
      <c r="I294" s="125">
        <v>2.1635060361259448</v>
      </c>
      <c r="J294" s="125">
        <v>-14.773826662595505</v>
      </c>
      <c r="K294" s="125">
        <v>-0.13514111760412462</v>
      </c>
      <c r="L294" s="125">
        <v>-14.90896778019963</v>
      </c>
      <c r="M294" s="125">
        <v>2.0012430834164991</v>
      </c>
      <c r="N294" s="148">
        <v>0.5</v>
      </c>
      <c r="O294" s="122" t="str">
        <f>VLOOKUP(B294,Data!B:K,10,FALSE)</f>
        <v>Cumbria Business Rates Pool</v>
      </c>
    </row>
    <row r="295" spans="1:15" x14ac:dyDescent="0.25">
      <c r="A295" s="140" t="s">
        <v>1160</v>
      </c>
      <c r="B295" s="140" t="s">
        <v>592</v>
      </c>
      <c r="C295" s="140" t="s">
        <v>1278</v>
      </c>
      <c r="D295" s="140">
        <v>0</v>
      </c>
      <c r="E295" s="145" t="s">
        <v>591</v>
      </c>
      <c r="F295" s="146">
        <v>0.4</v>
      </c>
      <c r="G295" s="125">
        <v>3.419372015051553</v>
      </c>
      <c r="H295" s="125">
        <v>0.41678138780049423</v>
      </c>
      <c r="I295" s="125">
        <v>3.0025906272510587</v>
      </c>
      <c r="J295" s="125">
        <v>-7.8431954677198457</v>
      </c>
      <c r="K295" s="125">
        <v>5.0473817552109779E-2</v>
      </c>
      <c r="L295" s="125">
        <v>-7.7927216501677359</v>
      </c>
      <c r="M295" s="125">
        <v>2.7773963302072295</v>
      </c>
      <c r="N295" s="148">
        <v>0.5</v>
      </c>
      <c r="O295" s="122" t="str">
        <f>VLOOKUP(B295,Data!B:K,10,FALSE)</f>
        <v>Norfolk Business Rates Pool</v>
      </c>
    </row>
    <row r="296" spans="1:15" x14ac:dyDescent="0.25">
      <c r="A296" s="140" t="s">
        <v>1161</v>
      </c>
      <c r="B296" s="140" t="s">
        <v>594</v>
      </c>
      <c r="C296" s="140" t="s">
        <v>1278</v>
      </c>
      <c r="D296" s="140">
        <v>0</v>
      </c>
      <c r="E296" s="145" t="s">
        <v>593</v>
      </c>
      <c r="F296" s="146">
        <v>0.4</v>
      </c>
      <c r="G296" s="125">
        <v>1.8140082017778134</v>
      </c>
      <c r="H296" s="125">
        <v>0</v>
      </c>
      <c r="I296" s="125">
        <v>1.8140082017778134</v>
      </c>
      <c r="J296" s="125">
        <v>-6.3480522065057245</v>
      </c>
      <c r="K296" s="125">
        <v>-6.3406936993883889E-2</v>
      </c>
      <c r="L296" s="125">
        <v>-6.4114591434996084</v>
      </c>
      <c r="M296" s="125">
        <v>1.6779575866444776</v>
      </c>
      <c r="N296" s="148">
        <v>0.5</v>
      </c>
      <c r="O296" s="122" t="str">
        <f>VLOOKUP(B296,Data!B:K,10,FALSE)</f>
        <v>Northamptonshire Business Rates Pool</v>
      </c>
    </row>
    <row r="297" spans="1:15" x14ac:dyDescent="0.25">
      <c r="A297" s="140" t="s">
        <v>1162</v>
      </c>
      <c r="B297" s="140" t="s">
        <v>596</v>
      </c>
      <c r="C297" s="140" t="s">
        <v>1278</v>
      </c>
      <c r="D297" s="140">
        <v>0</v>
      </c>
      <c r="E297" s="145" t="s">
        <v>595</v>
      </c>
      <c r="F297" s="146">
        <v>0.4</v>
      </c>
      <c r="G297" s="125">
        <v>2.6976871788569308</v>
      </c>
      <c r="H297" s="125">
        <v>0.19197973766631632</v>
      </c>
      <c r="I297" s="125">
        <v>2.5057074411906144</v>
      </c>
      <c r="J297" s="125">
        <v>-15.766114959041948</v>
      </c>
      <c r="K297" s="125">
        <v>-3.3812713598788235E-2</v>
      </c>
      <c r="L297" s="125">
        <v>-15.799927672640736</v>
      </c>
      <c r="M297" s="125">
        <v>2.3177793831013185</v>
      </c>
      <c r="N297" s="148">
        <v>0.5</v>
      </c>
      <c r="O297" s="122">
        <f>VLOOKUP(B297,Data!B:K,10,FALSE)</f>
        <v>0</v>
      </c>
    </row>
    <row r="298" spans="1:15" x14ac:dyDescent="0.25">
      <c r="A298" s="140" t="s">
        <v>1163</v>
      </c>
      <c r="B298" s="140" t="s">
        <v>598</v>
      </c>
      <c r="C298" s="140" t="s">
        <v>1278</v>
      </c>
      <c r="D298" s="140">
        <v>0</v>
      </c>
      <c r="E298" s="145" t="s">
        <v>597</v>
      </c>
      <c r="F298" s="146">
        <v>0.4</v>
      </c>
      <c r="G298" s="125">
        <v>2.2571044276313406</v>
      </c>
      <c r="H298" s="125">
        <v>0</v>
      </c>
      <c r="I298" s="125">
        <v>2.2571044276313406</v>
      </c>
      <c r="J298" s="125">
        <v>-9.93398281881705</v>
      </c>
      <c r="K298" s="125">
        <v>0.10531456869984979</v>
      </c>
      <c r="L298" s="125">
        <v>-9.8286682501172002</v>
      </c>
      <c r="M298" s="125">
        <v>2.0878215955589901</v>
      </c>
      <c r="N298" s="148">
        <v>0.5</v>
      </c>
      <c r="O298" s="122" t="str">
        <f>VLOOKUP(B298,Data!B:K,10,FALSE)</f>
        <v>Lancashire Business Rates Pool</v>
      </c>
    </row>
    <row r="299" spans="1:15" x14ac:dyDescent="0.25">
      <c r="A299" s="140" t="s">
        <v>1164</v>
      </c>
      <c r="B299" s="140" t="s">
        <v>600</v>
      </c>
      <c r="C299" s="140" t="s">
        <v>1278</v>
      </c>
      <c r="D299" s="140">
        <v>0</v>
      </c>
      <c r="E299" s="145" t="s">
        <v>599</v>
      </c>
      <c r="F299" s="146">
        <v>0.4</v>
      </c>
      <c r="G299" s="125">
        <v>3.7964964474523075</v>
      </c>
      <c r="H299" s="125">
        <v>0.26890446516278571</v>
      </c>
      <c r="I299" s="125">
        <v>3.5275919822895219</v>
      </c>
      <c r="J299" s="125">
        <v>-13.336056768342575</v>
      </c>
      <c r="K299" s="125">
        <v>0.1917062041857438</v>
      </c>
      <c r="L299" s="125">
        <v>-13.144350564156831</v>
      </c>
      <c r="M299" s="125">
        <v>3.2630225836178077</v>
      </c>
      <c r="N299" s="148">
        <v>0.5</v>
      </c>
      <c r="O299" s="122">
        <f>VLOOKUP(B299,Data!B:K,10,FALSE)</f>
        <v>0</v>
      </c>
    </row>
    <row r="300" spans="1:15" x14ac:dyDescent="0.25">
      <c r="A300" s="140" t="s">
        <v>1165</v>
      </c>
      <c r="B300" s="140" t="s">
        <v>602</v>
      </c>
      <c r="C300" s="140" t="s">
        <v>1278</v>
      </c>
      <c r="D300" s="140">
        <v>0</v>
      </c>
      <c r="E300" s="145" t="s">
        <v>601</v>
      </c>
      <c r="F300" s="146">
        <v>0.4</v>
      </c>
      <c r="G300" s="125">
        <v>2.668143816781265</v>
      </c>
      <c r="H300" s="125">
        <v>0.40970024062610416</v>
      </c>
      <c r="I300" s="125">
        <v>2.2584435761551607</v>
      </c>
      <c r="J300" s="125">
        <v>-5.6722610989579323</v>
      </c>
      <c r="K300" s="125">
        <v>-4.7082179897834919E-2</v>
      </c>
      <c r="L300" s="125">
        <v>-5.7193432788557672</v>
      </c>
      <c r="M300" s="125">
        <v>2.0890603079435239</v>
      </c>
      <c r="N300" s="148">
        <v>0.5</v>
      </c>
      <c r="O300" s="122" t="str">
        <f>VLOOKUP(B300,Data!B:K,10,FALSE)</f>
        <v>Staffordshire &amp; Stoke on Trent Business Rates Pool</v>
      </c>
    </row>
    <row r="301" spans="1:15" x14ac:dyDescent="0.25">
      <c r="A301" s="140" t="s">
        <v>1166</v>
      </c>
      <c r="B301" s="140" t="s">
        <v>604</v>
      </c>
      <c r="C301" s="140" t="s">
        <v>1285</v>
      </c>
      <c r="D301" s="140">
        <v>0</v>
      </c>
      <c r="E301" s="145" t="s">
        <v>603</v>
      </c>
      <c r="F301" s="146">
        <v>0.49</v>
      </c>
      <c r="G301" s="125">
        <v>67.273106626512657</v>
      </c>
      <c r="H301" s="125">
        <v>19.69575917822711</v>
      </c>
      <c r="I301" s="125">
        <v>47.577347448285551</v>
      </c>
      <c r="J301" s="125">
        <v>33.606771772245153</v>
      </c>
      <c r="K301" s="125">
        <v>2.77590635525371E-3</v>
      </c>
      <c r="L301" s="125">
        <v>33.609547678600407</v>
      </c>
      <c r="M301" s="125">
        <v>44.009046389664135</v>
      </c>
      <c r="N301" s="148">
        <v>0</v>
      </c>
      <c r="O301" s="122">
        <f>VLOOKUP(B301,Data!B:K,10,FALSE)</f>
        <v>0</v>
      </c>
    </row>
    <row r="302" spans="1:15" x14ac:dyDescent="0.25">
      <c r="A302" s="140" t="s">
        <v>1167</v>
      </c>
      <c r="B302" s="140" t="s">
        <v>74</v>
      </c>
      <c r="C302" s="140" t="s">
        <v>1301</v>
      </c>
      <c r="D302" s="140">
        <v>0</v>
      </c>
      <c r="E302" s="145" t="s">
        <v>784</v>
      </c>
      <c r="F302" s="146">
        <v>0.01</v>
      </c>
      <c r="G302" s="125">
        <v>24.192314733632095</v>
      </c>
      <c r="H302" s="125">
        <v>9.1147078950406133</v>
      </c>
      <c r="I302" s="125">
        <v>15.077606838591484</v>
      </c>
      <c r="J302" s="125">
        <v>11.111088391069265</v>
      </c>
      <c r="K302" s="125">
        <v>1.1233401926741493E-2</v>
      </c>
      <c r="L302" s="125">
        <v>11.122321792996006</v>
      </c>
      <c r="M302" s="125">
        <v>13.946786325697124</v>
      </c>
      <c r="N302" s="148">
        <v>0</v>
      </c>
      <c r="O302" s="122">
        <f>VLOOKUP(B302,Data!B:K,10,FALSE)</f>
        <v>0</v>
      </c>
    </row>
    <row r="303" spans="1:15" x14ac:dyDescent="0.25">
      <c r="A303" s="140" t="s">
        <v>1168</v>
      </c>
      <c r="B303" s="140" t="s">
        <v>606</v>
      </c>
      <c r="C303" s="140" t="s">
        <v>1286</v>
      </c>
      <c r="D303" s="140" t="s">
        <v>1303</v>
      </c>
      <c r="E303" s="145" t="s">
        <v>605</v>
      </c>
      <c r="F303" s="146">
        <v>0.99</v>
      </c>
      <c r="G303" s="125">
        <v>70.304606670791088</v>
      </c>
      <c r="H303" s="125">
        <v>0</v>
      </c>
      <c r="I303" s="125">
        <v>70.304606670791088</v>
      </c>
      <c r="J303" s="125">
        <v>-28.280588542879492</v>
      </c>
      <c r="K303" s="125">
        <v>0.53898301802364301</v>
      </c>
      <c r="L303" s="125">
        <v>-27.741605524855849</v>
      </c>
      <c r="M303" s="125">
        <v>68.19546847066735</v>
      </c>
      <c r="N303" s="148">
        <v>0</v>
      </c>
      <c r="O303" s="122">
        <f>VLOOKUP(B303,Data!B:K,10,FALSE)</f>
        <v>0</v>
      </c>
    </row>
    <row r="304" spans="1:15" x14ac:dyDescent="0.25">
      <c r="A304" s="140" t="s">
        <v>1169</v>
      </c>
      <c r="B304" s="140" t="s">
        <v>608</v>
      </c>
      <c r="C304" s="140" t="s">
        <v>1286</v>
      </c>
      <c r="D304" s="140">
        <v>0</v>
      </c>
      <c r="E304" s="145" t="s">
        <v>607</v>
      </c>
      <c r="F304" s="146">
        <v>0.49</v>
      </c>
      <c r="G304" s="125">
        <v>44.268671285056264</v>
      </c>
      <c r="H304" s="125">
        <v>10.318019470295953</v>
      </c>
      <c r="I304" s="125">
        <v>33.950651814760313</v>
      </c>
      <c r="J304" s="125">
        <v>12.060931823012471</v>
      </c>
      <c r="K304" s="125">
        <v>2.4549637858120477E-2</v>
      </c>
      <c r="L304" s="125">
        <v>12.085481460870591</v>
      </c>
      <c r="M304" s="125">
        <v>31.404352928653292</v>
      </c>
      <c r="N304" s="148">
        <v>0</v>
      </c>
      <c r="O304" s="122">
        <f>VLOOKUP(B304,Data!B:K,10,FALSE)</f>
        <v>0</v>
      </c>
    </row>
    <row r="305" spans="1:15" x14ac:dyDescent="0.25">
      <c r="A305" s="140" t="s">
        <v>1170</v>
      </c>
      <c r="B305" s="140" t="s">
        <v>610</v>
      </c>
      <c r="C305" s="140" t="s">
        <v>1294</v>
      </c>
      <c r="D305" s="140" t="s">
        <v>1284</v>
      </c>
      <c r="E305" s="145" t="s">
        <v>609</v>
      </c>
      <c r="F305" s="146">
        <v>0.64</v>
      </c>
      <c r="G305" s="125">
        <v>158.44037142327934</v>
      </c>
      <c r="H305" s="125">
        <v>0</v>
      </c>
      <c r="I305" s="125">
        <v>158.44037142327934</v>
      </c>
      <c r="J305" s="125">
        <v>-5.7595715559316876</v>
      </c>
      <c r="K305" s="125">
        <v>-0.41711713265860428</v>
      </c>
      <c r="L305" s="125">
        <v>-6.1766886885902919</v>
      </c>
      <c r="M305" s="125">
        <v>153.68716028058097</v>
      </c>
      <c r="N305" s="148">
        <v>0</v>
      </c>
      <c r="O305" s="122">
        <f>VLOOKUP(B305,Data!B:K,10,FALSE)</f>
        <v>0</v>
      </c>
    </row>
    <row r="306" spans="1:15" x14ac:dyDescent="0.25">
      <c r="A306" s="140" t="s">
        <v>1171</v>
      </c>
      <c r="B306" s="140" t="s">
        <v>612</v>
      </c>
      <c r="C306" s="140" t="s">
        <v>1278</v>
      </c>
      <c r="D306" s="140" t="s">
        <v>1300</v>
      </c>
      <c r="E306" s="145" t="s">
        <v>611</v>
      </c>
      <c r="F306" s="146">
        <v>0.30000000000000004</v>
      </c>
      <c r="G306" s="125">
        <v>1.8554255340926169</v>
      </c>
      <c r="H306" s="125">
        <v>0</v>
      </c>
      <c r="I306" s="125">
        <v>1.8554255340926169</v>
      </c>
      <c r="J306" s="125">
        <v>-11.113016449897621</v>
      </c>
      <c r="K306" s="125">
        <v>1.5510997896432954E-2</v>
      </c>
      <c r="L306" s="125">
        <v>-11.097505452001188</v>
      </c>
      <c r="M306" s="125">
        <v>1.7997627680698383</v>
      </c>
      <c r="N306" s="148">
        <v>0</v>
      </c>
      <c r="O306" s="122" t="str">
        <f>VLOOKUP(B306,Data!B:K,10,FALSE)</f>
        <v>Surrey-Croydon Business Rates Pool</v>
      </c>
    </row>
    <row r="307" spans="1:15" x14ac:dyDescent="0.25">
      <c r="A307" s="140" t="s">
        <v>1172</v>
      </c>
      <c r="B307" s="140" t="s">
        <v>614</v>
      </c>
      <c r="C307" s="140" t="s">
        <v>1278</v>
      </c>
      <c r="D307" s="140">
        <v>0</v>
      </c>
      <c r="E307" s="145" t="s">
        <v>613</v>
      </c>
      <c r="F307" s="146">
        <v>0.4</v>
      </c>
      <c r="G307" s="125">
        <v>2.4289129459679901</v>
      </c>
      <c r="H307" s="125">
        <v>0</v>
      </c>
      <c r="I307" s="125">
        <v>2.4289129459679901</v>
      </c>
      <c r="J307" s="125">
        <v>-22.453687626836235</v>
      </c>
      <c r="K307" s="125">
        <v>-0.20337862426773512</v>
      </c>
      <c r="L307" s="125">
        <v>-22.65706625110397</v>
      </c>
      <c r="M307" s="125">
        <v>2.2467444750203911</v>
      </c>
      <c r="N307" s="148">
        <v>0.5</v>
      </c>
      <c r="O307" s="122">
        <f>VLOOKUP(B307,Data!B:K,10,FALSE)</f>
        <v>0</v>
      </c>
    </row>
    <row r="308" spans="1:15" x14ac:dyDescent="0.25">
      <c r="A308" s="140" t="s">
        <v>1173</v>
      </c>
      <c r="B308" s="140" t="s">
        <v>616</v>
      </c>
      <c r="C308" s="140" t="s">
        <v>1278</v>
      </c>
      <c r="D308" s="140" t="s">
        <v>1282</v>
      </c>
      <c r="E308" s="145" t="s">
        <v>615</v>
      </c>
      <c r="F308" s="146">
        <v>0.8</v>
      </c>
      <c r="G308" s="125">
        <v>2.7184623873279881</v>
      </c>
      <c r="H308" s="125">
        <v>0</v>
      </c>
      <c r="I308" s="125">
        <v>2.7184623873279881</v>
      </c>
      <c r="J308" s="125">
        <v>-32.310416725903956</v>
      </c>
      <c r="K308" s="125">
        <v>-1.1970418936464E-2</v>
      </c>
      <c r="L308" s="125">
        <v>-32.32238714484042</v>
      </c>
      <c r="M308" s="125">
        <v>2.6369085157081482</v>
      </c>
      <c r="N308" s="148">
        <v>0</v>
      </c>
      <c r="O308" s="122" t="str">
        <f>VLOOKUP(B308,Data!B:K,10,FALSE)</f>
        <v>Suffolk Business Rates Pool</v>
      </c>
    </row>
    <row r="309" spans="1:15" x14ac:dyDescent="0.25">
      <c r="A309" s="140" t="s">
        <v>1174</v>
      </c>
      <c r="B309" s="140" t="s">
        <v>618</v>
      </c>
      <c r="C309" s="140" t="s">
        <v>1285</v>
      </c>
      <c r="D309" s="140" t="s">
        <v>1302</v>
      </c>
      <c r="E309" s="145" t="s">
        <v>617</v>
      </c>
      <c r="F309" s="146">
        <v>0.99</v>
      </c>
      <c r="G309" s="125">
        <v>67.44839129276464</v>
      </c>
      <c r="H309" s="125">
        <v>0</v>
      </c>
      <c r="I309" s="125">
        <v>67.44839129276464</v>
      </c>
      <c r="J309" s="125">
        <v>22.389270564669104</v>
      </c>
      <c r="K309" s="125">
        <v>0.33443825299059426</v>
      </c>
      <c r="L309" s="125">
        <v>22.723708817659698</v>
      </c>
      <c r="M309" s="125">
        <v>65.424939553981702</v>
      </c>
      <c r="N309" s="148">
        <v>0</v>
      </c>
      <c r="O309" s="122" t="str">
        <f>VLOOKUP(B309,Data!B:K,10,FALSE)</f>
        <v>Mid Merseyside Business Rates Pool</v>
      </c>
    </row>
    <row r="310" spans="1:15" x14ac:dyDescent="0.25">
      <c r="A310" s="140" t="s">
        <v>1175</v>
      </c>
      <c r="B310" s="140" t="s">
        <v>620</v>
      </c>
      <c r="C310" s="140" t="s">
        <v>1278</v>
      </c>
      <c r="D310" s="140">
        <v>0</v>
      </c>
      <c r="E310" s="145" t="s">
        <v>619</v>
      </c>
      <c r="F310" s="146">
        <v>0.4</v>
      </c>
      <c r="G310" s="125">
        <v>2.9252046386298396</v>
      </c>
      <c r="H310" s="125">
        <v>0.20832491547509935</v>
      </c>
      <c r="I310" s="125">
        <v>2.7168797231547401</v>
      </c>
      <c r="J310" s="125">
        <v>-14.173976166076409</v>
      </c>
      <c r="K310" s="125">
        <v>-0.28823141685633757</v>
      </c>
      <c r="L310" s="125">
        <v>-14.462207582932747</v>
      </c>
      <c r="M310" s="125">
        <v>2.5131137439181348</v>
      </c>
      <c r="N310" s="148">
        <v>0.5</v>
      </c>
      <c r="O310" s="122" t="str">
        <f>VLOOKUP(B310,Data!B:K,10,FALSE)</f>
        <v>Staffordshire &amp; Stoke on Trent Business Rates Pool</v>
      </c>
    </row>
    <row r="311" spans="1:15" x14ac:dyDescent="0.25">
      <c r="A311" s="140" t="s">
        <v>1176</v>
      </c>
      <c r="B311" s="140" t="s">
        <v>171</v>
      </c>
      <c r="C311" s="140" t="s">
        <v>1293</v>
      </c>
      <c r="D311" s="140">
        <v>0</v>
      </c>
      <c r="E311" s="145" t="s">
        <v>811</v>
      </c>
      <c r="F311" s="146">
        <v>0.09</v>
      </c>
      <c r="G311" s="125">
        <v>122.85400642627101</v>
      </c>
      <c r="H311" s="125">
        <v>25.51498045791638</v>
      </c>
      <c r="I311" s="125">
        <v>97.339025968354633</v>
      </c>
      <c r="J311" s="125">
        <v>73.943957692192072</v>
      </c>
      <c r="K311" s="125">
        <v>0.10743649348235351</v>
      </c>
      <c r="L311" s="125">
        <v>74.051394185674425</v>
      </c>
      <c r="M311" s="125">
        <v>90.038599020728043</v>
      </c>
      <c r="N311" s="148">
        <v>0</v>
      </c>
      <c r="O311" s="122" t="str">
        <f>VLOOKUP(B311,Data!B:K,10,FALSE)</f>
        <v>Staffordshire &amp; Stoke on Trent Business Rates Pool</v>
      </c>
    </row>
    <row r="312" spans="1:15" x14ac:dyDescent="0.25">
      <c r="A312" s="140" t="s">
        <v>1177</v>
      </c>
      <c r="B312" s="140" t="s">
        <v>172</v>
      </c>
      <c r="C312" s="140" t="s">
        <v>1281</v>
      </c>
      <c r="D312" s="140">
        <v>0</v>
      </c>
      <c r="E312" s="145" t="s">
        <v>1178</v>
      </c>
      <c r="F312" s="146">
        <v>0.01</v>
      </c>
      <c r="G312" s="125">
        <v>14.507905441038552</v>
      </c>
      <c r="H312" s="125">
        <v>5.2553736047432427</v>
      </c>
      <c r="I312" s="125">
        <v>9.2525318362953097</v>
      </c>
      <c r="J312" s="125">
        <v>5.8283708172068902</v>
      </c>
      <c r="K312" s="125">
        <v>1.7581714727140429E-2</v>
      </c>
      <c r="L312" s="125">
        <v>5.8459525319340306</v>
      </c>
      <c r="M312" s="125">
        <v>8.5585919485731612</v>
      </c>
      <c r="N312" s="148">
        <v>0</v>
      </c>
      <c r="O312" s="122" t="str">
        <f>VLOOKUP(B312,Data!B:K,10,FALSE)</f>
        <v>Staffordshire &amp; Stoke on Trent Business Rates Pool</v>
      </c>
    </row>
    <row r="313" spans="1:15" x14ac:dyDescent="0.25">
      <c r="A313" s="140" t="s">
        <v>1179</v>
      </c>
      <c r="B313" s="140" t="s">
        <v>622</v>
      </c>
      <c r="C313" s="140" t="s">
        <v>1278</v>
      </c>
      <c r="D313" s="140">
        <v>0</v>
      </c>
      <c r="E313" s="145" t="s">
        <v>621</v>
      </c>
      <c r="F313" s="146">
        <v>0.4</v>
      </c>
      <c r="G313" s="125">
        <v>2.8695762889390202</v>
      </c>
      <c r="H313" s="125">
        <v>0.34700199469226695</v>
      </c>
      <c r="I313" s="125">
        <v>2.5225742942467533</v>
      </c>
      <c r="J313" s="125">
        <v>-5.1994783752540439</v>
      </c>
      <c r="K313" s="125">
        <v>0.11450309740454401</v>
      </c>
      <c r="L313" s="125">
        <v>-5.0849752778494999</v>
      </c>
      <c r="M313" s="125">
        <v>2.3333812221782471</v>
      </c>
      <c r="N313" s="148">
        <v>0.5</v>
      </c>
      <c r="O313" s="122" t="str">
        <f>VLOOKUP(B313,Data!B:K,10,FALSE)</f>
        <v>Staffordshire &amp; Stoke on Trent Business Rates Pool</v>
      </c>
    </row>
    <row r="314" spans="1:15" x14ac:dyDescent="0.25">
      <c r="A314" s="140" t="s">
        <v>1180</v>
      </c>
      <c r="B314" s="140" t="s">
        <v>624</v>
      </c>
      <c r="C314" s="140" t="s">
        <v>1278</v>
      </c>
      <c r="D314" s="140">
        <v>0</v>
      </c>
      <c r="E314" s="145" t="s">
        <v>623</v>
      </c>
      <c r="F314" s="146">
        <v>0.4</v>
      </c>
      <c r="G314" s="125">
        <v>2.8257201094251125</v>
      </c>
      <c r="H314" s="125">
        <v>0.3512299176858496</v>
      </c>
      <c r="I314" s="125">
        <v>2.474490191739263</v>
      </c>
      <c r="J314" s="125">
        <v>-14.841856124579738</v>
      </c>
      <c r="K314" s="125">
        <v>-0.10222890146201813</v>
      </c>
      <c r="L314" s="125">
        <v>-14.944085026041757</v>
      </c>
      <c r="M314" s="125">
        <v>2.2889034273588185</v>
      </c>
      <c r="N314" s="148">
        <v>0.5</v>
      </c>
      <c r="O314" s="122">
        <f>VLOOKUP(B314,Data!B:K,10,FALSE)</f>
        <v>0</v>
      </c>
    </row>
    <row r="315" spans="1:15" x14ac:dyDescent="0.25">
      <c r="A315" s="140" t="s">
        <v>1181</v>
      </c>
      <c r="B315" s="140" t="s">
        <v>626</v>
      </c>
      <c r="C315" s="140" t="s">
        <v>1285</v>
      </c>
      <c r="D315" s="140" t="s">
        <v>1289</v>
      </c>
      <c r="E315" s="145" t="s">
        <v>625</v>
      </c>
      <c r="F315" s="146">
        <v>0.99</v>
      </c>
      <c r="G315" s="125">
        <v>71.997746796548839</v>
      </c>
      <c r="H315" s="125">
        <v>0</v>
      </c>
      <c r="I315" s="125">
        <v>71.997746796548839</v>
      </c>
      <c r="J315" s="125">
        <v>-8.8444143878145223</v>
      </c>
      <c r="K315" s="125">
        <v>1.0355899627804162</v>
      </c>
      <c r="L315" s="125">
        <v>-7.8088244250341061</v>
      </c>
      <c r="M315" s="125">
        <v>69.837814392652376</v>
      </c>
      <c r="N315" s="148">
        <v>0</v>
      </c>
      <c r="O315" s="122" t="str">
        <f>VLOOKUP(B315,Data!B:K,10,FALSE)</f>
        <v>Greater Manchester &amp; Cheshire Business Rates Pool</v>
      </c>
    </row>
    <row r="316" spans="1:15" x14ac:dyDescent="0.25">
      <c r="A316" s="140" t="s">
        <v>1182</v>
      </c>
      <c r="B316" s="140" t="s">
        <v>628</v>
      </c>
      <c r="C316" s="140" t="s">
        <v>1286</v>
      </c>
      <c r="D316" s="140">
        <v>0</v>
      </c>
      <c r="E316" s="145" t="s">
        <v>627</v>
      </c>
      <c r="F316" s="146">
        <v>0.49</v>
      </c>
      <c r="G316" s="125">
        <v>47.999153587870133</v>
      </c>
      <c r="H316" s="125">
        <v>9.8395207479569748</v>
      </c>
      <c r="I316" s="125">
        <v>38.159632839913158</v>
      </c>
      <c r="J316" s="125">
        <v>2.3160109010233354</v>
      </c>
      <c r="K316" s="125">
        <v>0.6148789281115361</v>
      </c>
      <c r="L316" s="125">
        <v>2.9308898291348715</v>
      </c>
      <c r="M316" s="125">
        <v>35.297660376919673</v>
      </c>
      <c r="N316" s="148">
        <v>0</v>
      </c>
      <c r="O316" s="122">
        <f>VLOOKUP(B316,Data!B:K,10,FALSE)</f>
        <v>0</v>
      </c>
    </row>
    <row r="317" spans="1:15" x14ac:dyDescent="0.25">
      <c r="A317" s="140" t="s">
        <v>1183</v>
      </c>
      <c r="B317" s="140" t="s">
        <v>630</v>
      </c>
      <c r="C317" s="140" t="s">
        <v>1286</v>
      </c>
      <c r="D317" s="140">
        <v>0</v>
      </c>
      <c r="E317" s="145" t="s">
        <v>629</v>
      </c>
      <c r="F317" s="146">
        <v>0.49</v>
      </c>
      <c r="G317" s="125">
        <v>100.50133960287542</v>
      </c>
      <c r="H317" s="125">
        <v>30.408053053489706</v>
      </c>
      <c r="I317" s="125">
        <v>70.093286549385709</v>
      </c>
      <c r="J317" s="125">
        <v>29.682879191996292</v>
      </c>
      <c r="K317" s="125">
        <v>0.28576497123029654</v>
      </c>
      <c r="L317" s="125">
        <v>29.968644163226589</v>
      </c>
      <c r="M317" s="125">
        <v>64.836290058181788</v>
      </c>
      <c r="N317" s="148">
        <v>0</v>
      </c>
      <c r="O317" s="122" t="str">
        <f>VLOOKUP(B317,Data!B:K,10,FALSE)</f>
        <v>Staffordshire &amp; Stoke on Trent Business Rates Pool</v>
      </c>
    </row>
    <row r="318" spans="1:15" x14ac:dyDescent="0.25">
      <c r="A318" s="140" t="s">
        <v>1184</v>
      </c>
      <c r="B318" s="140" t="s">
        <v>632</v>
      </c>
      <c r="C318" s="140" t="s">
        <v>1278</v>
      </c>
      <c r="D318" s="140">
        <v>0</v>
      </c>
      <c r="E318" s="145" t="s">
        <v>631</v>
      </c>
      <c r="F318" s="146">
        <v>0.4</v>
      </c>
      <c r="G318" s="125">
        <v>2.487892446542499</v>
      </c>
      <c r="H318" s="125">
        <v>0.11154523598996177</v>
      </c>
      <c r="I318" s="125">
        <v>2.3763472105525372</v>
      </c>
      <c r="J318" s="125">
        <v>-18.483806191305458</v>
      </c>
      <c r="K318" s="125">
        <v>1.4719469407076247E-3</v>
      </c>
      <c r="L318" s="125">
        <v>-18.48233424436475</v>
      </c>
      <c r="M318" s="125">
        <v>2.1981211697610972</v>
      </c>
      <c r="N318" s="148">
        <v>0.5</v>
      </c>
      <c r="O318" s="122" t="str">
        <f>VLOOKUP(B318,Data!B:K,10,FALSE)</f>
        <v>Coventry &amp; Warwickshire Business Rates Pool</v>
      </c>
    </row>
    <row r="319" spans="1:15" x14ac:dyDescent="0.25">
      <c r="A319" s="140" t="s">
        <v>1185</v>
      </c>
      <c r="B319" s="140" t="s">
        <v>634</v>
      </c>
      <c r="C319" s="140" t="s">
        <v>1278</v>
      </c>
      <c r="D319" s="140" t="s">
        <v>1295</v>
      </c>
      <c r="E319" s="145" t="s">
        <v>633</v>
      </c>
      <c r="F319" s="146">
        <v>0.5</v>
      </c>
      <c r="G319" s="125">
        <v>2.3761095772855074</v>
      </c>
      <c r="H319" s="125">
        <v>0</v>
      </c>
      <c r="I319" s="125">
        <v>2.3761095772855074</v>
      </c>
      <c r="J319" s="125">
        <v>-10.186712925349516</v>
      </c>
      <c r="K319" s="125">
        <v>-5.5571620090939078E-2</v>
      </c>
      <c r="L319" s="125">
        <v>-10.242284545440455</v>
      </c>
      <c r="M319" s="125">
        <v>2.3048262899669423</v>
      </c>
      <c r="N319" s="148">
        <v>0</v>
      </c>
      <c r="O319" s="122" t="str">
        <f>VLOOKUP(B319,Data!B:K,10,FALSE)</f>
        <v>Gloucestershire Business Rates Pool</v>
      </c>
    </row>
    <row r="320" spans="1:15" x14ac:dyDescent="0.25">
      <c r="A320" s="140" t="s">
        <v>1186</v>
      </c>
      <c r="B320" s="140" t="s">
        <v>64</v>
      </c>
      <c r="C320" s="140" t="s">
        <v>1298</v>
      </c>
      <c r="D320" s="140" t="s">
        <v>1282</v>
      </c>
      <c r="E320" s="145" t="s">
        <v>812</v>
      </c>
      <c r="F320" s="146">
        <v>0.2</v>
      </c>
      <c r="G320" s="125">
        <v>131.42118049282641</v>
      </c>
      <c r="H320" s="125">
        <v>0</v>
      </c>
      <c r="I320" s="125">
        <v>131.42118049282641</v>
      </c>
      <c r="J320" s="125">
        <v>84.694726099024962</v>
      </c>
      <c r="K320" s="125">
        <v>0.2968521731700946</v>
      </c>
      <c r="L320" s="125">
        <v>84.991578272195056</v>
      </c>
      <c r="M320" s="125">
        <v>127.47854507804162</v>
      </c>
      <c r="N320" s="148">
        <v>0</v>
      </c>
      <c r="O320" s="122" t="str">
        <f>VLOOKUP(B320,Data!B:K,10,FALSE)</f>
        <v>Suffolk Business Rates Pool</v>
      </c>
    </row>
    <row r="321" spans="1:15" x14ac:dyDescent="0.25">
      <c r="A321" s="140" t="s">
        <v>1187</v>
      </c>
      <c r="B321" s="140" t="s">
        <v>636</v>
      </c>
      <c r="C321" s="140" t="s">
        <v>1278</v>
      </c>
      <c r="D321" s="140" t="s">
        <v>1282</v>
      </c>
      <c r="E321" s="145" t="s">
        <v>635</v>
      </c>
      <c r="F321" s="146">
        <v>0.8</v>
      </c>
      <c r="G321" s="125">
        <v>3.1869008781632853</v>
      </c>
      <c r="H321" s="125">
        <v>0</v>
      </c>
      <c r="I321" s="125">
        <v>3.1869008781632853</v>
      </c>
      <c r="J321" s="125">
        <v>-30.733733942859569</v>
      </c>
      <c r="K321" s="125">
        <v>1.0384018437288312</v>
      </c>
      <c r="L321" s="125">
        <v>-29.695332099130738</v>
      </c>
      <c r="M321" s="125">
        <v>3.0912938518183868</v>
      </c>
      <c r="N321" s="148">
        <v>0</v>
      </c>
      <c r="O321" s="122" t="str">
        <f>VLOOKUP(B321,Data!B:K,10,FALSE)</f>
        <v>Suffolk Business Rates Pool</v>
      </c>
    </row>
    <row r="322" spans="1:15" x14ac:dyDescent="0.25">
      <c r="A322" s="140" t="s">
        <v>1188</v>
      </c>
      <c r="B322" s="140" t="s">
        <v>638</v>
      </c>
      <c r="C322" s="140" t="s">
        <v>1285</v>
      </c>
      <c r="D322" s="140">
        <v>0</v>
      </c>
      <c r="E322" s="145" t="s">
        <v>637</v>
      </c>
      <c r="F322" s="146">
        <v>0.49</v>
      </c>
      <c r="G322" s="125">
        <v>118.75673968342439</v>
      </c>
      <c r="H322" s="125">
        <v>36.1568810715317</v>
      </c>
      <c r="I322" s="125">
        <v>82.599858611892685</v>
      </c>
      <c r="J322" s="125">
        <v>42.05885195515129</v>
      </c>
      <c r="K322" s="125">
        <v>0.13307078964952268</v>
      </c>
      <c r="L322" s="125">
        <v>42.191922744800813</v>
      </c>
      <c r="M322" s="125">
        <v>76.404869216000733</v>
      </c>
      <c r="N322" s="148">
        <v>0</v>
      </c>
      <c r="O322" s="122">
        <f>VLOOKUP(B322,Data!B:K,10,FALSE)</f>
        <v>0</v>
      </c>
    </row>
    <row r="323" spans="1:15" x14ac:dyDescent="0.25">
      <c r="A323" s="140" t="s">
        <v>1189</v>
      </c>
      <c r="B323" s="140" t="s">
        <v>287</v>
      </c>
      <c r="C323" s="140" t="s">
        <v>1298</v>
      </c>
      <c r="D323" s="140" t="s">
        <v>1300</v>
      </c>
      <c r="E323" s="145" t="s">
        <v>813</v>
      </c>
      <c r="F323" s="146">
        <v>0.7</v>
      </c>
      <c r="G323" s="125">
        <v>115.19090728493131</v>
      </c>
      <c r="H323" s="125">
        <v>0</v>
      </c>
      <c r="I323" s="125">
        <v>115.19090728493131</v>
      </c>
      <c r="J323" s="125">
        <v>-235.17268058166778</v>
      </c>
      <c r="K323" s="125">
        <v>0.36460129356947846</v>
      </c>
      <c r="L323" s="125">
        <v>-234.8080792880983</v>
      </c>
      <c r="M323" s="125">
        <v>111.73518006638336</v>
      </c>
      <c r="N323" s="148">
        <v>0</v>
      </c>
      <c r="O323" s="122" t="str">
        <f>VLOOKUP(B323,Data!B:K,10,FALSE)</f>
        <v>Surrey-Croydon Business Rates Pool</v>
      </c>
    </row>
    <row r="324" spans="1:15" x14ac:dyDescent="0.25">
      <c r="A324" s="140" t="s">
        <v>1190</v>
      </c>
      <c r="B324" s="140" t="s">
        <v>640</v>
      </c>
      <c r="C324" s="140" t="s">
        <v>1278</v>
      </c>
      <c r="D324" s="140" t="s">
        <v>1300</v>
      </c>
      <c r="E324" s="145" t="s">
        <v>639</v>
      </c>
      <c r="F324" s="146">
        <v>0.30000000000000004</v>
      </c>
      <c r="G324" s="125">
        <v>1.5086660860289922</v>
      </c>
      <c r="H324" s="125">
        <v>0</v>
      </c>
      <c r="I324" s="125">
        <v>1.5086660860289922</v>
      </c>
      <c r="J324" s="125">
        <v>-8.6968393646820008</v>
      </c>
      <c r="K324" s="125">
        <v>0.17937242628490147</v>
      </c>
      <c r="L324" s="125">
        <v>-8.5174669383970993</v>
      </c>
      <c r="M324" s="125">
        <v>1.4634061034481225</v>
      </c>
      <c r="N324" s="148">
        <v>0</v>
      </c>
      <c r="O324" s="122" t="str">
        <f>VLOOKUP(B324,Data!B:K,10,FALSE)</f>
        <v>Surrey-Croydon Business Rates Pool</v>
      </c>
    </row>
    <row r="325" spans="1:15" x14ac:dyDescent="0.25">
      <c r="A325" s="140" t="s">
        <v>1191</v>
      </c>
      <c r="B325" s="140" t="s">
        <v>642</v>
      </c>
      <c r="C325" s="140" t="s">
        <v>1283</v>
      </c>
      <c r="D325" s="140" t="s">
        <v>1284</v>
      </c>
      <c r="E325" s="145" t="s">
        <v>641</v>
      </c>
      <c r="F325" s="146">
        <v>0.64</v>
      </c>
      <c r="G325" s="125">
        <v>46.784952640256414</v>
      </c>
      <c r="H325" s="125">
        <v>0</v>
      </c>
      <c r="I325" s="125">
        <v>46.784952640256414</v>
      </c>
      <c r="J325" s="125">
        <v>11.967321827163115</v>
      </c>
      <c r="K325" s="125">
        <v>5.223826845295676E-2</v>
      </c>
      <c r="L325" s="125">
        <v>12.019560095616072</v>
      </c>
      <c r="M325" s="125">
        <v>45.38140406104872</v>
      </c>
      <c r="N325" s="148">
        <v>0</v>
      </c>
      <c r="O325" s="122">
        <f>VLOOKUP(B325,Data!B:K,10,FALSE)</f>
        <v>0</v>
      </c>
    </row>
    <row r="326" spans="1:15" x14ac:dyDescent="0.25">
      <c r="A326" s="140" t="s">
        <v>1192</v>
      </c>
      <c r="B326" s="140" t="s">
        <v>644</v>
      </c>
      <c r="C326" s="140" t="s">
        <v>1278</v>
      </c>
      <c r="D326" s="140" t="s">
        <v>1280</v>
      </c>
      <c r="E326" s="145" t="s">
        <v>643</v>
      </c>
      <c r="F326" s="146">
        <v>0.4</v>
      </c>
      <c r="G326" s="125">
        <v>4.8336606026239002</v>
      </c>
      <c r="H326" s="125">
        <v>0</v>
      </c>
      <c r="I326" s="125">
        <v>4.8336606026239002</v>
      </c>
      <c r="J326" s="125">
        <v>-10.593461239679275</v>
      </c>
      <c r="K326" s="125">
        <v>-9.76027513776625E-2</v>
      </c>
      <c r="L326" s="125">
        <v>-10.691063991056938</v>
      </c>
      <c r="M326" s="125">
        <v>4.6886507845451835</v>
      </c>
      <c r="N326" s="148">
        <v>0</v>
      </c>
      <c r="O326" s="122" t="str">
        <f>VLOOKUP(B326,Data!B:K,10,FALSE)</f>
        <v>Kent Business Rates Pool</v>
      </c>
    </row>
    <row r="327" spans="1:15" x14ac:dyDescent="0.25">
      <c r="A327" s="140" t="s">
        <v>1193</v>
      </c>
      <c r="B327" s="140" t="s">
        <v>646</v>
      </c>
      <c r="C327" s="140" t="s">
        <v>1286</v>
      </c>
      <c r="D327" s="140">
        <v>0</v>
      </c>
      <c r="E327" s="145" t="s">
        <v>645</v>
      </c>
      <c r="F327" s="146">
        <v>0.49</v>
      </c>
      <c r="G327" s="125">
        <v>40.010496961079369</v>
      </c>
      <c r="H327" s="125">
        <v>8.9494557635072205</v>
      </c>
      <c r="I327" s="125">
        <v>31.061041197572152</v>
      </c>
      <c r="J327" s="125">
        <v>-16.629963134862837</v>
      </c>
      <c r="K327" s="125">
        <v>-0.17545027745814323</v>
      </c>
      <c r="L327" s="125">
        <v>-16.805413412320981</v>
      </c>
      <c r="M327" s="125">
        <v>28.731463107754241</v>
      </c>
      <c r="N327" s="148">
        <v>0.34870230905869937</v>
      </c>
      <c r="O327" s="122">
        <f>VLOOKUP(B327,Data!B:K,10,FALSE)</f>
        <v>0</v>
      </c>
    </row>
    <row r="328" spans="1:15" x14ac:dyDescent="0.25">
      <c r="A328" s="140" t="s">
        <v>1194</v>
      </c>
      <c r="B328" s="140" t="s">
        <v>648</v>
      </c>
      <c r="C328" s="140" t="s">
        <v>1285</v>
      </c>
      <c r="D328" s="140" t="s">
        <v>1289</v>
      </c>
      <c r="E328" s="145" t="s">
        <v>647</v>
      </c>
      <c r="F328" s="146">
        <v>0.99</v>
      </c>
      <c r="G328" s="125">
        <v>88.443937836626958</v>
      </c>
      <c r="H328" s="125">
        <v>0</v>
      </c>
      <c r="I328" s="125">
        <v>88.443937836626958</v>
      </c>
      <c r="J328" s="125">
        <v>36.599109355218324</v>
      </c>
      <c r="K328" s="125">
        <v>-0.63166506898431152</v>
      </c>
      <c r="L328" s="125">
        <v>35.967444286234013</v>
      </c>
      <c r="M328" s="125">
        <v>85.790619701528144</v>
      </c>
      <c r="N328" s="148">
        <v>0</v>
      </c>
      <c r="O328" s="122" t="str">
        <f>VLOOKUP(B328,Data!B:K,10,FALSE)</f>
        <v>Greater Manchester &amp; Cheshire Business Rates Pool</v>
      </c>
    </row>
    <row r="329" spans="1:15" x14ac:dyDescent="0.25">
      <c r="A329" s="140" t="s">
        <v>1195</v>
      </c>
      <c r="B329" s="140" t="s">
        <v>650</v>
      </c>
      <c r="C329" s="140" t="s">
        <v>1278</v>
      </c>
      <c r="D329" s="140">
        <v>0</v>
      </c>
      <c r="E329" s="145" t="s">
        <v>649</v>
      </c>
      <c r="F329" s="146">
        <v>0.4</v>
      </c>
      <c r="G329" s="125">
        <v>2.7434290558368182</v>
      </c>
      <c r="H329" s="125">
        <v>0.49396420284431147</v>
      </c>
      <c r="I329" s="125">
        <v>2.2494648529925065</v>
      </c>
      <c r="J329" s="125">
        <v>-10.009626760879121</v>
      </c>
      <c r="K329" s="125">
        <v>7.4028696933321925E-2</v>
      </c>
      <c r="L329" s="125">
        <v>-9.9355980639457986</v>
      </c>
      <c r="M329" s="125">
        <v>2.0807549890180685</v>
      </c>
      <c r="N329" s="148">
        <v>0.5</v>
      </c>
      <c r="O329" s="122" t="str">
        <f>VLOOKUP(B329,Data!B:K,10,FALSE)</f>
        <v>Greater Birmingham &amp; Solihull Business Rates Pool</v>
      </c>
    </row>
    <row r="330" spans="1:15" x14ac:dyDescent="0.25">
      <c r="A330" s="140" t="s">
        <v>1196</v>
      </c>
      <c r="B330" s="140" t="s">
        <v>652</v>
      </c>
      <c r="C330" s="140" t="s">
        <v>1278</v>
      </c>
      <c r="D330" s="140" t="s">
        <v>1300</v>
      </c>
      <c r="E330" s="145" t="s">
        <v>651</v>
      </c>
      <c r="F330" s="146">
        <v>0.30000000000000004</v>
      </c>
      <c r="G330" s="125">
        <v>1.4036013453630527</v>
      </c>
      <c r="H330" s="125">
        <v>0</v>
      </c>
      <c r="I330" s="125">
        <v>1.4036013453630527</v>
      </c>
      <c r="J330" s="125">
        <v>-5.3856813453519425</v>
      </c>
      <c r="K330" s="125">
        <v>-0.22886279201020887</v>
      </c>
      <c r="L330" s="125">
        <v>-5.6145441373621514</v>
      </c>
      <c r="M330" s="125">
        <v>1.3614933050021611</v>
      </c>
      <c r="N330" s="148">
        <v>0</v>
      </c>
      <c r="O330" s="122">
        <f>VLOOKUP(B330,Data!B:K,10,FALSE)</f>
        <v>0</v>
      </c>
    </row>
    <row r="331" spans="1:15" x14ac:dyDescent="0.25">
      <c r="A331" s="140" t="s">
        <v>1197</v>
      </c>
      <c r="B331" s="140" t="s">
        <v>654</v>
      </c>
      <c r="C331" s="140" t="s">
        <v>1278</v>
      </c>
      <c r="D331" s="140">
        <v>0</v>
      </c>
      <c r="E331" s="145" t="s">
        <v>653</v>
      </c>
      <c r="F331" s="146">
        <v>0.4</v>
      </c>
      <c r="G331" s="125">
        <v>2.8848023109926819</v>
      </c>
      <c r="H331" s="125">
        <v>0.27978846115870404</v>
      </c>
      <c r="I331" s="125">
        <v>2.6050138498339779</v>
      </c>
      <c r="J331" s="125">
        <v>-12.780893266380188</v>
      </c>
      <c r="K331" s="125">
        <v>-0.14591596734301326</v>
      </c>
      <c r="L331" s="125">
        <v>-12.926809233723201</v>
      </c>
      <c r="M331" s="125">
        <v>2.4096378110964296</v>
      </c>
      <c r="N331" s="148">
        <v>0.5</v>
      </c>
      <c r="O331" s="122">
        <f>VLOOKUP(B331,Data!B:K,10,FALSE)</f>
        <v>0</v>
      </c>
    </row>
    <row r="332" spans="1:15" x14ac:dyDescent="0.25">
      <c r="A332" s="140" t="s">
        <v>1198</v>
      </c>
      <c r="B332" s="140" t="s">
        <v>656</v>
      </c>
      <c r="C332" s="140" t="s">
        <v>1278</v>
      </c>
      <c r="D332" s="140" t="s">
        <v>1299</v>
      </c>
      <c r="E332" s="145" t="s">
        <v>655</v>
      </c>
      <c r="F332" s="146">
        <v>0.4</v>
      </c>
      <c r="G332" s="125">
        <v>3.6945692241581205</v>
      </c>
      <c r="H332" s="125">
        <v>0</v>
      </c>
      <c r="I332" s="125">
        <v>3.6945692241581205</v>
      </c>
      <c r="J332" s="125">
        <v>-8.3683902294754944</v>
      </c>
      <c r="K332" s="125">
        <v>-4.5670986609392727E-2</v>
      </c>
      <c r="L332" s="125">
        <v>-8.4140612160848871</v>
      </c>
      <c r="M332" s="125">
        <v>3.583732147433377</v>
      </c>
      <c r="N332" s="148">
        <v>0</v>
      </c>
      <c r="O332" s="122" t="str">
        <f>VLOOKUP(B332,Data!B:K,10,FALSE)</f>
        <v>Devon Business Rates Pool</v>
      </c>
    </row>
    <row r="333" spans="1:15" x14ac:dyDescent="0.25">
      <c r="A333" s="140" t="s">
        <v>1199</v>
      </c>
      <c r="B333" s="140" t="s">
        <v>658</v>
      </c>
      <c r="C333" s="140" t="s">
        <v>1286</v>
      </c>
      <c r="D333" s="140">
        <v>0</v>
      </c>
      <c r="E333" s="145" t="s">
        <v>657</v>
      </c>
      <c r="F333" s="146">
        <v>0.49</v>
      </c>
      <c r="G333" s="125">
        <v>51.41275939882064</v>
      </c>
      <c r="H333" s="125">
        <v>14.147394729300853</v>
      </c>
      <c r="I333" s="125">
        <v>37.265364669519784</v>
      </c>
      <c r="J333" s="125">
        <v>4.59695886990772</v>
      </c>
      <c r="K333" s="125">
        <v>9.8427586881464357E-2</v>
      </c>
      <c r="L333" s="125">
        <v>4.6953864567891843</v>
      </c>
      <c r="M333" s="125">
        <v>34.470462319305803</v>
      </c>
      <c r="N333" s="148">
        <v>0</v>
      </c>
      <c r="O333" s="122">
        <f>VLOOKUP(B333,Data!B:K,10,FALSE)</f>
        <v>0</v>
      </c>
    </row>
    <row r="334" spans="1:15" x14ac:dyDescent="0.25">
      <c r="A334" s="140" t="s">
        <v>1200</v>
      </c>
      <c r="B334" s="140" t="s">
        <v>660</v>
      </c>
      <c r="C334" s="140" t="s">
        <v>1278</v>
      </c>
      <c r="D334" s="140">
        <v>0</v>
      </c>
      <c r="E334" s="145" t="s">
        <v>659</v>
      </c>
      <c r="F334" s="146">
        <v>0.4</v>
      </c>
      <c r="G334" s="125">
        <v>5.936400793961214</v>
      </c>
      <c r="H334" s="125">
        <v>1.0701001335437308</v>
      </c>
      <c r="I334" s="125">
        <v>4.8663006604174832</v>
      </c>
      <c r="J334" s="125">
        <v>-5.3056162010407748</v>
      </c>
      <c r="K334" s="125">
        <v>3.60806881158382E-3</v>
      </c>
      <c r="L334" s="125">
        <v>-5.302008132229191</v>
      </c>
      <c r="M334" s="125">
        <v>4.5013281108861722</v>
      </c>
      <c r="N334" s="148">
        <v>0.5</v>
      </c>
      <c r="O334" s="122" t="str">
        <f>VLOOKUP(B334,Data!B:K,10,FALSE)</f>
        <v>Essex Business Rates Pool</v>
      </c>
    </row>
    <row r="335" spans="1:15" x14ac:dyDescent="0.25">
      <c r="A335" s="140" t="s">
        <v>1201</v>
      </c>
      <c r="B335" s="140" t="s">
        <v>662</v>
      </c>
      <c r="C335" s="140" t="s">
        <v>1278</v>
      </c>
      <c r="D335" s="140">
        <v>0</v>
      </c>
      <c r="E335" s="145" t="s">
        <v>661</v>
      </c>
      <c r="F335" s="146">
        <v>0.4</v>
      </c>
      <c r="G335" s="125">
        <v>2.3465907913197857</v>
      </c>
      <c r="H335" s="125">
        <v>5.5979683334305884E-2</v>
      </c>
      <c r="I335" s="125">
        <v>2.2906111079854798</v>
      </c>
      <c r="J335" s="125">
        <v>-16.497651252018088</v>
      </c>
      <c r="K335" s="125">
        <v>5.3090741403085673E-2</v>
      </c>
      <c r="L335" s="125">
        <v>-16.444560510615002</v>
      </c>
      <c r="M335" s="125">
        <v>2.1188152748865692</v>
      </c>
      <c r="N335" s="148">
        <v>0.5</v>
      </c>
      <c r="O335" s="122">
        <f>VLOOKUP(B335,Data!B:K,10,FALSE)</f>
        <v>0</v>
      </c>
    </row>
    <row r="336" spans="1:15" x14ac:dyDescent="0.25">
      <c r="A336" s="140" t="s">
        <v>1202</v>
      </c>
      <c r="B336" s="140" t="s">
        <v>664</v>
      </c>
      <c r="C336" s="140" t="s">
        <v>1278</v>
      </c>
      <c r="D336" s="140" t="s">
        <v>1295</v>
      </c>
      <c r="E336" s="145" t="s">
        <v>663</v>
      </c>
      <c r="F336" s="146">
        <v>0.5</v>
      </c>
      <c r="G336" s="125">
        <v>2.0723424368373178</v>
      </c>
      <c r="H336" s="125">
        <v>0</v>
      </c>
      <c r="I336" s="125">
        <v>2.0723424368373178</v>
      </c>
      <c r="J336" s="125">
        <v>-15.803349233228271</v>
      </c>
      <c r="K336" s="125">
        <v>0.16409118429869274</v>
      </c>
      <c r="L336" s="125">
        <v>-15.639258048929578</v>
      </c>
      <c r="M336" s="125">
        <v>2.0101721637321983</v>
      </c>
      <c r="N336" s="148">
        <v>0</v>
      </c>
      <c r="O336" s="122">
        <f>VLOOKUP(B336,Data!B:K,10,FALSE)</f>
        <v>0</v>
      </c>
    </row>
    <row r="337" spans="1:15" x14ac:dyDescent="0.25">
      <c r="A337" s="140" t="s">
        <v>1203</v>
      </c>
      <c r="B337" s="140" t="s">
        <v>666</v>
      </c>
      <c r="C337" s="140" t="s">
        <v>1278</v>
      </c>
      <c r="D337" s="140" t="s">
        <v>1280</v>
      </c>
      <c r="E337" s="145" t="s">
        <v>665</v>
      </c>
      <c r="F337" s="146">
        <v>0.4</v>
      </c>
      <c r="G337" s="125">
        <v>5.6702960442825932</v>
      </c>
      <c r="H337" s="125">
        <v>0</v>
      </c>
      <c r="I337" s="125">
        <v>5.6702960442825932</v>
      </c>
      <c r="J337" s="125">
        <v>-7.4339958098500274</v>
      </c>
      <c r="K337" s="125">
        <v>-2.1421935714545981E-2</v>
      </c>
      <c r="L337" s="125">
        <v>-7.4554177455645734</v>
      </c>
      <c r="M337" s="125">
        <v>5.5001871629541155</v>
      </c>
      <c r="N337" s="148">
        <v>0</v>
      </c>
      <c r="O337" s="122" t="str">
        <f>VLOOKUP(B337,Data!B:K,10,FALSE)</f>
        <v>Kent Business Rates Pool</v>
      </c>
    </row>
    <row r="338" spans="1:15" x14ac:dyDescent="0.25">
      <c r="A338" s="140" t="s">
        <v>1204</v>
      </c>
      <c r="B338" s="140" t="s">
        <v>668</v>
      </c>
      <c r="C338" s="140" t="s">
        <v>1278</v>
      </c>
      <c r="D338" s="140">
        <v>0</v>
      </c>
      <c r="E338" s="145" t="s">
        <v>667</v>
      </c>
      <c r="F338" s="146">
        <v>0.4</v>
      </c>
      <c r="G338" s="125">
        <v>1.9306366594585949</v>
      </c>
      <c r="H338" s="125">
        <v>1.1791581076715142E-2</v>
      </c>
      <c r="I338" s="125">
        <v>1.9188450783818798</v>
      </c>
      <c r="J338" s="125">
        <v>-8.3976952644895277</v>
      </c>
      <c r="K338" s="125">
        <v>-0.100264819697097</v>
      </c>
      <c r="L338" s="125">
        <v>-8.4979600841866247</v>
      </c>
      <c r="M338" s="125">
        <v>1.774931697503239</v>
      </c>
      <c r="N338" s="148">
        <v>0.5</v>
      </c>
      <c r="O338" s="122">
        <f>VLOOKUP(B338,Data!B:K,10,FALSE)</f>
        <v>0</v>
      </c>
    </row>
    <row r="339" spans="1:15" x14ac:dyDescent="0.25">
      <c r="A339" s="140" t="s">
        <v>1205</v>
      </c>
      <c r="B339" s="140" t="s">
        <v>670</v>
      </c>
      <c r="C339" s="140" t="s">
        <v>1286</v>
      </c>
      <c r="D339" s="140">
        <v>0</v>
      </c>
      <c r="E339" s="145" t="s">
        <v>669</v>
      </c>
      <c r="F339" s="146">
        <v>0.49</v>
      </c>
      <c r="G339" s="125">
        <v>42.640256592588052</v>
      </c>
      <c r="H339" s="125">
        <v>10.697580066381999</v>
      </c>
      <c r="I339" s="125">
        <v>31.942676526206053</v>
      </c>
      <c r="J339" s="125">
        <v>-21.695352781898052</v>
      </c>
      <c r="K339" s="125">
        <v>-2.1031941026399217</v>
      </c>
      <c r="L339" s="125">
        <v>-23.798546884537974</v>
      </c>
      <c r="M339" s="125">
        <v>29.5469757867406</v>
      </c>
      <c r="N339" s="148">
        <v>0.40447706958375951</v>
      </c>
      <c r="O339" s="122" t="str">
        <f>VLOOKUP(B339,Data!B:K,10,FALSE)</f>
        <v>East London / South Essex Business Rates Pool</v>
      </c>
    </row>
    <row r="340" spans="1:15" x14ac:dyDescent="0.25">
      <c r="A340" s="140" t="s">
        <v>1206</v>
      </c>
      <c r="B340" s="140" t="s">
        <v>672</v>
      </c>
      <c r="C340" s="140" t="s">
        <v>1278</v>
      </c>
      <c r="D340" s="140" t="s">
        <v>1280</v>
      </c>
      <c r="E340" s="145" t="s">
        <v>671</v>
      </c>
      <c r="F340" s="146">
        <v>0.4</v>
      </c>
      <c r="G340" s="125">
        <v>2.2141097913676835</v>
      </c>
      <c r="H340" s="125">
        <v>0</v>
      </c>
      <c r="I340" s="125">
        <v>2.2141097913676835</v>
      </c>
      <c r="J340" s="125">
        <v>-20.498842829226039</v>
      </c>
      <c r="K340" s="125">
        <v>6.9675411167416712E-2</v>
      </c>
      <c r="L340" s="125">
        <v>-20.429167418058622</v>
      </c>
      <c r="M340" s="125">
        <v>2.147686497626653</v>
      </c>
      <c r="N340" s="148">
        <v>0</v>
      </c>
      <c r="O340" s="122" t="str">
        <f>VLOOKUP(B340,Data!B:K,10,FALSE)</f>
        <v>Kent Business Rates Pool</v>
      </c>
    </row>
    <row r="341" spans="1:15" x14ac:dyDescent="0.25">
      <c r="A341" s="140" t="s">
        <v>1207</v>
      </c>
      <c r="B341" s="140" t="s">
        <v>674</v>
      </c>
      <c r="C341" s="140" t="s">
        <v>1286</v>
      </c>
      <c r="D341" s="140" t="s">
        <v>1299</v>
      </c>
      <c r="E341" s="145" t="s">
        <v>673</v>
      </c>
      <c r="F341" s="146">
        <v>0.99</v>
      </c>
      <c r="G341" s="125">
        <v>41.611624887341577</v>
      </c>
      <c r="H341" s="125">
        <v>0</v>
      </c>
      <c r="I341" s="125">
        <v>41.611624887341577</v>
      </c>
      <c r="J341" s="125">
        <v>7.6277677343247161</v>
      </c>
      <c r="K341" s="125">
        <v>6.154533919350591E-2</v>
      </c>
      <c r="L341" s="125">
        <v>7.689313073518222</v>
      </c>
      <c r="M341" s="125">
        <v>40.363276140721325</v>
      </c>
      <c r="N341" s="148">
        <v>0</v>
      </c>
      <c r="O341" s="122" t="str">
        <f>VLOOKUP(B341,Data!B:K,10,FALSE)</f>
        <v>Devon Business Rates Pool</v>
      </c>
    </row>
    <row r="342" spans="1:15" x14ac:dyDescent="0.25">
      <c r="A342" s="140" t="s">
        <v>1208</v>
      </c>
      <c r="B342" s="140" t="s">
        <v>676</v>
      </c>
      <c r="C342" s="140" t="s">
        <v>1278</v>
      </c>
      <c r="D342" s="140" t="s">
        <v>1299</v>
      </c>
      <c r="E342" s="145" t="s">
        <v>675</v>
      </c>
      <c r="F342" s="146">
        <v>0.4</v>
      </c>
      <c r="G342" s="125">
        <v>3.203327294773485</v>
      </c>
      <c r="H342" s="125">
        <v>0</v>
      </c>
      <c r="I342" s="125">
        <v>3.203327294773485</v>
      </c>
      <c r="J342" s="125">
        <v>-1.4122945019559661</v>
      </c>
      <c r="K342" s="125">
        <v>-1.9825390118846098E-2</v>
      </c>
      <c r="L342" s="125">
        <v>-1.4321198920748122</v>
      </c>
      <c r="M342" s="125">
        <v>3.1072274759302805</v>
      </c>
      <c r="N342" s="148">
        <v>0</v>
      </c>
      <c r="O342" s="122" t="str">
        <f>VLOOKUP(B342,Data!B:K,10,FALSE)</f>
        <v>Devon Business Rates Pool</v>
      </c>
    </row>
    <row r="343" spans="1:15" x14ac:dyDescent="0.25">
      <c r="A343" s="140" t="s">
        <v>1209</v>
      </c>
      <c r="B343" s="140" t="s">
        <v>678</v>
      </c>
      <c r="C343" s="140" t="s">
        <v>1294</v>
      </c>
      <c r="D343" s="140" t="s">
        <v>1284</v>
      </c>
      <c r="E343" s="145" t="s">
        <v>677</v>
      </c>
      <c r="F343" s="146">
        <v>0.64</v>
      </c>
      <c r="G343" s="125">
        <v>151.07064184208301</v>
      </c>
      <c r="H343" s="125">
        <v>0</v>
      </c>
      <c r="I343" s="125">
        <v>151.07064184208301</v>
      </c>
      <c r="J343" s="125">
        <v>-90.149716760804893</v>
      </c>
      <c r="K343" s="125">
        <v>7.777620928311535E-2</v>
      </c>
      <c r="L343" s="125">
        <v>-90.071940551521777</v>
      </c>
      <c r="M343" s="125">
        <v>146.53852258682051</v>
      </c>
      <c r="N343" s="148">
        <v>0</v>
      </c>
      <c r="O343" s="122">
        <f>VLOOKUP(B343,Data!B:K,10,FALSE)</f>
        <v>0</v>
      </c>
    </row>
    <row r="344" spans="1:15" x14ac:dyDescent="0.25">
      <c r="A344" s="140" t="s">
        <v>1210</v>
      </c>
      <c r="B344" s="140" t="s">
        <v>680</v>
      </c>
      <c r="C344" s="140" t="s">
        <v>1285</v>
      </c>
      <c r="D344" s="140" t="s">
        <v>1289</v>
      </c>
      <c r="E344" s="145" t="s">
        <v>679</v>
      </c>
      <c r="F344" s="146">
        <v>0.99</v>
      </c>
      <c r="G344" s="125">
        <v>57.725323600980524</v>
      </c>
      <c r="H344" s="125">
        <v>0</v>
      </c>
      <c r="I344" s="125">
        <v>57.725323600980524</v>
      </c>
      <c r="J344" s="125">
        <v>-86.750633976098953</v>
      </c>
      <c r="K344" s="125">
        <v>-0.85855045263653551</v>
      </c>
      <c r="L344" s="125">
        <v>-87.609184428735489</v>
      </c>
      <c r="M344" s="125">
        <v>55.993563892951109</v>
      </c>
      <c r="N344" s="148">
        <v>0</v>
      </c>
      <c r="O344" s="122" t="str">
        <f>VLOOKUP(B344,Data!B:K,10,FALSE)</f>
        <v>Greater Manchester &amp; Cheshire Business Rates Pool</v>
      </c>
    </row>
    <row r="345" spans="1:15" x14ac:dyDescent="0.25">
      <c r="A345" s="140" t="s">
        <v>1211</v>
      </c>
      <c r="B345" s="140" t="s">
        <v>682</v>
      </c>
      <c r="C345" s="140" t="s">
        <v>1278</v>
      </c>
      <c r="D345" s="140" t="s">
        <v>1280</v>
      </c>
      <c r="E345" s="145" t="s">
        <v>681</v>
      </c>
      <c r="F345" s="146">
        <v>0.4</v>
      </c>
      <c r="G345" s="125">
        <v>2.2842648422677727</v>
      </c>
      <c r="H345" s="125">
        <v>0</v>
      </c>
      <c r="I345" s="125">
        <v>2.2842648422677727</v>
      </c>
      <c r="J345" s="125">
        <v>-17.953572197878863</v>
      </c>
      <c r="K345" s="125">
        <v>-8.1270746767877711E-2</v>
      </c>
      <c r="L345" s="125">
        <v>-18.034842944646741</v>
      </c>
      <c r="M345" s="125">
        <v>2.2157368969997395</v>
      </c>
      <c r="N345" s="148">
        <v>0</v>
      </c>
      <c r="O345" s="122" t="str">
        <f>VLOOKUP(B345,Data!B:K,10,FALSE)</f>
        <v>Kent Business Rates Pool</v>
      </c>
    </row>
    <row r="346" spans="1:15" x14ac:dyDescent="0.25">
      <c r="A346" s="140" t="s">
        <v>1212</v>
      </c>
      <c r="B346" s="140" t="s">
        <v>310</v>
      </c>
      <c r="C346" s="140" t="s">
        <v>1301</v>
      </c>
      <c r="D346" s="140">
        <v>0</v>
      </c>
      <c r="E346" s="145" t="s">
        <v>785</v>
      </c>
      <c r="F346" s="146">
        <v>0.01</v>
      </c>
      <c r="G346" s="125">
        <v>24.573491261078331</v>
      </c>
      <c r="H346" s="125">
        <v>9.6201529938839041</v>
      </c>
      <c r="I346" s="125">
        <v>14.953338267194427</v>
      </c>
      <c r="J346" s="125">
        <v>11.02081261395549</v>
      </c>
      <c r="K346" s="125">
        <v>1.1545218965682835E-2</v>
      </c>
      <c r="L346" s="125">
        <v>11.032357832921173</v>
      </c>
      <c r="M346" s="125">
        <v>13.831837897154845</v>
      </c>
      <c r="N346" s="148">
        <v>0</v>
      </c>
      <c r="O346" s="122">
        <f>VLOOKUP(B346,Data!B:K,10,FALSE)</f>
        <v>0</v>
      </c>
    </row>
    <row r="347" spans="1:15" x14ac:dyDescent="0.25">
      <c r="A347" s="140" t="s">
        <v>1213</v>
      </c>
      <c r="B347" s="140" t="s">
        <v>684</v>
      </c>
      <c r="C347" s="140" t="s">
        <v>1278</v>
      </c>
      <c r="D347" s="140">
        <v>0</v>
      </c>
      <c r="E347" s="145" t="s">
        <v>683</v>
      </c>
      <c r="F347" s="146">
        <v>0.4</v>
      </c>
      <c r="G347" s="125">
        <v>1.4931743168230105</v>
      </c>
      <c r="H347" s="125">
        <v>0</v>
      </c>
      <c r="I347" s="125">
        <v>1.4931743168230105</v>
      </c>
      <c r="J347" s="125">
        <v>-14.864898683222576</v>
      </c>
      <c r="K347" s="125">
        <v>-0.11418732443135227</v>
      </c>
      <c r="L347" s="125">
        <v>-14.979086007653928</v>
      </c>
      <c r="M347" s="125">
        <v>1.3811862430612847</v>
      </c>
      <c r="N347" s="148">
        <v>0.5</v>
      </c>
      <c r="O347" s="122" t="str">
        <f>VLOOKUP(B347,Data!B:K,10,FALSE)</f>
        <v>Essex Business Rates Pool</v>
      </c>
    </row>
    <row r="348" spans="1:15" x14ac:dyDescent="0.25">
      <c r="A348" s="140" t="s">
        <v>1214</v>
      </c>
      <c r="B348" s="140" t="s">
        <v>686</v>
      </c>
      <c r="C348" s="140" t="s">
        <v>1278</v>
      </c>
      <c r="D348" s="140">
        <v>0</v>
      </c>
      <c r="E348" s="145" t="s">
        <v>685</v>
      </c>
      <c r="F348" s="146">
        <v>0.4</v>
      </c>
      <c r="G348" s="125">
        <v>2.4445993684939866</v>
      </c>
      <c r="H348" s="125">
        <v>0.16479494191755167</v>
      </c>
      <c r="I348" s="125">
        <v>2.279804426576435</v>
      </c>
      <c r="J348" s="125">
        <v>-19.98185751247868</v>
      </c>
      <c r="K348" s="125">
        <v>0.21595230525117159</v>
      </c>
      <c r="L348" s="125">
        <v>-19.765905207227508</v>
      </c>
      <c r="M348" s="125">
        <v>2.1088190945832026</v>
      </c>
      <c r="N348" s="148">
        <v>0.5</v>
      </c>
      <c r="O348" s="122">
        <f>VLOOKUP(B348,Data!B:K,10,FALSE)</f>
        <v>0</v>
      </c>
    </row>
    <row r="349" spans="1:15" x14ac:dyDescent="0.25">
      <c r="A349" s="140" t="s">
        <v>1215</v>
      </c>
      <c r="B349" s="140" t="s">
        <v>688</v>
      </c>
      <c r="C349" s="140" t="s">
        <v>1285</v>
      </c>
      <c r="D349" s="140" t="s">
        <v>1292</v>
      </c>
      <c r="E349" s="145" t="s">
        <v>687</v>
      </c>
      <c r="F349" s="146">
        <v>0.99</v>
      </c>
      <c r="G349" s="125">
        <v>91.736960413193671</v>
      </c>
      <c r="H349" s="125">
        <v>0</v>
      </c>
      <c r="I349" s="125">
        <v>91.736960413193671</v>
      </c>
      <c r="J349" s="125">
        <v>-20.034675483293579</v>
      </c>
      <c r="K349" s="125">
        <v>0.61316125016985268</v>
      </c>
      <c r="L349" s="125">
        <v>-19.421514233123727</v>
      </c>
      <c r="M349" s="125">
        <v>88.984851600797853</v>
      </c>
      <c r="N349" s="148">
        <v>0</v>
      </c>
      <c r="O349" s="122" t="str">
        <f>VLOOKUP(B349,Data!B:K,10,FALSE)</f>
        <v>Leeds City Region Business Rates Pool</v>
      </c>
    </row>
    <row r="350" spans="1:15" x14ac:dyDescent="0.25">
      <c r="A350" s="140" t="s">
        <v>1216</v>
      </c>
      <c r="B350" s="140" t="s">
        <v>690</v>
      </c>
      <c r="C350" s="140" t="s">
        <v>1285</v>
      </c>
      <c r="D350" s="140" t="s">
        <v>1288</v>
      </c>
      <c r="E350" s="145" t="s">
        <v>689</v>
      </c>
      <c r="F350" s="146">
        <v>0.99</v>
      </c>
      <c r="G350" s="125">
        <v>97.601797235732434</v>
      </c>
      <c r="H350" s="125">
        <v>0</v>
      </c>
      <c r="I350" s="125">
        <v>97.601797235732434</v>
      </c>
      <c r="J350" s="125">
        <v>25.829016695683315</v>
      </c>
      <c r="K350" s="125">
        <v>1.325468352547766</v>
      </c>
      <c r="L350" s="125">
        <v>27.154485048231081</v>
      </c>
      <c r="M350" s="125">
        <v>94.673743318660456</v>
      </c>
      <c r="N350" s="148">
        <v>0</v>
      </c>
      <c r="O350" s="122">
        <f>VLOOKUP(B350,Data!B:K,10,FALSE)</f>
        <v>0</v>
      </c>
    </row>
    <row r="351" spans="1:15" x14ac:dyDescent="0.25">
      <c r="A351" s="140" t="s">
        <v>1217</v>
      </c>
      <c r="B351" s="140" t="s">
        <v>692</v>
      </c>
      <c r="C351" s="140" t="s">
        <v>1283</v>
      </c>
      <c r="D351" s="140" t="s">
        <v>1284</v>
      </c>
      <c r="E351" s="145" t="s">
        <v>691</v>
      </c>
      <c r="F351" s="146">
        <v>0.64</v>
      </c>
      <c r="G351" s="125">
        <v>93.538005443299753</v>
      </c>
      <c r="H351" s="125">
        <v>0</v>
      </c>
      <c r="I351" s="125">
        <v>93.538005443299753</v>
      </c>
      <c r="J351" s="125">
        <v>48.97127389270188</v>
      </c>
      <c r="K351" s="125">
        <v>0.59865748002181363</v>
      </c>
      <c r="L351" s="125">
        <v>49.569931372723694</v>
      </c>
      <c r="M351" s="125">
        <v>90.731865280000761</v>
      </c>
      <c r="N351" s="148">
        <v>0</v>
      </c>
      <c r="O351" s="122">
        <f>VLOOKUP(B351,Data!B:K,10,FALSE)</f>
        <v>0</v>
      </c>
    </row>
    <row r="352" spans="1:15" x14ac:dyDescent="0.25">
      <c r="A352" s="140" t="s">
        <v>1218</v>
      </c>
      <c r="B352" s="140" t="s">
        <v>694</v>
      </c>
      <c r="C352" s="140" t="s">
        <v>1294</v>
      </c>
      <c r="D352" s="140" t="s">
        <v>1284</v>
      </c>
      <c r="E352" s="145" t="s">
        <v>693</v>
      </c>
      <c r="F352" s="146">
        <v>0.64</v>
      </c>
      <c r="G352" s="125">
        <v>101.28215378130855</v>
      </c>
      <c r="H352" s="125">
        <v>0</v>
      </c>
      <c r="I352" s="125">
        <v>101.28215378130855</v>
      </c>
      <c r="J352" s="125">
        <v>25.515040849415033</v>
      </c>
      <c r="K352" s="125">
        <v>4.7638043315778589E-3</v>
      </c>
      <c r="L352" s="125">
        <v>25.519804653746611</v>
      </c>
      <c r="M352" s="125">
        <v>98.243689167869292</v>
      </c>
      <c r="N352" s="148">
        <v>0</v>
      </c>
      <c r="O352" s="122">
        <f>VLOOKUP(B352,Data!B:K,10,FALSE)</f>
        <v>0</v>
      </c>
    </row>
    <row r="353" spans="1:15" x14ac:dyDescent="0.25">
      <c r="A353" s="140" t="s">
        <v>1219</v>
      </c>
      <c r="B353" s="140" t="s">
        <v>696</v>
      </c>
      <c r="C353" s="140" t="s">
        <v>1286</v>
      </c>
      <c r="D353" s="140">
        <v>0</v>
      </c>
      <c r="E353" s="145" t="s">
        <v>695</v>
      </c>
      <c r="F353" s="146">
        <v>0.49</v>
      </c>
      <c r="G353" s="125">
        <v>35.951113711517095</v>
      </c>
      <c r="H353" s="125">
        <v>5.8138421754354539</v>
      </c>
      <c r="I353" s="125">
        <v>30.137271536081641</v>
      </c>
      <c r="J353" s="125">
        <v>-16.390449925596851</v>
      </c>
      <c r="K353" s="125">
        <v>0.3157344536708635</v>
      </c>
      <c r="L353" s="125">
        <v>-16.074715471925987</v>
      </c>
      <c r="M353" s="125">
        <v>27.876976170875519</v>
      </c>
      <c r="N353" s="148">
        <v>0.35227278415315866</v>
      </c>
      <c r="O353" s="122" t="str">
        <f>VLOOKUP(B353,Data!B:K,10,FALSE)</f>
        <v>Mid Merseyside Business Rates Pool</v>
      </c>
    </row>
    <row r="354" spans="1:15" x14ac:dyDescent="0.25">
      <c r="A354" s="140" t="s">
        <v>1220</v>
      </c>
      <c r="B354" s="140" t="s">
        <v>698</v>
      </c>
      <c r="C354" s="140" t="s">
        <v>1278</v>
      </c>
      <c r="D354" s="140">
        <v>0</v>
      </c>
      <c r="E354" s="145" t="s">
        <v>697</v>
      </c>
      <c r="F354" s="146">
        <v>0.4</v>
      </c>
      <c r="G354" s="125">
        <v>3.6223620372039926</v>
      </c>
      <c r="H354" s="125">
        <v>0.30673630095245691</v>
      </c>
      <c r="I354" s="125">
        <v>3.3156257362515356</v>
      </c>
      <c r="J354" s="125">
        <v>-22.159405308983491</v>
      </c>
      <c r="K354" s="125">
        <v>0.14576082976837412</v>
      </c>
      <c r="L354" s="125">
        <v>-22.013644479215117</v>
      </c>
      <c r="M354" s="125">
        <v>3.0669538060326706</v>
      </c>
      <c r="N354" s="148">
        <v>0.5</v>
      </c>
      <c r="O354" s="122" t="str">
        <f>VLOOKUP(B354,Data!B:K,10,FALSE)</f>
        <v>Coventry &amp; Warwickshire Business Rates Pool</v>
      </c>
    </row>
    <row r="355" spans="1:15" x14ac:dyDescent="0.25">
      <c r="A355" s="140" t="s">
        <v>1221</v>
      </c>
      <c r="B355" s="140" t="s">
        <v>479</v>
      </c>
      <c r="C355" s="140" t="s">
        <v>1298</v>
      </c>
      <c r="D355" s="140">
        <v>0</v>
      </c>
      <c r="E355" s="145" t="s">
        <v>814</v>
      </c>
      <c r="F355" s="146">
        <v>0.1</v>
      </c>
      <c r="G355" s="125">
        <v>71.345020286213469</v>
      </c>
      <c r="H355" s="125">
        <v>9.6895430334316455</v>
      </c>
      <c r="I355" s="125">
        <v>61.655477252781829</v>
      </c>
      <c r="J355" s="125">
        <v>38.995245985006022</v>
      </c>
      <c r="K355" s="125">
        <v>8.3395187304660112E-2</v>
      </c>
      <c r="L355" s="125">
        <v>39.078641172310682</v>
      </c>
      <c r="M355" s="125">
        <v>57.031316458823191</v>
      </c>
      <c r="N355" s="148">
        <v>0</v>
      </c>
      <c r="O355" s="122" t="str">
        <f>VLOOKUP(B355,Data!B:K,10,FALSE)</f>
        <v>Coventry &amp; Warwickshire Business Rates Pool</v>
      </c>
    </row>
    <row r="356" spans="1:15" x14ac:dyDescent="0.25">
      <c r="A356" s="140" t="s">
        <v>1222</v>
      </c>
      <c r="B356" s="140" t="s">
        <v>700</v>
      </c>
      <c r="C356" s="140" t="s">
        <v>1278</v>
      </c>
      <c r="D356" s="140">
        <v>0</v>
      </c>
      <c r="E356" s="145" t="s">
        <v>699</v>
      </c>
      <c r="F356" s="146">
        <v>0.4</v>
      </c>
      <c r="G356" s="125">
        <v>2.8453202421316015</v>
      </c>
      <c r="H356" s="125">
        <v>0.11429887527967802</v>
      </c>
      <c r="I356" s="125">
        <v>2.7310213668519236</v>
      </c>
      <c r="J356" s="125">
        <v>-22.855891855349235</v>
      </c>
      <c r="K356" s="125">
        <v>-6.814459044291965E-2</v>
      </c>
      <c r="L356" s="125">
        <v>-22.924036445792154</v>
      </c>
      <c r="M356" s="125">
        <v>2.5261947643380296</v>
      </c>
      <c r="N356" s="148">
        <v>0.5</v>
      </c>
      <c r="O356" s="122">
        <f>VLOOKUP(B356,Data!B:K,10,FALSE)</f>
        <v>0</v>
      </c>
    </row>
    <row r="357" spans="1:15" x14ac:dyDescent="0.25">
      <c r="A357" s="140" t="s">
        <v>1223</v>
      </c>
      <c r="B357" s="140" t="s">
        <v>702</v>
      </c>
      <c r="C357" s="140" t="s">
        <v>1278</v>
      </c>
      <c r="D357" s="140" t="s">
        <v>1282</v>
      </c>
      <c r="E357" s="145" t="s">
        <v>701</v>
      </c>
      <c r="F357" s="146">
        <v>0.8</v>
      </c>
      <c r="G357" s="125">
        <v>4.7260660045335117</v>
      </c>
      <c r="H357" s="125">
        <v>0</v>
      </c>
      <c r="I357" s="125">
        <v>4.7260660045335117</v>
      </c>
      <c r="J357" s="125">
        <v>-17.371793452822942</v>
      </c>
      <c r="K357" s="125">
        <v>4.0585624319213309E-2</v>
      </c>
      <c r="L357" s="125">
        <v>-17.331207828503729</v>
      </c>
      <c r="M357" s="125">
        <v>4.5842840243975065</v>
      </c>
      <c r="N357" s="148">
        <v>0</v>
      </c>
      <c r="O357" s="122" t="str">
        <f>VLOOKUP(B357,Data!B:K,10,FALSE)</f>
        <v>Suffolk Business Rates Pool</v>
      </c>
    </row>
    <row r="358" spans="1:15" x14ac:dyDescent="0.25">
      <c r="A358" s="140" t="s">
        <v>1224</v>
      </c>
      <c r="B358" s="140" t="s">
        <v>704</v>
      </c>
      <c r="C358" s="140" t="s">
        <v>1278</v>
      </c>
      <c r="D358" s="140" t="s">
        <v>1300</v>
      </c>
      <c r="E358" s="145" t="s">
        <v>703</v>
      </c>
      <c r="F358" s="146">
        <v>0.30000000000000004</v>
      </c>
      <c r="G358" s="125">
        <v>1.9263911244199814</v>
      </c>
      <c r="H358" s="125">
        <v>0</v>
      </c>
      <c r="I358" s="125">
        <v>1.9263911244199814</v>
      </c>
      <c r="J358" s="125">
        <v>-9.9088901687806832</v>
      </c>
      <c r="K358" s="125">
        <v>6.8153490809953254E-2</v>
      </c>
      <c r="L358" s="125">
        <v>-9.8407366779707299</v>
      </c>
      <c r="M358" s="125">
        <v>1.8685993906873819</v>
      </c>
      <c r="N358" s="148">
        <v>0</v>
      </c>
      <c r="O358" s="122">
        <f>VLOOKUP(B358,Data!B:K,10,FALSE)</f>
        <v>0</v>
      </c>
    </row>
    <row r="359" spans="1:15" x14ac:dyDescent="0.25">
      <c r="A359" s="140" t="s">
        <v>1225</v>
      </c>
      <c r="B359" s="140" t="s">
        <v>706</v>
      </c>
      <c r="C359" s="140" t="s">
        <v>1278</v>
      </c>
      <c r="D359" s="140">
        <v>0</v>
      </c>
      <c r="E359" s="145" t="s">
        <v>705</v>
      </c>
      <c r="F359" s="146">
        <v>0.4</v>
      </c>
      <c r="G359" s="125">
        <v>2.840440549233441</v>
      </c>
      <c r="H359" s="125">
        <v>0</v>
      </c>
      <c r="I359" s="125">
        <v>2.840440549233441</v>
      </c>
      <c r="J359" s="125">
        <v>-9.5316374541189273</v>
      </c>
      <c r="K359" s="125">
        <v>-1.447848028323051E-2</v>
      </c>
      <c r="L359" s="125">
        <v>-9.5461159344021578</v>
      </c>
      <c r="M359" s="125">
        <v>2.6274075080409331</v>
      </c>
      <c r="N359" s="148">
        <v>0.5</v>
      </c>
      <c r="O359" s="122">
        <f>VLOOKUP(B359,Data!B:K,10,FALSE)</f>
        <v>0</v>
      </c>
    </row>
    <row r="360" spans="1:15" x14ac:dyDescent="0.25">
      <c r="A360" s="140" t="s">
        <v>1226</v>
      </c>
      <c r="B360" s="140" t="s">
        <v>708</v>
      </c>
      <c r="C360" s="140" t="s">
        <v>1278</v>
      </c>
      <c r="D360" s="140">
        <v>0</v>
      </c>
      <c r="E360" s="145" t="s">
        <v>707</v>
      </c>
      <c r="F360" s="146">
        <v>0.4</v>
      </c>
      <c r="G360" s="125">
        <v>2.8590671304766926</v>
      </c>
      <c r="H360" s="125">
        <v>0.53076795837838253</v>
      </c>
      <c r="I360" s="125">
        <v>2.3282991720983102</v>
      </c>
      <c r="J360" s="125">
        <v>-7.8039248332535038</v>
      </c>
      <c r="K360" s="125">
        <v>-8.0404608326881899E-2</v>
      </c>
      <c r="L360" s="125">
        <v>-7.8843294415803857</v>
      </c>
      <c r="M360" s="125">
        <v>2.1536767341909369</v>
      </c>
      <c r="N360" s="148">
        <v>0.5</v>
      </c>
      <c r="O360" s="122" t="str">
        <f>VLOOKUP(B360,Data!B:K,10,FALSE)</f>
        <v>Northamptonshire Business Rates Pool</v>
      </c>
    </row>
    <row r="361" spans="1:15" x14ac:dyDescent="0.25">
      <c r="A361" s="140" t="s">
        <v>1227</v>
      </c>
      <c r="B361" s="140" t="s">
        <v>710</v>
      </c>
      <c r="C361" s="140" t="s">
        <v>1278</v>
      </c>
      <c r="D361" s="140">
        <v>0</v>
      </c>
      <c r="E361" s="145" t="s">
        <v>709</v>
      </c>
      <c r="F361" s="146">
        <v>0.4</v>
      </c>
      <c r="G361" s="125">
        <v>2.9042640106464193</v>
      </c>
      <c r="H361" s="125">
        <v>0.10418435884211957</v>
      </c>
      <c r="I361" s="125">
        <v>2.8000796518042996</v>
      </c>
      <c r="J361" s="125">
        <v>-19.579062190891499</v>
      </c>
      <c r="K361" s="125">
        <v>0.14941702917782962</v>
      </c>
      <c r="L361" s="125">
        <v>-19.429645161713669</v>
      </c>
      <c r="M361" s="125">
        <v>2.5900736779189772</v>
      </c>
      <c r="N361" s="148">
        <v>0.5</v>
      </c>
      <c r="O361" s="122">
        <f>VLOOKUP(B361,Data!B:K,10,FALSE)</f>
        <v>0</v>
      </c>
    </row>
    <row r="362" spans="1:15" x14ac:dyDescent="0.25">
      <c r="A362" s="140" t="s">
        <v>1228</v>
      </c>
      <c r="B362" s="140" t="s">
        <v>712</v>
      </c>
      <c r="C362" s="140" t="s">
        <v>1286</v>
      </c>
      <c r="D362" s="140" t="s">
        <v>1291</v>
      </c>
      <c r="E362" s="145" t="s">
        <v>711</v>
      </c>
      <c r="F362" s="146">
        <v>0.99</v>
      </c>
      <c r="G362" s="125">
        <v>17.531586834338949</v>
      </c>
      <c r="H362" s="125">
        <v>0</v>
      </c>
      <c r="I362" s="125">
        <v>17.531586834338949</v>
      </c>
      <c r="J362" s="125">
        <v>-60.125398957693818</v>
      </c>
      <c r="K362" s="125">
        <v>0.35240986570759247</v>
      </c>
      <c r="L362" s="125">
        <v>-59.772989091986226</v>
      </c>
      <c r="M362" s="125">
        <v>17.00563922930878</v>
      </c>
      <c r="N362" s="148">
        <v>0</v>
      </c>
      <c r="O362" s="122">
        <f>VLOOKUP(B362,Data!B:K,10,FALSE)</f>
        <v>0</v>
      </c>
    </row>
    <row r="363" spans="1:15" x14ac:dyDescent="0.25">
      <c r="A363" s="140" t="s">
        <v>1229</v>
      </c>
      <c r="B363" s="140" t="s">
        <v>714</v>
      </c>
      <c r="C363" s="140" t="s">
        <v>1278</v>
      </c>
      <c r="D363" s="140" t="s">
        <v>1299</v>
      </c>
      <c r="E363" s="145" t="s">
        <v>713</v>
      </c>
      <c r="F363" s="146">
        <v>0.4</v>
      </c>
      <c r="G363" s="125">
        <v>2.0495730457196513</v>
      </c>
      <c r="H363" s="125">
        <v>0</v>
      </c>
      <c r="I363" s="125">
        <v>2.0495730457196513</v>
      </c>
      <c r="J363" s="125">
        <v>-2.6433447410322706</v>
      </c>
      <c r="K363" s="125">
        <v>-5.1484846499003201E-2</v>
      </c>
      <c r="L363" s="125">
        <v>-2.6948295875312738</v>
      </c>
      <c r="M363" s="125">
        <v>1.9880858543480617</v>
      </c>
      <c r="N363" s="148">
        <v>0</v>
      </c>
      <c r="O363" s="122" t="str">
        <f>VLOOKUP(B363,Data!B:K,10,FALSE)</f>
        <v>Devon Business Rates Pool</v>
      </c>
    </row>
    <row r="364" spans="1:15" x14ac:dyDescent="0.25">
      <c r="A364" s="140" t="s">
        <v>1230</v>
      </c>
      <c r="B364" s="140" t="s">
        <v>716</v>
      </c>
      <c r="C364" s="140" t="s">
        <v>1278</v>
      </c>
      <c r="D364" s="140">
        <v>0</v>
      </c>
      <c r="E364" s="145" t="s">
        <v>715</v>
      </c>
      <c r="F364" s="146">
        <v>0.4</v>
      </c>
      <c r="G364" s="125">
        <v>3.11966537497532</v>
      </c>
      <c r="H364" s="125">
        <v>0.30734451330915558</v>
      </c>
      <c r="I364" s="125">
        <v>2.8123208616661644</v>
      </c>
      <c r="J364" s="125">
        <v>-10.039869249294638</v>
      </c>
      <c r="K364" s="125">
        <v>3.2606387609183329E-2</v>
      </c>
      <c r="L364" s="125">
        <v>-10.007262861685454</v>
      </c>
      <c r="M364" s="125">
        <v>2.6013967970412022</v>
      </c>
      <c r="N364" s="148">
        <v>0.5</v>
      </c>
      <c r="O364" s="122">
        <f>VLOOKUP(B364,Data!B:K,10,FALSE)</f>
        <v>0</v>
      </c>
    </row>
    <row r="365" spans="1:15" x14ac:dyDescent="0.25">
      <c r="A365" s="140" t="s">
        <v>1231</v>
      </c>
      <c r="B365" s="140" t="s">
        <v>718</v>
      </c>
      <c r="C365" s="140" t="s">
        <v>1278</v>
      </c>
      <c r="D365" s="140">
        <v>0</v>
      </c>
      <c r="E365" s="145" t="s">
        <v>717</v>
      </c>
      <c r="F365" s="146">
        <v>0.4</v>
      </c>
      <c r="G365" s="125">
        <v>3.6219978043680872</v>
      </c>
      <c r="H365" s="125">
        <v>0.43347601936589458</v>
      </c>
      <c r="I365" s="125">
        <v>3.1885217850021927</v>
      </c>
      <c r="J365" s="125">
        <v>-8.3671578669234812</v>
      </c>
      <c r="K365" s="125">
        <v>0.1038059017784736</v>
      </c>
      <c r="L365" s="125">
        <v>-8.2633519651450076</v>
      </c>
      <c r="M365" s="125">
        <v>2.9493826511270282</v>
      </c>
      <c r="N365" s="148">
        <v>0.5</v>
      </c>
      <c r="O365" s="122" t="str">
        <f>VLOOKUP(B365,Data!B:K,10,FALSE)</f>
        <v>Lancashire Business Rates Pool</v>
      </c>
    </row>
    <row r="366" spans="1:15" x14ac:dyDescent="0.25">
      <c r="A366" s="140" t="s">
        <v>1232</v>
      </c>
      <c r="B366" s="140" t="s">
        <v>720</v>
      </c>
      <c r="C366" s="140" t="s">
        <v>1278</v>
      </c>
      <c r="D366" s="140" t="s">
        <v>1290</v>
      </c>
      <c r="E366" s="145" t="s">
        <v>719</v>
      </c>
      <c r="F366" s="146">
        <v>0.60000000000000009</v>
      </c>
      <c r="G366" s="125">
        <v>3.7525974929688779</v>
      </c>
      <c r="H366" s="125">
        <v>0</v>
      </c>
      <c r="I366" s="125">
        <v>3.7525974929688779</v>
      </c>
      <c r="J366" s="125">
        <v>-5.7780751617087773</v>
      </c>
      <c r="K366" s="125">
        <v>4.2855583637987138E-2</v>
      </c>
      <c r="L366" s="125">
        <v>-5.7352195780707902</v>
      </c>
      <c r="M366" s="125">
        <v>3.6400195681798113</v>
      </c>
      <c r="N366" s="148">
        <v>0</v>
      </c>
      <c r="O366" s="122" t="str">
        <f>VLOOKUP(B366,Data!B:K,10,FALSE)</f>
        <v>Lincolnshire Business Rates Pool</v>
      </c>
    </row>
    <row r="367" spans="1:15" x14ac:dyDescent="0.25">
      <c r="A367" s="140" t="s">
        <v>1233</v>
      </c>
      <c r="B367" s="140" t="s">
        <v>98</v>
      </c>
      <c r="C367" s="140" t="s">
        <v>1301</v>
      </c>
      <c r="D367" s="140">
        <v>0</v>
      </c>
      <c r="E367" s="145" t="s">
        <v>786</v>
      </c>
      <c r="F367" s="146">
        <v>0.01</v>
      </c>
      <c r="G367" s="125">
        <v>53.029961163676688</v>
      </c>
      <c r="H367" s="125">
        <v>20.582370281880944</v>
      </c>
      <c r="I367" s="125">
        <v>32.44759088179574</v>
      </c>
      <c r="J367" s="125">
        <v>22.976393019639008</v>
      </c>
      <c r="K367" s="125">
        <v>1.9135461371938334E-2</v>
      </c>
      <c r="L367" s="125">
        <v>22.995528481010947</v>
      </c>
      <c r="M367" s="125">
        <v>30.014021565661061</v>
      </c>
      <c r="N367" s="148">
        <v>0</v>
      </c>
      <c r="O367" s="122">
        <f>VLOOKUP(B367,Data!B:K,10,FALSE)</f>
        <v>0</v>
      </c>
    </row>
    <row r="368" spans="1:15" x14ac:dyDescent="0.25">
      <c r="A368" s="140" t="s">
        <v>1234</v>
      </c>
      <c r="B368" s="140" t="s">
        <v>722</v>
      </c>
      <c r="C368" s="140" t="s">
        <v>1278</v>
      </c>
      <c r="D368" s="140">
        <v>0</v>
      </c>
      <c r="E368" s="145" t="s">
        <v>721</v>
      </c>
      <c r="F368" s="146">
        <v>0.4</v>
      </c>
      <c r="G368" s="125">
        <v>2.4368835567746507</v>
      </c>
      <c r="H368" s="125">
        <v>0.37252855408260505</v>
      </c>
      <c r="I368" s="125">
        <v>2.0643550026920456</v>
      </c>
      <c r="J368" s="125">
        <v>-11.57681346934344</v>
      </c>
      <c r="K368" s="125">
        <v>7.1368177515829245E-4</v>
      </c>
      <c r="L368" s="125">
        <v>-11.576099787568282</v>
      </c>
      <c r="M368" s="125">
        <v>1.9095283774901424</v>
      </c>
      <c r="N368" s="148">
        <v>0.5</v>
      </c>
      <c r="O368" s="122" t="str">
        <f>VLOOKUP(B368,Data!B:K,10,FALSE)</f>
        <v>North Oxfordshire Business Rates Pool</v>
      </c>
    </row>
    <row r="369" spans="1:15" x14ac:dyDescent="0.25">
      <c r="A369" s="140" t="s">
        <v>1235</v>
      </c>
      <c r="B369" s="140" t="s">
        <v>724</v>
      </c>
      <c r="C369" s="140" t="s">
        <v>1278</v>
      </c>
      <c r="D369" s="140">
        <v>0</v>
      </c>
      <c r="E369" s="145" t="s">
        <v>723</v>
      </c>
      <c r="F369" s="146">
        <v>0.4</v>
      </c>
      <c r="G369" s="125">
        <v>1.3271022860593036</v>
      </c>
      <c r="H369" s="125">
        <v>0.17019293006166211</v>
      </c>
      <c r="I369" s="125">
        <v>1.1569093559976416</v>
      </c>
      <c r="J369" s="125">
        <v>-4.9134708196071744</v>
      </c>
      <c r="K369" s="125">
        <v>1.2882074543094957</v>
      </c>
      <c r="L369" s="125">
        <v>-3.6252633652976787</v>
      </c>
      <c r="M369" s="125">
        <v>1.0701411542978185</v>
      </c>
      <c r="N369" s="148">
        <v>0.5</v>
      </c>
      <c r="O369" s="122">
        <f>VLOOKUP(B369,Data!B:K,10,FALSE)</f>
        <v>0</v>
      </c>
    </row>
    <row r="370" spans="1:15" x14ac:dyDescent="0.25">
      <c r="A370" s="140" t="s">
        <v>1236</v>
      </c>
      <c r="B370" s="140" t="s">
        <v>35</v>
      </c>
      <c r="C370" s="140" t="s">
        <v>1298</v>
      </c>
      <c r="D370" s="140">
        <v>0</v>
      </c>
      <c r="E370" s="145" t="s">
        <v>815</v>
      </c>
      <c r="F370" s="146">
        <v>0.1</v>
      </c>
      <c r="G370" s="125">
        <v>88.361227626444062</v>
      </c>
      <c r="H370" s="125">
        <v>12.122186078640848</v>
      </c>
      <c r="I370" s="125">
        <v>76.239041547803211</v>
      </c>
      <c r="J370" s="125">
        <v>44.048296075522586</v>
      </c>
      <c r="K370" s="125">
        <v>0.12692546947742755</v>
      </c>
      <c r="L370" s="125">
        <v>44.175221545000014</v>
      </c>
      <c r="M370" s="125">
        <v>70.521113431717978</v>
      </c>
      <c r="N370" s="148">
        <v>0</v>
      </c>
      <c r="O370" s="122" t="str">
        <f>VLOOKUP(B370,Data!B:K,10,FALSE)</f>
        <v>West Sussex Business Rates Pool</v>
      </c>
    </row>
    <row r="371" spans="1:15" x14ac:dyDescent="0.25">
      <c r="A371" s="140" t="s">
        <v>1237</v>
      </c>
      <c r="B371" s="140" t="s">
        <v>125</v>
      </c>
      <c r="C371" s="140" t="s">
        <v>1301</v>
      </c>
      <c r="D371" s="140">
        <v>0</v>
      </c>
      <c r="E371" s="145" t="s">
        <v>787</v>
      </c>
      <c r="F371" s="146">
        <v>0.01</v>
      </c>
      <c r="G371" s="125">
        <v>38.463837162491913</v>
      </c>
      <c r="H371" s="125">
        <v>14.669803952722951</v>
      </c>
      <c r="I371" s="125">
        <v>23.794033209768958</v>
      </c>
      <c r="J371" s="125">
        <v>16.277200574108004</v>
      </c>
      <c r="K371" s="125">
        <v>1.7210193079804981E-2</v>
      </c>
      <c r="L371" s="125">
        <v>16.294410767187809</v>
      </c>
      <c r="M371" s="125">
        <v>22.009480719036286</v>
      </c>
      <c r="N371" s="148">
        <v>0</v>
      </c>
      <c r="O371" s="122">
        <f>VLOOKUP(B371,Data!B:K,10,FALSE)</f>
        <v>0</v>
      </c>
    </row>
    <row r="372" spans="1:15" x14ac:dyDescent="0.25">
      <c r="A372" s="140" t="s">
        <v>1238</v>
      </c>
      <c r="B372" s="140" t="s">
        <v>726</v>
      </c>
      <c r="C372" s="140" t="s">
        <v>1294</v>
      </c>
      <c r="D372" s="140" t="s">
        <v>1284</v>
      </c>
      <c r="E372" s="145" t="s">
        <v>725</v>
      </c>
      <c r="F372" s="146">
        <v>0.64</v>
      </c>
      <c r="G372" s="125">
        <v>125.0390421176247</v>
      </c>
      <c r="H372" s="125">
        <v>0</v>
      </c>
      <c r="I372" s="125">
        <v>125.0390421176247</v>
      </c>
      <c r="J372" s="125">
        <v>-1256.0274776034262</v>
      </c>
      <c r="K372" s="125">
        <v>-5.6363854218691358</v>
      </c>
      <c r="L372" s="125">
        <v>-1261.6638630252953</v>
      </c>
      <c r="M372" s="125">
        <v>121.28787085409596</v>
      </c>
      <c r="N372" s="148">
        <v>0</v>
      </c>
      <c r="O372" s="122">
        <f>VLOOKUP(B372,Data!B:K,10,FALSE)</f>
        <v>0</v>
      </c>
    </row>
    <row r="373" spans="1:15" x14ac:dyDescent="0.25">
      <c r="A373" s="140" t="s">
        <v>1239</v>
      </c>
      <c r="B373" s="140" t="s">
        <v>728</v>
      </c>
      <c r="C373" s="140" t="s">
        <v>1278</v>
      </c>
      <c r="D373" s="140">
        <v>0</v>
      </c>
      <c r="E373" s="145" t="s">
        <v>727</v>
      </c>
      <c r="F373" s="146">
        <v>0.4</v>
      </c>
      <c r="G373" s="125">
        <v>1.9615703566919491</v>
      </c>
      <c r="H373" s="125">
        <v>0</v>
      </c>
      <c r="I373" s="125">
        <v>1.9615703566919491</v>
      </c>
      <c r="J373" s="125">
        <v>-4.6853766427492394</v>
      </c>
      <c r="K373" s="125">
        <v>1.1119522586200858E-2</v>
      </c>
      <c r="L373" s="125">
        <v>-4.6742571201630385</v>
      </c>
      <c r="M373" s="125">
        <v>1.814452579940053</v>
      </c>
      <c r="N373" s="148">
        <v>0.5</v>
      </c>
      <c r="O373" s="122">
        <f>VLOOKUP(B373,Data!B:K,10,FALSE)</f>
        <v>0</v>
      </c>
    </row>
    <row r="374" spans="1:15" x14ac:dyDescent="0.25">
      <c r="A374" s="140" t="s">
        <v>1240</v>
      </c>
      <c r="B374" s="140" t="s">
        <v>730</v>
      </c>
      <c r="C374" s="140" t="s">
        <v>1285</v>
      </c>
      <c r="D374" s="140" t="s">
        <v>1289</v>
      </c>
      <c r="E374" s="145" t="s">
        <v>729</v>
      </c>
      <c r="F374" s="146">
        <v>0.99</v>
      </c>
      <c r="G374" s="125">
        <v>117.367282922057</v>
      </c>
      <c r="H374" s="125">
        <v>0</v>
      </c>
      <c r="I374" s="125">
        <v>117.367282922057</v>
      </c>
      <c r="J374" s="125">
        <v>43.605765095543532</v>
      </c>
      <c r="K374" s="125">
        <v>0.40387601653364413</v>
      </c>
      <c r="L374" s="125">
        <v>44.009641112077176</v>
      </c>
      <c r="M374" s="125">
        <v>113.84626443439529</v>
      </c>
      <c r="N374" s="148">
        <v>0</v>
      </c>
      <c r="O374" s="122" t="str">
        <f>VLOOKUP(B374,Data!B:K,10,FALSE)</f>
        <v>Greater Manchester &amp; Cheshire Business Rates Pool</v>
      </c>
    </row>
    <row r="375" spans="1:15" x14ac:dyDescent="0.25">
      <c r="A375" s="140" t="s">
        <v>1241</v>
      </c>
      <c r="B375" s="140" t="s">
        <v>732</v>
      </c>
      <c r="C375" s="140" t="s">
        <v>1286</v>
      </c>
      <c r="D375" s="140">
        <v>0</v>
      </c>
      <c r="E375" s="145" t="s">
        <v>1242</v>
      </c>
      <c r="F375" s="146">
        <v>0.49</v>
      </c>
      <c r="G375" s="125">
        <v>63.731532603485121</v>
      </c>
      <c r="H375" s="125">
        <v>8.0460867948099448</v>
      </c>
      <c r="I375" s="125">
        <v>55.685445808675176</v>
      </c>
      <c r="J375" s="125">
        <v>-13.762947350278695</v>
      </c>
      <c r="K375" s="125">
        <v>0.28084738882843396</v>
      </c>
      <c r="L375" s="125">
        <v>-13.482099961450261</v>
      </c>
      <c r="M375" s="125">
        <v>51.50903737302454</v>
      </c>
      <c r="N375" s="148">
        <v>0.19817517300948018</v>
      </c>
      <c r="O375" s="122">
        <f>VLOOKUP(B375,Data!B:K,10,FALSE)</f>
        <v>0</v>
      </c>
    </row>
    <row r="376" spans="1:15" x14ac:dyDescent="0.25">
      <c r="A376" s="140" t="s">
        <v>1243</v>
      </c>
      <c r="B376" s="140" t="s">
        <v>734</v>
      </c>
      <c r="C376" s="140" t="s">
        <v>1278</v>
      </c>
      <c r="D376" s="140">
        <v>0</v>
      </c>
      <c r="E376" s="145" t="s">
        <v>733</v>
      </c>
      <c r="F376" s="146">
        <v>0.4</v>
      </c>
      <c r="G376" s="125">
        <v>2.1526935287923092</v>
      </c>
      <c r="H376" s="125">
        <v>7.5610767597835511E-3</v>
      </c>
      <c r="I376" s="125">
        <v>2.1451324520325259</v>
      </c>
      <c r="J376" s="125">
        <v>-19.65116525499997</v>
      </c>
      <c r="K376" s="125">
        <v>-1.7347576621322247E-2</v>
      </c>
      <c r="L376" s="125">
        <v>-19.668512831621292</v>
      </c>
      <c r="M376" s="125">
        <v>1.9842475181300865</v>
      </c>
      <c r="N376" s="148">
        <v>0.5</v>
      </c>
      <c r="O376" s="122">
        <f>VLOOKUP(B376,Data!B:K,10,FALSE)</f>
        <v>0</v>
      </c>
    </row>
    <row r="377" spans="1:15" x14ac:dyDescent="0.25">
      <c r="A377" s="140" t="s">
        <v>1244</v>
      </c>
      <c r="B377" s="140" t="s">
        <v>736</v>
      </c>
      <c r="C377" s="140" t="s">
        <v>1286</v>
      </c>
      <c r="D377" s="140" t="s">
        <v>1291</v>
      </c>
      <c r="E377" s="145" t="s">
        <v>735</v>
      </c>
      <c r="F377" s="146">
        <v>0.99</v>
      </c>
      <c r="G377" s="125">
        <v>12.794218313070619</v>
      </c>
      <c r="H377" s="125">
        <v>0</v>
      </c>
      <c r="I377" s="125">
        <v>12.794218313070619</v>
      </c>
      <c r="J377" s="125">
        <v>-71.800478943684382</v>
      </c>
      <c r="K377" s="125">
        <v>1.6217729046379361</v>
      </c>
      <c r="L377" s="125">
        <v>-70.178706039046446</v>
      </c>
      <c r="M377" s="125">
        <v>12.410391763678501</v>
      </c>
      <c r="N377" s="148">
        <v>0</v>
      </c>
      <c r="O377" s="122">
        <f>VLOOKUP(B377,Data!B:K,10,FALSE)</f>
        <v>0</v>
      </c>
    </row>
    <row r="378" spans="1:15" x14ac:dyDescent="0.25">
      <c r="A378" s="140" t="s">
        <v>1245</v>
      </c>
      <c r="B378" s="140" t="s">
        <v>738</v>
      </c>
      <c r="C378" s="140" t="s">
        <v>1285</v>
      </c>
      <c r="D378" s="140" t="s">
        <v>1302</v>
      </c>
      <c r="E378" s="145" t="s">
        <v>737</v>
      </c>
      <c r="F378" s="146">
        <v>0.99</v>
      </c>
      <c r="G378" s="125">
        <v>119.56642713275853</v>
      </c>
      <c r="H378" s="125">
        <v>0</v>
      </c>
      <c r="I378" s="125">
        <v>119.56642713275853</v>
      </c>
      <c r="J378" s="125">
        <v>56.110500722161184</v>
      </c>
      <c r="K378" s="125">
        <v>0.9995332671438959</v>
      </c>
      <c r="L378" s="125">
        <v>57.11003398930508</v>
      </c>
      <c r="M378" s="125">
        <v>115.97943431877577</v>
      </c>
      <c r="N378" s="148">
        <v>0</v>
      </c>
      <c r="O378" s="122">
        <f>VLOOKUP(B378,Data!B:K,10,FALSE)</f>
        <v>0</v>
      </c>
    </row>
    <row r="379" spans="1:15" x14ac:dyDescent="0.25">
      <c r="A379" s="140" t="s">
        <v>1246</v>
      </c>
      <c r="B379" s="140" t="s">
        <v>740</v>
      </c>
      <c r="C379" s="140" t="s">
        <v>1278</v>
      </c>
      <c r="D379" s="140" t="s">
        <v>1300</v>
      </c>
      <c r="E379" s="145" t="s">
        <v>739</v>
      </c>
      <c r="F379" s="146">
        <v>0.30000000000000004</v>
      </c>
      <c r="G379" s="125">
        <v>2.0533469538730147</v>
      </c>
      <c r="H379" s="125">
        <v>0</v>
      </c>
      <c r="I379" s="125">
        <v>2.0533469538730147</v>
      </c>
      <c r="J379" s="125">
        <v>-11.330431134793956</v>
      </c>
      <c r="K379" s="125">
        <v>-4.0991929209576838E-2</v>
      </c>
      <c r="L379" s="125">
        <v>-11.371423064003533</v>
      </c>
      <c r="M379" s="125">
        <v>1.9917465452568242</v>
      </c>
      <c r="N379" s="148">
        <v>0</v>
      </c>
      <c r="O379" s="122">
        <f>VLOOKUP(B379,Data!B:K,10,FALSE)</f>
        <v>0</v>
      </c>
    </row>
    <row r="380" spans="1:15" x14ac:dyDescent="0.25">
      <c r="A380" s="140" t="s">
        <v>1247</v>
      </c>
      <c r="B380" s="140" t="s">
        <v>742</v>
      </c>
      <c r="C380" s="140" t="s">
        <v>1286</v>
      </c>
      <c r="D380" s="140" t="s">
        <v>1291</v>
      </c>
      <c r="E380" s="145" t="s">
        <v>741</v>
      </c>
      <c r="F380" s="146">
        <v>0.99</v>
      </c>
      <c r="G380" s="125">
        <v>13.583676081846013</v>
      </c>
      <c r="H380" s="125">
        <v>0</v>
      </c>
      <c r="I380" s="125">
        <v>13.583676081846013</v>
      </c>
      <c r="J380" s="125">
        <v>-51.685055915760195</v>
      </c>
      <c r="K380" s="125">
        <v>-1.112119484190643</v>
      </c>
      <c r="L380" s="125">
        <v>-52.797175399950838</v>
      </c>
      <c r="M380" s="125">
        <v>13.176165799390633</v>
      </c>
      <c r="N380" s="148">
        <v>0</v>
      </c>
      <c r="O380" s="122">
        <f>VLOOKUP(B380,Data!B:K,10,FALSE)</f>
        <v>0</v>
      </c>
    </row>
    <row r="381" spans="1:15" x14ac:dyDescent="0.25">
      <c r="A381" s="140" t="s">
        <v>1248</v>
      </c>
      <c r="B381" s="140" t="s">
        <v>744</v>
      </c>
      <c r="C381" s="140" t="s">
        <v>1285</v>
      </c>
      <c r="D381" s="140" t="s">
        <v>1288</v>
      </c>
      <c r="E381" s="145" t="s">
        <v>743</v>
      </c>
      <c r="F381" s="146">
        <v>0.99</v>
      </c>
      <c r="G381" s="125">
        <v>106.93857506914793</v>
      </c>
      <c r="H381" s="125">
        <v>0</v>
      </c>
      <c r="I381" s="125">
        <v>106.93857506914793</v>
      </c>
      <c r="J381" s="125">
        <v>34.23559039589594</v>
      </c>
      <c r="K381" s="125">
        <v>0.10931181010224122</v>
      </c>
      <c r="L381" s="125">
        <v>34.344902205998181</v>
      </c>
      <c r="M381" s="125">
        <v>103.73041781707349</v>
      </c>
      <c r="N381" s="148">
        <v>0</v>
      </c>
      <c r="O381" s="122">
        <f>VLOOKUP(B381,Data!B:K,10,FALSE)</f>
        <v>0</v>
      </c>
    </row>
    <row r="382" spans="1:15" x14ac:dyDescent="0.25">
      <c r="A382" s="140" t="s">
        <v>1249</v>
      </c>
      <c r="B382" s="140" t="s">
        <v>746</v>
      </c>
      <c r="C382" s="140" t="s">
        <v>1278</v>
      </c>
      <c r="D382" s="140">
        <v>0</v>
      </c>
      <c r="E382" s="145" t="s">
        <v>745</v>
      </c>
      <c r="F382" s="146">
        <v>0.4</v>
      </c>
      <c r="G382" s="125">
        <v>2.8215675623932728</v>
      </c>
      <c r="H382" s="125">
        <v>0.30597016642873548</v>
      </c>
      <c r="I382" s="125">
        <v>2.5155973959645372</v>
      </c>
      <c r="J382" s="125">
        <v>-12.859620623998049</v>
      </c>
      <c r="K382" s="125">
        <v>2.096409040277436E-2</v>
      </c>
      <c r="L382" s="125">
        <v>-12.838656533595275</v>
      </c>
      <c r="M382" s="125">
        <v>2.3269275912671969</v>
      </c>
      <c r="N382" s="148">
        <v>0.5</v>
      </c>
      <c r="O382" s="122" t="str">
        <f>VLOOKUP(B382,Data!B:K,10,FALSE)</f>
        <v>Worcestershire Business Rates Pool</v>
      </c>
    </row>
    <row r="383" spans="1:15" x14ac:dyDescent="0.25">
      <c r="A383" s="140" t="s">
        <v>1250</v>
      </c>
      <c r="B383" s="140" t="s">
        <v>149</v>
      </c>
      <c r="C383" s="140" t="s">
        <v>1293</v>
      </c>
      <c r="D383" s="140">
        <v>0</v>
      </c>
      <c r="E383" s="145" t="s">
        <v>816</v>
      </c>
      <c r="F383" s="146">
        <v>0.09</v>
      </c>
      <c r="G383" s="125">
        <v>70.506620064396188</v>
      </c>
      <c r="H383" s="125">
        <v>9.4355195044865319</v>
      </c>
      <c r="I383" s="125">
        <v>61.071100559909659</v>
      </c>
      <c r="J383" s="125">
        <v>45.135702767372962</v>
      </c>
      <c r="K383" s="125">
        <v>8.4959506414676866E-3</v>
      </c>
      <c r="L383" s="125">
        <v>45.14419871801443</v>
      </c>
      <c r="M383" s="125">
        <v>56.490768017916437</v>
      </c>
      <c r="N383" s="148">
        <v>0</v>
      </c>
      <c r="O383" s="122" t="str">
        <f>VLOOKUP(B383,Data!B:K,10,FALSE)</f>
        <v>Worcestershire Business Rates Pool</v>
      </c>
    </row>
    <row r="384" spans="1:15" x14ac:dyDescent="0.25">
      <c r="A384" s="140" t="s">
        <v>1251</v>
      </c>
      <c r="B384" s="140" t="s">
        <v>748</v>
      </c>
      <c r="C384" s="140" t="s">
        <v>1278</v>
      </c>
      <c r="D384" s="140">
        <v>0</v>
      </c>
      <c r="E384" s="145" t="s">
        <v>747</v>
      </c>
      <c r="F384" s="146">
        <v>0.4</v>
      </c>
      <c r="G384" s="125">
        <v>2.5977106359878501</v>
      </c>
      <c r="H384" s="125">
        <v>7.6800584676563737E-3</v>
      </c>
      <c r="I384" s="125">
        <v>2.5900305775201939</v>
      </c>
      <c r="J384" s="125">
        <v>-9.8385434747289189</v>
      </c>
      <c r="K384" s="125">
        <v>-1.1307970084981633E-2</v>
      </c>
      <c r="L384" s="125">
        <v>-9.8498514448139005</v>
      </c>
      <c r="M384" s="125">
        <v>2.3957782842061794</v>
      </c>
      <c r="N384" s="148">
        <v>0.5</v>
      </c>
      <c r="O384" s="122" t="str">
        <f>VLOOKUP(B384,Data!B:K,10,FALSE)</f>
        <v>West Sussex Business Rates Pool</v>
      </c>
    </row>
    <row r="385" spans="1:15" x14ac:dyDescent="0.25">
      <c r="A385" s="140" t="s">
        <v>1252</v>
      </c>
      <c r="B385" s="140" t="s">
        <v>750</v>
      </c>
      <c r="C385" s="140" t="s">
        <v>1278</v>
      </c>
      <c r="D385" s="140">
        <v>0</v>
      </c>
      <c r="E385" s="145" t="s">
        <v>749</v>
      </c>
      <c r="F385" s="146">
        <v>0.4</v>
      </c>
      <c r="G385" s="125">
        <v>2.7622863163389804</v>
      </c>
      <c r="H385" s="125">
        <v>0.21101990245296712</v>
      </c>
      <c r="I385" s="125">
        <v>2.5512664138860131</v>
      </c>
      <c r="J385" s="125">
        <v>-12.882698821316643</v>
      </c>
      <c r="K385" s="125">
        <v>7.1535842812350481E-2</v>
      </c>
      <c r="L385" s="125">
        <v>-12.811162978504292</v>
      </c>
      <c r="M385" s="125">
        <v>2.3599214328445624</v>
      </c>
      <c r="N385" s="148">
        <v>0.5</v>
      </c>
      <c r="O385" s="122" t="str">
        <f>VLOOKUP(B385,Data!B:K,10,FALSE)</f>
        <v>Worcestershire Business Rates Pool</v>
      </c>
    </row>
    <row r="386" spans="1:15" x14ac:dyDescent="0.25">
      <c r="A386" s="140" t="s">
        <v>1253</v>
      </c>
      <c r="B386" s="140" t="s">
        <v>752</v>
      </c>
      <c r="C386" s="140" t="s">
        <v>1278</v>
      </c>
      <c r="D386" s="140">
        <v>0</v>
      </c>
      <c r="E386" s="145" t="s">
        <v>751</v>
      </c>
      <c r="F386" s="146">
        <v>0.4</v>
      </c>
      <c r="G386" s="125">
        <v>3.3355034674572548</v>
      </c>
      <c r="H386" s="125">
        <v>0.11669392400904559</v>
      </c>
      <c r="I386" s="125">
        <v>3.2188095434482094</v>
      </c>
      <c r="J386" s="125">
        <v>-24.27097171236742</v>
      </c>
      <c r="K386" s="125">
        <v>6.3087073752253531E-2</v>
      </c>
      <c r="L386" s="125">
        <v>-24.207884638615166</v>
      </c>
      <c r="M386" s="125">
        <v>2.9773988276895937</v>
      </c>
      <c r="N386" s="148">
        <v>0.5</v>
      </c>
      <c r="O386" s="122">
        <f>VLOOKUP(B386,Data!B:K,10,FALSE)</f>
        <v>0</v>
      </c>
    </row>
    <row r="387" spans="1:15" x14ac:dyDescent="0.25">
      <c r="A387" s="140" t="s">
        <v>1254</v>
      </c>
      <c r="B387" s="140" t="s">
        <v>754</v>
      </c>
      <c r="C387" s="140" t="s">
        <v>1278</v>
      </c>
      <c r="D387" s="140">
        <v>0</v>
      </c>
      <c r="E387" s="145" t="s">
        <v>753</v>
      </c>
      <c r="F387" s="146">
        <v>0.4</v>
      </c>
      <c r="G387" s="125">
        <v>3.7450648344069166</v>
      </c>
      <c r="H387" s="125">
        <v>0.46561262400147507</v>
      </c>
      <c r="I387" s="125">
        <v>3.2794522104054415</v>
      </c>
      <c r="J387" s="125">
        <v>-6.5771631223066764</v>
      </c>
      <c r="K387" s="125">
        <v>2.1036947277609741E-2</v>
      </c>
      <c r="L387" s="125">
        <v>-6.5561261750290667</v>
      </c>
      <c r="M387" s="125">
        <v>3.0334932946250337</v>
      </c>
      <c r="N387" s="148">
        <v>0.5</v>
      </c>
      <c r="O387" s="122" t="str">
        <f>VLOOKUP(B387,Data!B:K,10,FALSE)</f>
        <v>Lancashire Business Rates Pool</v>
      </c>
    </row>
    <row r="388" spans="1:15" x14ac:dyDescent="0.25">
      <c r="A388" s="140" t="s">
        <v>1255</v>
      </c>
      <c r="B388" s="140" t="s">
        <v>756</v>
      </c>
      <c r="C388" s="140" t="s">
        <v>1278</v>
      </c>
      <c r="D388" s="140">
        <v>0</v>
      </c>
      <c r="E388" s="145" t="s">
        <v>755</v>
      </c>
      <c r="F388" s="146">
        <v>0.4</v>
      </c>
      <c r="G388" s="125">
        <v>2.8356358768802958</v>
      </c>
      <c r="H388" s="125">
        <v>0.10068312409478798</v>
      </c>
      <c r="I388" s="125">
        <v>2.734952752785508</v>
      </c>
      <c r="J388" s="125">
        <v>-8.1569690986559991</v>
      </c>
      <c r="K388" s="125">
        <v>6.2788714530839229E-3</v>
      </c>
      <c r="L388" s="125">
        <v>-8.1506902272029151</v>
      </c>
      <c r="M388" s="125">
        <v>2.529831296326595</v>
      </c>
      <c r="N388" s="148">
        <v>0.5</v>
      </c>
      <c r="O388" s="122" t="str">
        <f>VLOOKUP(B388,Data!B:K,10,FALSE)</f>
        <v>Worcestershire Business Rates Pool</v>
      </c>
    </row>
    <row r="389" spans="1:15" x14ac:dyDescent="0.25">
      <c r="A389" s="140" t="s">
        <v>1256</v>
      </c>
      <c r="B389" s="140" t="s">
        <v>758</v>
      </c>
      <c r="C389" s="140" t="s">
        <v>1286</v>
      </c>
      <c r="D389" s="140" t="s">
        <v>1292</v>
      </c>
      <c r="E389" s="145" t="s">
        <v>757</v>
      </c>
      <c r="F389" s="146">
        <v>0.99</v>
      </c>
      <c r="G389" s="125">
        <v>30.119602122146578</v>
      </c>
      <c r="H389" s="125">
        <v>0</v>
      </c>
      <c r="I389" s="125">
        <v>30.119602122146578</v>
      </c>
      <c r="J389" s="125">
        <v>-63.383465961280585</v>
      </c>
      <c r="K389" s="125">
        <v>0.24795664408186013</v>
      </c>
      <c r="L389" s="125">
        <v>-63.135509317198725</v>
      </c>
      <c r="M389" s="125">
        <v>29.21601405848218</v>
      </c>
      <c r="N389" s="148">
        <v>0</v>
      </c>
      <c r="O389" s="122" t="str">
        <f>VLOOKUP(B389,Data!B:K,10,FALSE)</f>
        <v>Leeds City Region Business Rates Pool</v>
      </c>
    </row>
    <row r="390" spans="1:15" x14ac:dyDescent="0.25">
      <c r="A390" s="122" t="s">
        <v>1306</v>
      </c>
      <c r="B390" s="140" t="s">
        <v>1307</v>
      </c>
      <c r="C390" s="121" t="s">
        <v>1308</v>
      </c>
      <c r="D390" s="150" t="s">
        <v>1309</v>
      </c>
      <c r="E390" s="122" t="s">
        <v>1310</v>
      </c>
      <c r="F390" s="146">
        <v>0.05</v>
      </c>
      <c r="G390" s="125">
        <v>17.571999999999999</v>
      </c>
      <c r="H390" s="125">
        <v>0</v>
      </c>
      <c r="I390" s="125">
        <v>17.571999999999999</v>
      </c>
      <c r="J390" s="125">
        <v>-2.5049070057656468</v>
      </c>
      <c r="K390" s="151">
        <v>-4.2384570723809301E-2</v>
      </c>
      <c r="L390" s="125">
        <v>-2.5472915764894561</v>
      </c>
      <c r="M390" s="125">
        <v>17.044839999999997</v>
      </c>
      <c r="N390" s="148">
        <v>0</v>
      </c>
    </row>
    <row r="391" spans="1:15" x14ac:dyDescent="0.25">
      <c r="A391" s="122" t="s">
        <v>1311</v>
      </c>
      <c r="B391" s="140" t="s">
        <v>1312</v>
      </c>
      <c r="C391" s="121" t="s">
        <v>1308</v>
      </c>
      <c r="D391" s="150" t="s">
        <v>1309</v>
      </c>
      <c r="E391" s="122" t="s">
        <v>1313</v>
      </c>
      <c r="F391" s="146">
        <v>0</v>
      </c>
      <c r="G391" s="125">
        <v>43.377000000000002</v>
      </c>
      <c r="H391" s="125">
        <v>0</v>
      </c>
      <c r="I391" s="125">
        <v>43.377000000000002</v>
      </c>
      <c r="J391" s="125">
        <v>43.377000000000002</v>
      </c>
      <c r="K391" s="125">
        <v>0</v>
      </c>
      <c r="L391" s="125">
        <v>43.377000000000002</v>
      </c>
      <c r="M391" s="125">
        <v>42.075690000000002</v>
      </c>
      <c r="N391" s="148">
        <v>0</v>
      </c>
    </row>
  </sheetData>
  <autoFilter ref="A6:O391"/>
  <mergeCells count="1">
    <mergeCell ref="G3:M3"/>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8"/>
  <sheetViews>
    <sheetView workbookViewId="0">
      <pane xSplit="5" ySplit="4" topLeftCell="F43" activePane="bottomRight" state="frozen"/>
      <selection activeCell="D9" sqref="D9"/>
      <selection pane="topRight" activeCell="D9" sqref="D9"/>
      <selection pane="bottomLeft" activeCell="D9" sqref="D9"/>
      <selection pane="bottomRight" activeCell="K51" sqref="K51"/>
    </sheetView>
  </sheetViews>
  <sheetFormatPr defaultRowHeight="15" x14ac:dyDescent="0.25"/>
  <cols>
    <col min="1" max="1" width="5.5703125" style="200" bestFit="1" customWidth="1"/>
    <col min="2" max="2" width="6.42578125" style="200" bestFit="1" customWidth="1"/>
    <col min="3" max="3" width="8.42578125" style="200" bestFit="1" customWidth="1"/>
    <col min="4" max="4" width="6.140625" style="200" bestFit="1" customWidth="1"/>
    <col min="5" max="5" width="39.5703125" style="200" customWidth="1"/>
    <col min="6" max="6" width="8.7109375" style="227" bestFit="1" customWidth="1"/>
    <col min="7" max="7" width="16.42578125" style="203" bestFit="1" customWidth="1"/>
    <col min="8" max="8" width="15.42578125" style="203" bestFit="1" customWidth="1"/>
    <col min="9" max="9" width="16.42578125" style="203" bestFit="1" customWidth="1"/>
    <col min="10" max="10" width="14.5703125" style="203" bestFit="1" customWidth="1"/>
    <col min="11" max="11" width="14.140625" style="203" customWidth="1"/>
    <col min="12" max="12" width="14.5703125" style="203" bestFit="1" customWidth="1"/>
    <col min="13" max="13" width="15.42578125" style="203" bestFit="1" customWidth="1"/>
    <col min="14" max="14" width="9" style="204" bestFit="1" customWidth="1"/>
    <col min="15" max="16384" width="9.140625" style="200"/>
  </cols>
  <sheetData>
    <row r="1" spans="1:14" x14ac:dyDescent="0.25">
      <c r="E1" s="201" t="s">
        <v>1345</v>
      </c>
      <c r="F1" s="202"/>
    </row>
    <row r="2" spans="1:14" ht="15.75" thickBot="1" x14ac:dyDescent="0.3">
      <c r="E2" s="205" t="s">
        <v>1346</v>
      </c>
      <c r="F2" s="202"/>
      <c r="G2" s="206"/>
      <c r="H2" s="206"/>
      <c r="I2" s="206"/>
      <c r="J2" s="206"/>
      <c r="K2" s="206"/>
      <c r="L2" s="206"/>
      <c r="M2" s="206"/>
      <c r="N2" s="207"/>
    </row>
    <row r="3" spans="1:14" x14ac:dyDescent="0.25">
      <c r="A3" s="208"/>
      <c r="B3" s="208"/>
      <c r="C3" s="208"/>
      <c r="D3" s="208"/>
      <c r="E3" s="209"/>
      <c r="F3" s="210"/>
      <c r="G3" s="236" t="s">
        <v>1269</v>
      </c>
      <c r="H3" s="236"/>
      <c r="I3" s="236"/>
      <c r="J3" s="236"/>
      <c r="K3" s="236"/>
      <c r="L3" s="236"/>
      <c r="M3" s="236"/>
      <c r="N3" s="211"/>
    </row>
    <row r="4" spans="1:14" ht="61.5" customHeight="1" thickBot="1" x14ac:dyDescent="0.3">
      <c r="A4" s="212" t="s">
        <v>822</v>
      </c>
      <c r="B4" s="212" t="s">
        <v>1270</v>
      </c>
      <c r="C4" s="212" t="s">
        <v>1271</v>
      </c>
      <c r="D4" s="212" t="s">
        <v>1272</v>
      </c>
      <c r="E4" s="213" t="s">
        <v>25</v>
      </c>
      <c r="F4" s="214" t="s">
        <v>1263</v>
      </c>
      <c r="G4" s="215" t="s">
        <v>823</v>
      </c>
      <c r="H4" s="215" t="s">
        <v>824</v>
      </c>
      <c r="I4" s="215" t="s">
        <v>825</v>
      </c>
      <c r="J4" s="215" t="s">
        <v>1273</v>
      </c>
      <c r="K4" s="215" t="s">
        <v>1347</v>
      </c>
      <c r="L4" s="215" t="s">
        <v>1275</v>
      </c>
      <c r="M4" s="215" t="s">
        <v>4</v>
      </c>
      <c r="N4" s="216" t="s">
        <v>5</v>
      </c>
    </row>
    <row r="5" spans="1:14" x14ac:dyDescent="0.25">
      <c r="A5" s="217"/>
      <c r="B5" s="217"/>
      <c r="C5" s="217"/>
      <c r="D5" s="217"/>
      <c r="E5" s="218"/>
      <c r="F5" s="219"/>
      <c r="G5" s="220"/>
      <c r="H5" s="220"/>
      <c r="I5" s="220"/>
      <c r="J5" s="220"/>
      <c r="K5" s="220"/>
      <c r="L5" s="220"/>
      <c r="M5" s="220"/>
      <c r="N5" s="221"/>
    </row>
    <row r="6" spans="1:14" x14ac:dyDescent="0.25">
      <c r="A6" s="217" t="s">
        <v>832</v>
      </c>
      <c r="B6" s="217" t="s">
        <v>43</v>
      </c>
      <c r="C6" s="217" t="s">
        <v>1278</v>
      </c>
      <c r="D6" s="217" t="s">
        <v>1279</v>
      </c>
      <c r="E6" s="222" t="s">
        <v>42</v>
      </c>
      <c r="F6" s="223">
        <v>0.4</v>
      </c>
      <c r="G6" s="203">
        <v>3.5672974820664227</v>
      </c>
      <c r="H6" s="203">
        <v>0.46765328282597007</v>
      </c>
      <c r="I6" s="203">
        <v>3.0996441992404526</v>
      </c>
      <c r="J6" s="203">
        <v>-8.9247845022403851</v>
      </c>
      <c r="K6" s="203">
        <v>-4.8595435485943028E-2</v>
      </c>
      <c r="L6" s="203">
        <v>-8.9733799377263281</v>
      </c>
      <c r="M6" s="203">
        <v>2.8671708842974186</v>
      </c>
      <c r="N6" s="224">
        <v>0.5</v>
      </c>
    </row>
    <row r="7" spans="1:14" x14ac:dyDescent="0.25">
      <c r="A7" s="217" t="s">
        <v>836</v>
      </c>
      <c r="B7" s="217" t="s">
        <v>53</v>
      </c>
      <c r="C7" s="217" t="s">
        <v>1278</v>
      </c>
      <c r="D7" s="217" t="s">
        <v>1280</v>
      </c>
      <c r="E7" s="222" t="s">
        <v>52</v>
      </c>
      <c r="F7" s="223">
        <v>0.4</v>
      </c>
      <c r="G7" s="203">
        <v>2.9809311643935845</v>
      </c>
      <c r="H7" s="203">
        <v>0.21287168234466017</v>
      </c>
      <c r="I7" s="203">
        <v>2.7680594820489244</v>
      </c>
      <c r="J7" s="203">
        <v>-15.504486426259248</v>
      </c>
      <c r="K7" s="203">
        <v>0.21017298366544068</v>
      </c>
      <c r="L7" s="203">
        <v>-15.294313442593808</v>
      </c>
      <c r="M7" s="203">
        <v>2.560455020895255</v>
      </c>
      <c r="N7" s="224">
        <v>0.5</v>
      </c>
    </row>
    <row r="8" spans="1:14" x14ac:dyDescent="0.25">
      <c r="A8" s="217" t="s">
        <v>842</v>
      </c>
      <c r="B8" s="217" t="s">
        <v>63</v>
      </c>
      <c r="C8" s="217" t="s">
        <v>1278</v>
      </c>
      <c r="D8" s="217" t="s">
        <v>1282</v>
      </c>
      <c r="E8" s="222" t="s">
        <v>62</v>
      </c>
      <c r="F8" s="223">
        <v>0.4</v>
      </c>
      <c r="G8" s="203">
        <v>2.2613635884601093</v>
      </c>
      <c r="H8" s="203">
        <v>0.20410003098689114</v>
      </c>
      <c r="I8" s="203">
        <v>2.0572635574732181</v>
      </c>
      <c r="J8" s="203">
        <v>-6.9212267748204033</v>
      </c>
      <c r="K8" s="203">
        <v>-3.6501419324643791E-3</v>
      </c>
      <c r="L8" s="203">
        <v>-6.9248769167528677</v>
      </c>
      <c r="M8" s="203">
        <v>1.9029687906627268</v>
      </c>
      <c r="N8" s="224">
        <v>0.5</v>
      </c>
    </row>
    <row r="9" spans="1:14" x14ac:dyDescent="0.25">
      <c r="A9" s="217" t="s">
        <v>843</v>
      </c>
      <c r="B9" s="217" t="s">
        <v>67</v>
      </c>
      <c r="C9" s="217" t="s">
        <v>1283</v>
      </c>
      <c r="D9" s="217" t="s">
        <v>1284</v>
      </c>
      <c r="E9" s="222" t="s">
        <v>66</v>
      </c>
      <c r="F9" s="223">
        <v>0.3</v>
      </c>
      <c r="G9" s="203">
        <v>78.793495752442027</v>
      </c>
      <c r="H9" s="203">
        <v>23.291607532016904</v>
      </c>
      <c r="I9" s="203">
        <v>55.50188822042513</v>
      </c>
      <c r="J9" s="203">
        <v>37.358707653314582</v>
      </c>
      <c r="K9" s="203">
        <v>-0.1647800280218874</v>
      </c>
      <c r="L9" s="203">
        <v>37.193927625292694</v>
      </c>
      <c r="M9" s="203">
        <v>51.339246603893244</v>
      </c>
      <c r="N9" s="224">
        <v>0</v>
      </c>
    </row>
    <row r="10" spans="1:14" x14ac:dyDescent="0.25">
      <c r="A10" s="217" t="s">
        <v>844</v>
      </c>
      <c r="B10" s="217" t="s">
        <v>71</v>
      </c>
      <c r="C10" s="217" t="s">
        <v>1283</v>
      </c>
      <c r="D10" s="217" t="s">
        <v>1284</v>
      </c>
      <c r="E10" s="222" t="s">
        <v>70</v>
      </c>
      <c r="F10" s="223">
        <v>0.3</v>
      </c>
      <c r="G10" s="203">
        <v>71.359389440818205</v>
      </c>
      <c r="H10" s="203">
        <v>14.864778746181884</v>
      </c>
      <c r="I10" s="203">
        <v>56.494610694636322</v>
      </c>
      <c r="J10" s="203">
        <v>18.979922839078093</v>
      </c>
      <c r="K10" s="203">
        <v>6.3980150726244744E-2</v>
      </c>
      <c r="L10" s="203">
        <v>19.043902989804337</v>
      </c>
      <c r="M10" s="203">
        <v>52.257514892538602</v>
      </c>
      <c r="N10" s="224">
        <v>0</v>
      </c>
    </row>
    <row r="11" spans="1:14" x14ac:dyDescent="0.25">
      <c r="A11" s="217" t="s">
        <v>851</v>
      </c>
      <c r="B11" s="217" t="s">
        <v>88</v>
      </c>
      <c r="C11" s="217" t="s">
        <v>1286</v>
      </c>
      <c r="D11" s="217" t="s">
        <v>1287</v>
      </c>
      <c r="E11" s="222" t="s">
        <v>87</v>
      </c>
      <c r="F11" s="223">
        <v>0.49</v>
      </c>
      <c r="G11" s="203">
        <v>27.170502954610509</v>
      </c>
      <c r="H11" s="203">
        <v>4.3837963155501747</v>
      </c>
      <c r="I11" s="203">
        <v>22.786706639060334</v>
      </c>
      <c r="J11" s="203">
        <v>-9.2039737140108304</v>
      </c>
      <c r="K11" s="203">
        <v>-3.1155194087169491E-2</v>
      </c>
      <c r="L11" s="203">
        <v>-9.2351289080979999</v>
      </c>
      <c r="M11" s="203">
        <v>21.07770364113081</v>
      </c>
      <c r="N11" s="224">
        <v>0.28770797394070224</v>
      </c>
    </row>
    <row r="12" spans="1:14" x14ac:dyDescent="0.25">
      <c r="A12" s="217" t="s">
        <v>857</v>
      </c>
      <c r="B12" s="217" t="s">
        <v>95</v>
      </c>
      <c r="C12" s="217" t="s">
        <v>1283</v>
      </c>
      <c r="D12" s="217" t="s">
        <v>1284</v>
      </c>
      <c r="E12" s="222" t="s">
        <v>94</v>
      </c>
      <c r="F12" s="223">
        <v>0.3</v>
      </c>
      <c r="G12" s="203">
        <v>43.782905709468949</v>
      </c>
      <c r="H12" s="203">
        <v>8.5266340759280244</v>
      </c>
      <c r="I12" s="203">
        <v>35.256271633540926</v>
      </c>
      <c r="J12" s="203">
        <v>16.154419294096012</v>
      </c>
      <c r="K12" s="203">
        <v>-4.4544226426818767E-2</v>
      </c>
      <c r="L12" s="203">
        <v>16.109875067669194</v>
      </c>
      <c r="M12" s="203">
        <v>32.612051261025357</v>
      </c>
      <c r="N12" s="224">
        <v>0</v>
      </c>
    </row>
    <row r="13" spans="1:14" x14ac:dyDescent="0.25">
      <c r="A13" s="217" t="s">
        <v>858</v>
      </c>
      <c r="B13" s="217" t="s">
        <v>97</v>
      </c>
      <c r="C13" s="217" t="s">
        <v>1285</v>
      </c>
      <c r="D13" s="217" t="s">
        <v>1288</v>
      </c>
      <c r="E13" s="222" t="s">
        <v>96</v>
      </c>
      <c r="F13" s="223">
        <v>0.49</v>
      </c>
      <c r="G13" s="203">
        <v>488.56479292965287</v>
      </c>
      <c r="H13" s="203">
        <v>143.99173001816942</v>
      </c>
      <c r="I13" s="203">
        <v>344.57306291148342</v>
      </c>
      <c r="J13" s="203">
        <v>147.27137407748174</v>
      </c>
      <c r="K13" s="203">
        <v>0.89541222943259413</v>
      </c>
      <c r="L13" s="203">
        <v>148.16678630691433</v>
      </c>
      <c r="M13" s="203">
        <v>318.7300831931222</v>
      </c>
      <c r="N13" s="224">
        <v>0</v>
      </c>
    </row>
    <row r="14" spans="1:14" x14ac:dyDescent="0.25">
      <c r="A14" s="217" t="s">
        <v>863</v>
      </c>
      <c r="B14" s="217" t="s">
        <v>110</v>
      </c>
      <c r="C14" s="217" t="s">
        <v>1278</v>
      </c>
      <c r="D14" s="217" t="s">
        <v>1279</v>
      </c>
      <c r="E14" s="222" t="s">
        <v>109</v>
      </c>
      <c r="F14" s="223">
        <v>0.4</v>
      </c>
      <c r="G14" s="203">
        <v>4.372881712201413</v>
      </c>
      <c r="H14" s="203">
        <v>1.557898782341375</v>
      </c>
      <c r="I14" s="203">
        <v>2.814982929860038</v>
      </c>
      <c r="J14" s="203">
        <v>-5.477469277644909</v>
      </c>
      <c r="K14" s="203">
        <v>3.6646141932481058E-2</v>
      </c>
      <c r="L14" s="203">
        <v>-5.4408231357124279</v>
      </c>
      <c r="M14" s="203">
        <v>2.6038592101205351</v>
      </c>
      <c r="N14" s="224">
        <v>0.5</v>
      </c>
    </row>
    <row r="15" spans="1:14" x14ac:dyDescent="0.25">
      <c r="A15" s="217" t="s">
        <v>864</v>
      </c>
      <c r="B15" s="217" t="s">
        <v>112</v>
      </c>
      <c r="C15" s="217" t="s">
        <v>1285</v>
      </c>
      <c r="D15" s="217" t="s">
        <v>1289</v>
      </c>
      <c r="E15" s="222" t="s">
        <v>111</v>
      </c>
      <c r="F15" s="223">
        <v>0.49</v>
      </c>
      <c r="G15" s="203">
        <v>88.88044764652328</v>
      </c>
      <c r="H15" s="203">
        <v>23.317323781879313</v>
      </c>
      <c r="I15" s="203">
        <v>65.56312386464397</v>
      </c>
      <c r="J15" s="203">
        <v>25.689002157065406</v>
      </c>
      <c r="K15" s="203">
        <v>0.24090603699416135</v>
      </c>
      <c r="L15" s="203">
        <v>25.929908194059568</v>
      </c>
      <c r="M15" s="203">
        <v>60.645889574795675</v>
      </c>
      <c r="N15" s="224">
        <v>0</v>
      </c>
    </row>
    <row r="16" spans="1:14" x14ac:dyDescent="0.25">
      <c r="A16" s="217" t="s">
        <v>866</v>
      </c>
      <c r="B16" s="217" t="s">
        <v>115</v>
      </c>
      <c r="C16" s="217" t="s">
        <v>1278</v>
      </c>
      <c r="D16" s="217" t="s">
        <v>1290</v>
      </c>
      <c r="E16" s="222" t="s">
        <v>114</v>
      </c>
      <c r="F16" s="223">
        <v>0.4</v>
      </c>
      <c r="G16" s="203">
        <v>3.2730492612437865</v>
      </c>
      <c r="H16" s="203">
        <v>0.67299033581866041</v>
      </c>
      <c r="I16" s="203">
        <v>2.6000589254251261</v>
      </c>
      <c r="J16" s="203">
        <v>-4.9449714487820247</v>
      </c>
      <c r="K16" s="203">
        <v>2.9329486788857828E-2</v>
      </c>
      <c r="L16" s="203">
        <v>-4.9156419619931668</v>
      </c>
      <c r="M16" s="203">
        <v>2.4050545060182418</v>
      </c>
      <c r="N16" s="224">
        <v>0.5</v>
      </c>
    </row>
    <row r="17" spans="1:14" x14ac:dyDescent="0.25">
      <c r="A17" s="217" t="s">
        <v>869</v>
      </c>
      <c r="B17" s="217" t="s">
        <v>121</v>
      </c>
      <c r="C17" s="217" t="s">
        <v>1286</v>
      </c>
      <c r="D17" s="217" t="s">
        <v>1291</v>
      </c>
      <c r="E17" s="222" t="s">
        <v>120</v>
      </c>
      <c r="F17" s="223">
        <v>0.49</v>
      </c>
      <c r="G17" s="203">
        <v>20.635515552838157</v>
      </c>
      <c r="H17" s="203">
        <v>4.4445101289755069</v>
      </c>
      <c r="I17" s="203">
        <v>16.191005423862649</v>
      </c>
      <c r="J17" s="203">
        <v>-9.1401496682145353</v>
      </c>
      <c r="K17" s="203">
        <v>2.5833909585362136E-2</v>
      </c>
      <c r="L17" s="203">
        <v>-9.1143157586291732</v>
      </c>
      <c r="M17" s="203">
        <v>14.976680017072951</v>
      </c>
      <c r="N17" s="224">
        <v>0.3608264135335425</v>
      </c>
    </row>
    <row r="18" spans="1:14" x14ac:dyDescent="0.25">
      <c r="A18" s="217" t="s">
        <v>870</v>
      </c>
      <c r="B18" s="217" t="s">
        <v>124</v>
      </c>
      <c r="C18" s="217" t="s">
        <v>1285</v>
      </c>
      <c r="D18" s="217" t="s">
        <v>1292</v>
      </c>
      <c r="E18" s="222" t="s">
        <v>123</v>
      </c>
      <c r="F18" s="223">
        <v>0.49</v>
      </c>
      <c r="G18" s="203">
        <v>182.49412975425906</v>
      </c>
      <c r="H18" s="203">
        <v>48.538923691472604</v>
      </c>
      <c r="I18" s="203">
        <v>133.95520606278646</v>
      </c>
      <c r="J18" s="203">
        <v>66.622117684978548</v>
      </c>
      <c r="K18" s="203">
        <v>0.16700514874588634</v>
      </c>
      <c r="L18" s="203">
        <v>66.789122833724434</v>
      </c>
      <c r="M18" s="203">
        <v>123.90856560807748</v>
      </c>
      <c r="N18" s="224">
        <v>0</v>
      </c>
    </row>
    <row r="19" spans="1:14" x14ac:dyDescent="0.25">
      <c r="A19" s="217" t="s">
        <v>873</v>
      </c>
      <c r="B19" s="217" t="s">
        <v>135</v>
      </c>
      <c r="C19" s="217" t="s">
        <v>1283</v>
      </c>
      <c r="D19" s="217" t="s">
        <v>1284</v>
      </c>
      <c r="E19" s="222" t="s">
        <v>134</v>
      </c>
      <c r="F19" s="223">
        <v>0.3</v>
      </c>
      <c r="G19" s="203">
        <v>118.66124106219192</v>
      </c>
      <c r="H19" s="203">
        <v>33.703197429240298</v>
      </c>
      <c r="I19" s="203">
        <v>84.958043632951615</v>
      </c>
      <c r="J19" s="203">
        <v>50.98668552938711</v>
      </c>
      <c r="K19" s="203">
        <v>4.8539335014346818E-2</v>
      </c>
      <c r="L19" s="203">
        <v>51.035224864401457</v>
      </c>
      <c r="M19" s="203">
        <v>78.586190360480245</v>
      </c>
      <c r="N19" s="224">
        <v>0</v>
      </c>
    </row>
    <row r="20" spans="1:14" x14ac:dyDescent="0.25">
      <c r="A20" s="217" t="s">
        <v>876</v>
      </c>
      <c r="B20" s="217" t="s">
        <v>142</v>
      </c>
      <c r="C20" s="217" t="s">
        <v>1286</v>
      </c>
      <c r="D20" s="217" t="s">
        <v>1287</v>
      </c>
      <c r="E20" s="222" t="s">
        <v>141</v>
      </c>
      <c r="F20" s="223">
        <v>0.49</v>
      </c>
      <c r="G20" s="203">
        <v>127.76395921520967</v>
      </c>
      <c r="H20" s="203">
        <v>29.649039840712021</v>
      </c>
      <c r="I20" s="203">
        <v>98.114919374497646</v>
      </c>
      <c r="J20" s="203">
        <v>-4.2581476538784431</v>
      </c>
      <c r="K20" s="203">
        <v>-5.6583245874519683E-2</v>
      </c>
      <c r="L20" s="203">
        <v>-4.3147308997529628</v>
      </c>
      <c r="M20" s="203">
        <v>90.75630042141033</v>
      </c>
      <c r="N20" s="224">
        <v>4.1594414132272384E-2</v>
      </c>
    </row>
    <row r="21" spans="1:14" x14ac:dyDescent="0.25">
      <c r="A21" s="217" t="s">
        <v>878</v>
      </c>
      <c r="B21" s="217" t="s">
        <v>146</v>
      </c>
      <c r="C21" s="217" t="s">
        <v>1283</v>
      </c>
      <c r="D21" s="217" t="s">
        <v>1284</v>
      </c>
      <c r="E21" s="222" t="s">
        <v>145</v>
      </c>
      <c r="F21" s="223">
        <v>0.3</v>
      </c>
      <c r="G21" s="203">
        <v>41.353465670746878</v>
      </c>
      <c r="H21" s="203">
        <v>4.3449950788987577</v>
      </c>
      <c r="I21" s="203">
        <v>37.008470591848123</v>
      </c>
      <c r="J21" s="203">
        <v>9.3407938103308457</v>
      </c>
      <c r="K21" s="203">
        <v>0.23835499823046824</v>
      </c>
      <c r="L21" s="203">
        <v>9.5791488085613139</v>
      </c>
      <c r="M21" s="203">
        <v>34.232835297459516</v>
      </c>
      <c r="N21" s="224">
        <v>0</v>
      </c>
    </row>
    <row r="22" spans="1:14" x14ac:dyDescent="0.25">
      <c r="A22" s="217" t="s">
        <v>886</v>
      </c>
      <c r="B22" s="217" t="s">
        <v>160</v>
      </c>
      <c r="C22" s="217" t="s">
        <v>1285</v>
      </c>
      <c r="D22" s="217" t="s">
        <v>1289</v>
      </c>
      <c r="E22" s="222" t="s">
        <v>159</v>
      </c>
      <c r="F22" s="223">
        <v>0.49</v>
      </c>
      <c r="G22" s="203">
        <v>45.417236397422862</v>
      </c>
      <c r="H22" s="203">
        <v>10.779376015671687</v>
      </c>
      <c r="I22" s="203">
        <v>34.637860381751175</v>
      </c>
      <c r="J22" s="203">
        <v>10.429270779786641</v>
      </c>
      <c r="K22" s="203">
        <v>-2.543436720493375E-2</v>
      </c>
      <c r="L22" s="203">
        <v>10.403836412581708</v>
      </c>
      <c r="M22" s="203">
        <v>32.040020853119834</v>
      </c>
      <c r="N22" s="224">
        <v>0</v>
      </c>
    </row>
    <row r="23" spans="1:14" x14ac:dyDescent="0.25">
      <c r="A23" s="217" t="s">
        <v>887</v>
      </c>
      <c r="B23" s="217" t="s">
        <v>162</v>
      </c>
      <c r="C23" s="217" t="s">
        <v>1285</v>
      </c>
      <c r="D23" s="217" t="s">
        <v>1292</v>
      </c>
      <c r="E23" s="222" t="s">
        <v>161</v>
      </c>
      <c r="F23" s="223">
        <v>0.49</v>
      </c>
      <c r="G23" s="203">
        <v>52.977711939511607</v>
      </c>
      <c r="H23" s="203">
        <v>12.357085894140003</v>
      </c>
      <c r="I23" s="203">
        <v>40.620626045371608</v>
      </c>
      <c r="J23" s="203">
        <v>13.064917211385643</v>
      </c>
      <c r="K23" s="203">
        <v>-0.17537946221548495</v>
      </c>
      <c r="L23" s="203">
        <v>12.889537749170158</v>
      </c>
      <c r="M23" s="203">
        <v>37.574079091968741</v>
      </c>
      <c r="N23" s="224">
        <v>0</v>
      </c>
    </row>
    <row r="24" spans="1:14" x14ac:dyDescent="0.25">
      <c r="A24" s="217" t="s">
        <v>892</v>
      </c>
      <c r="B24" s="217" t="s">
        <v>168</v>
      </c>
      <c r="C24" s="217" t="s">
        <v>1294</v>
      </c>
      <c r="D24" s="217" t="s">
        <v>1284</v>
      </c>
      <c r="E24" s="222" t="s">
        <v>167</v>
      </c>
      <c r="F24" s="223">
        <v>0.3</v>
      </c>
      <c r="G24" s="203">
        <v>119.87728096416396</v>
      </c>
      <c r="H24" s="203">
        <v>31.874147656992101</v>
      </c>
      <c r="I24" s="203">
        <v>88.003133307171851</v>
      </c>
      <c r="J24" s="203">
        <v>-94.657977368415871</v>
      </c>
      <c r="K24" s="203">
        <v>1.90904859154017</v>
      </c>
      <c r="L24" s="203">
        <v>-92.748928776875701</v>
      </c>
      <c r="M24" s="203">
        <v>81.40289830913396</v>
      </c>
      <c r="N24" s="224">
        <v>0.5</v>
      </c>
    </row>
    <row r="25" spans="1:14" x14ac:dyDescent="0.25">
      <c r="A25" s="217" t="s">
        <v>894</v>
      </c>
      <c r="B25" s="217" t="s">
        <v>174</v>
      </c>
      <c r="C25" s="217" t="s">
        <v>1278</v>
      </c>
      <c r="D25" s="217" t="s">
        <v>1280</v>
      </c>
      <c r="E25" s="222" t="s">
        <v>173</v>
      </c>
      <c r="F25" s="223">
        <v>0.4</v>
      </c>
      <c r="G25" s="203">
        <v>4.8890541821823721</v>
      </c>
      <c r="H25" s="203">
        <v>0.3801814727302566</v>
      </c>
      <c r="I25" s="203">
        <v>4.5088727094521159</v>
      </c>
      <c r="J25" s="203">
        <v>-15.924099091795807</v>
      </c>
      <c r="K25" s="203">
        <v>0.22863409793064982</v>
      </c>
      <c r="L25" s="203">
        <v>-15.695464993865157</v>
      </c>
      <c r="M25" s="203">
        <v>4.1707072562432073</v>
      </c>
      <c r="N25" s="224">
        <v>0.5</v>
      </c>
    </row>
    <row r="26" spans="1:14" x14ac:dyDescent="0.25">
      <c r="A26" s="217" t="s">
        <v>901</v>
      </c>
      <c r="B26" s="217" t="s">
        <v>186</v>
      </c>
      <c r="C26" s="217" t="s">
        <v>1278</v>
      </c>
      <c r="D26" s="217" t="s">
        <v>1295</v>
      </c>
      <c r="E26" s="222" t="s">
        <v>185</v>
      </c>
      <c r="F26" s="223">
        <v>0.4</v>
      </c>
      <c r="G26" s="203">
        <v>2.8355509264119658</v>
      </c>
      <c r="H26" s="203">
        <v>0.10229877491269819</v>
      </c>
      <c r="I26" s="203">
        <v>2.7332521514992676</v>
      </c>
      <c r="J26" s="203">
        <v>-18.512125741167971</v>
      </c>
      <c r="K26" s="203">
        <v>-0.15383378584894203</v>
      </c>
      <c r="L26" s="203">
        <v>-18.665959527016913</v>
      </c>
      <c r="M26" s="203">
        <v>2.5282582401368225</v>
      </c>
      <c r="N26" s="224">
        <v>0.5</v>
      </c>
    </row>
    <row r="27" spans="1:14" x14ac:dyDescent="0.25">
      <c r="A27" s="217" t="s">
        <v>910</v>
      </c>
      <c r="B27" s="217" t="s">
        <v>197</v>
      </c>
      <c r="C27" s="217" t="s">
        <v>1278</v>
      </c>
      <c r="D27" s="217" t="s">
        <v>1279</v>
      </c>
      <c r="E27" s="222" t="s">
        <v>196</v>
      </c>
      <c r="F27" s="223">
        <v>0.4</v>
      </c>
      <c r="G27" s="203">
        <v>4.1042627444937176</v>
      </c>
      <c r="H27" s="203">
        <v>0.85919291021680455</v>
      </c>
      <c r="I27" s="203">
        <v>3.2450698342769133</v>
      </c>
      <c r="J27" s="203">
        <v>-11.02913433948083</v>
      </c>
      <c r="K27" s="203">
        <v>0.18009179480287862</v>
      </c>
      <c r="L27" s="203">
        <v>-10.849042544677951</v>
      </c>
      <c r="M27" s="203">
        <v>3.0016895967061448</v>
      </c>
      <c r="N27" s="224">
        <v>0.5</v>
      </c>
    </row>
    <row r="28" spans="1:14" x14ac:dyDescent="0.25">
      <c r="A28" s="217" t="s">
        <v>916</v>
      </c>
      <c r="B28" s="217" t="s">
        <v>208</v>
      </c>
      <c r="C28" s="217" t="s">
        <v>1294</v>
      </c>
      <c r="D28" s="217" t="s">
        <v>1284</v>
      </c>
      <c r="E28" s="222" t="s">
        <v>207</v>
      </c>
      <c r="F28" s="223">
        <v>0.3</v>
      </c>
      <c r="G28" s="203">
        <v>23.580464646105014</v>
      </c>
      <c r="H28" s="203">
        <v>7.5415139075211091</v>
      </c>
      <c r="I28" s="203">
        <v>16.038950738583903</v>
      </c>
      <c r="J28" s="203">
        <v>-264.26340874507673</v>
      </c>
      <c r="K28" s="203">
        <v>2.9279463271700479</v>
      </c>
      <c r="L28" s="203">
        <v>-261.33546241790668</v>
      </c>
      <c r="M28" s="203">
        <v>14.836029433190111</v>
      </c>
      <c r="N28" s="224">
        <v>0.5</v>
      </c>
    </row>
    <row r="29" spans="1:14" x14ac:dyDescent="0.25">
      <c r="A29" s="217" t="s">
        <v>922</v>
      </c>
      <c r="B29" s="217" t="s">
        <v>218</v>
      </c>
      <c r="C29" s="217" t="s">
        <v>1296</v>
      </c>
      <c r="D29" s="217" t="s">
        <v>1297</v>
      </c>
      <c r="E29" s="222" t="s">
        <v>923</v>
      </c>
      <c r="F29" s="223">
        <v>0.5</v>
      </c>
      <c r="G29" s="203">
        <v>136.49249664816583</v>
      </c>
      <c r="H29" s="203">
        <v>28.626405972136602</v>
      </c>
      <c r="I29" s="203">
        <v>107.86609067602923</v>
      </c>
      <c r="J29" s="203">
        <v>26.589901874408042</v>
      </c>
      <c r="K29" s="203">
        <v>0.24413751559182728</v>
      </c>
      <c r="L29" s="203">
        <v>26.834039389999869</v>
      </c>
      <c r="M29" s="203">
        <v>99.776133875327048</v>
      </c>
      <c r="N29" s="224">
        <v>0</v>
      </c>
    </row>
    <row r="30" spans="1:14" x14ac:dyDescent="0.25">
      <c r="A30" s="217" t="s">
        <v>924</v>
      </c>
      <c r="B30" s="217" t="s">
        <v>220</v>
      </c>
      <c r="C30" s="217" t="s">
        <v>1278</v>
      </c>
      <c r="D30" s="217" t="s">
        <v>1295</v>
      </c>
      <c r="E30" s="222" t="s">
        <v>219</v>
      </c>
      <c r="F30" s="223">
        <v>0.4</v>
      </c>
      <c r="G30" s="203">
        <v>1.9075210811748284</v>
      </c>
      <c r="H30" s="203">
        <v>0.10072426822221558</v>
      </c>
      <c r="I30" s="203">
        <v>1.8067968129526129</v>
      </c>
      <c r="J30" s="203">
        <v>-11.047963189598256</v>
      </c>
      <c r="K30" s="203">
        <v>-4.2368028572425942E-3</v>
      </c>
      <c r="L30" s="203">
        <v>-11.052199992455499</v>
      </c>
      <c r="M30" s="203">
        <v>1.6712870519811669</v>
      </c>
      <c r="N30" s="224">
        <v>0.5</v>
      </c>
    </row>
    <row r="31" spans="1:14" x14ac:dyDescent="0.25">
      <c r="A31" s="217" t="s">
        <v>925</v>
      </c>
      <c r="B31" s="217" t="s">
        <v>222</v>
      </c>
      <c r="C31" s="217" t="s">
        <v>1285</v>
      </c>
      <c r="D31" s="217" t="s">
        <v>1288</v>
      </c>
      <c r="E31" s="222" t="s">
        <v>221</v>
      </c>
      <c r="F31" s="223">
        <v>0.49</v>
      </c>
      <c r="G31" s="203">
        <v>103.71235399638799</v>
      </c>
      <c r="H31" s="203">
        <v>25.928240563924007</v>
      </c>
      <c r="I31" s="203">
        <v>77.784113432463982</v>
      </c>
      <c r="J31" s="203">
        <v>21.512971742180881</v>
      </c>
      <c r="K31" s="203">
        <v>0.25902515953207939</v>
      </c>
      <c r="L31" s="203">
        <v>21.77199690171296</v>
      </c>
      <c r="M31" s="203">
        <v>71.950304925029187</v>
      </c>
      <c r="N31" s="224">
        <v>0</v>
      </c>
    </row>
    <row r="32" spans="1:14" x14ac:dyDescent="0.25">
      <c r="A32" s="217" t="s">
        <v>928</v>
      </c>
      <c r="B32" s="217" t="s">
        <v>232</v>
      </c>
      <c r="C32" s="217" t="s">
        <v>1283</v>
      </c>
      <c r="D32" s="217" t="s">
        <v>1284</v>
      </c>
      <c r="E32" s="222" t="s">
        <v>231</v>
      </c>
      <c r="F32" s="223">
        <v>0.3</v>
      </c>
      <c r="G32" s="203">
        <v>94.526056407480979</v>
      </c>
      <c r="H32" s="203">
        <v>23.301142221111935</v>
      </c>
      <c r="I32" s="203">
        <v>71.224914186369048</v>
      </c>
      <c r="J32" s="203">
        <v>32.890535363988249</v>
      </c>
      <c r="K32" s="203">
        <v>-2.5211516467670947E-2</v>
      </c>
      <c r="L32" s="203">
        <v>32.865323847520578</v>
      </c>
      <c r="M32" s="203">
        <v>65.883045622391379</v>
      </c>
      <c r="N32" s="224">
        <v>0</v>
      </c>
    </row>
    <row r="33" spans="1:14" x14ac:dyDescent="0.25">
      <c r="A33" s="217" t="s">
        <v>933</v>
      </c>
      <c r="B33" s="217" t="s">
        <v>239</v>
      </c>
      <c r="C33" s="217" t="s">
        <v>1278</v>
      </c>
      <c r="D33" s="217" t="s">
        <v>1280</v>
      </c>
      <c r="E33" s="222" t="s">
        <v>238</v>
      </c>
      <c r="F33" s="223">
        <v>0.4</v>
      </c>
      <c r="G33" s="203">
        <v>2.9273254420206882</v>
      </c>
      <c r="H33" s="203">
        <v>0.31482931049971469</v>
      </c>
      <c r="I33" s="203">
        <v>2.6124961315209734</v>
      </c>
      <c r="J33" s="203">
        <v>-28.602722865286047</v>
      </c>
      <c r="K33" s="203">
        <v>0.18296377946493436</v>
      </c>
      <c r="L33" s="203">
        <v>-28.419759085821113</v>
      </c>
      <c r="M33" s="203">
        <v>2.4165589216569003</v>
      </c>
      <c r="N33" s="224">
        <v>0.5</v>
      </c>
    </row>
    <row r="34" spans="1:14" x14ac:dyDescent="0.25">
      <c r="A34" s="217" t="s">
        <v>935</v>
      </c>
      <c r="B34" s="217" t="s">
        <v>243</v>
      </c>
      <c r="C34" s="217" t="s">
        <v>1286</v>
      </c>
      <c r="D34" s="217" t="s">
        <v>1279</v>
      </c>
      <c r="E34" s="222" t="s">
        <v>242</v>
      </c>
      <c r="F34" s="223">
        <v>0.49</v>
      </c>
      <c r="G34" s="203">
        <v>74.420322956436706</v>
      </c>
      <c r="H34" s="203">
        <v>18.897620842428797</v>
      </c>
      <c r="I34" s="203">
        <v>55.522702114007906</v>
      </c>
      <c r="J34" s="203">
        <v>15.92210849928232</v>
      </c>
      <c r="K34" s="203">
        <v>0.16669746623355408</v>
      </c>
      <c r="L34" s="203">
        <v>16.088805965515874</v>
      </c>
      <c r="M34" s="203">
        <v>51.358499455457313</v>
      </c>
      <c r="N34" s="224">
        <v>0</v>
      </c>
    </row>
    <row r="35" spans="1:14" x14ac:dyDescent="0.25">
      <c r="A35" s="217" t="s">
        <v>936</v>
      </c>
      <c r="B35" s="217" t="s">
        <v>44</v>
      </c>
      <c r="C35" s="217" t="s">
        <v>1293</v>
      </c>
      <c r="D35" s="217" t="s">
        <v>1279</v>
      </c>
      <c r="E35" s="222" t="s">
        <v>794</v>
      </c>
      <c r="F35" s="223">
        <v>0.09</v>
      </c>
      <c r="G35" s="203">
        <v>137.20979059688787</v>
      </c>
      <c r="H35" s="203">
        <v>28.633051090265095</v>
      </c>
      <c r="I35" s="203">
        <v>108.57673950662279</v>
      </c>
      <c r="J35" s="203">
        <v>91.278620524160416</v>
      </c>
      <c r="K35" s="203">
        <v>1.2474254610623348E-2</v>
      </c>
      <c r="L35" s="203">
        <v>91.29109477877104</v>
      </c>
      <c r="M35" s="203">
        <v>100.43348404362608</v>
      </c>
      <c r="N35" s="224">
        <v>0</v>
      </c>
    </row>
    <row r="36" spans="1:14" x14ac:dyDescent="0.25">
      <c r="A36" s="217" t="s">
        <v>937</v>
      </c>
      <c r="B36" s="217" t="s">
        <v>245</v>
      </c>
      <c r="C36" s="217" t="s">
        <v>1278</v>
      </c>
      <c r="D36" s="217" t="s">
        <v>1279</v>
      </c>
      <c r="E36" s="222" t="s">
        <v>244</v>
      </c>
      <c r="F36" s="223">
        <v>0.4</v>
      </c>
      <c r="G36" s="203">
        <v>1.6113229152058888</v>
      </c>
      <c r="H36" s="203">
        <v>0</v>
      </c>
      <c r="I36" s="203">
        <v>1.6113229152058888</v>
      </c>
      <c r="J36" s="203">
        <v>-6.337338358093028</v>
      </c>
      <c r="K36" s="203">
        <v>2.5628300321829833E-2</v>
      </c>
      <c r="L36" s="203">
        <v>-6.3117100577711982</v>
      </c>
      <c r="M36" s="203">
        <v>1.4904736965654473</v>
      </c>
      <c r="N36" s="224">
        <v>0.5</v>
      </c>
    </row>
    <row r="37" spans="1:14" x14ac:dyDescent="0.25">
      <c r="A37" s="217" t="s">
        <v>938</v>
      </c>
      <c r="B37" s="217" t="s">
        <v>45</v>
      </c>
      <c r="C37" s="217" t="s">
        <v>1281</v>
      </c>
      <c r="D37" s="217" t="s">
        <v>1279</v>
      </c>
      <c r="E37" s="222" t="s">
        <v>939</v>
      </c>
      <c r="F37" s="223">
        <v>0.01</v>
      </c>
      <c r="G37" s="203">
        <v>13.352083288024851</v>
      </c>
      <c r="H37" s="203">
        <v>4.7109615701616967</v>
      </c>
      <c r="I37" s="203">
        <v>8.6411217178631539</v>
      </c>
      <c r="J37" s="203">
        <v>5.9110233615587884</v>
      </c>
      <c r="K37" s="203">
        <v>5.119695644780542E-3</v>
      </c>
      <c r="L37" s="203">
        <v>5.9161430572035689</v>
      </c>
      <c r="M37" s="203">
        <v>7.9930375890234178</v>
      </c>
      <c r="N37" s="224">
        <v>0</v>
      </c>
    </row>
    <row r="38" spans="1:14" x14ac:dyDescent="0.25">
      <c r="A38" s="217" t="s">
        <v>940</v>
      </c>
      <c r="B38" s="217" t="s">
        <v>260</v>
      </c>
      <c r="C38" s="217" t="s">
        <v>1293</v>
      </c>
      <c r="D38" s="217" t="s">
        <v>1299</v>
      </c>
      <c r="E38" s="222" t="s">
        <v>795</v>
      </c>
      <c r="F38" s="223">
        <v>0.09</v>
      </c>
      <c r="G38" s="203">
        <v>115.03618824068576</v>
      </c>
      <c r="H38" s="203">
        <v>16.293955159167052</v>
      </c>
      <c r="I38" s="203">
        <v>98.742233081518705</v>
      </c>
      <c r="J38" s="203">
        <v>77.582533049222675</v>
      </c>
      <c r="K38" s="203">
        <v>0.20033902324023245</v>
      </c>
      <c r="L38" s="203">
        <v>77.782872072462908</v>
      </c>
      <c r="M38" s="203">
        <v>91.336565600404811</v>
      </c>
      <c r="N38" s="224">
        <v>0</v>
      </c>
    </row>
    <row r="39" spans="1:14" x14ac:dyDescent="0.25">
      <c r="A39" s="217" t="s">
        <v>943</v>
      </c>
      <c r="B39" s="217" t="s">
        <v>249</v>
      </c>
      <c r="C39" s="217" t="s">
        <v>1278</v>
      </c>
      <c r="D39" s="217" t="s">
        <v>1280</v>
      </c>
      <c r="E39" s="222" t="s">
        <v>248</v>
      </c>
      <c r="F39" s="223">
        <v>0.4</v>
      </c>
      <c r="G39" s="203">
        <v>4.132435910317203</v>
      </c>
      <c r="H39" s="203">
        <v>0.56849283185990152</v>
      </c>
      <c r="I39" s="203">
        <v>3.5639430784573012</v>
      </c>
      <c r="J39" s="203">
        <v>-11.802664270008535</v>
      </c>
      <c r="K39" s="203">
        <v>1.1369453665171463</v>
      </c>
      <c r="L39" s="203">
        <v>-10.665718903491388</v>
      </c>
      <c r="M39" s="203">
        <v>3.2966473475730038</v>
      </c>
      <c r="N39" s="224">
        <v>0.5</v>
      </c>
    </row>
    <row r="40" spans="1:14" x14ac:dyDescent="0.25">
      <c r="A40" s="217" t="s">
        <v>944</v>
      </c>
      <c r="B40" s="217" t="s">
        <v>251</v>
      </c>
      <c r="C40" s="217" t="s">
        <v>1285</v>
      </c>
      <c r="D40" s="217" t="s">
        <v>1288</v>
      </c>
      <c r="E40" s="222" t="s">
        <v>250</v>
      </c>
      <c r="F40" s="223">
        <v>0.49</v>
      </c>
      <c r="G40" s="203">
        <v>91.636161803245017</v>
      </c>
      <c r="H40" s="203">
        <v>25.382107079100741</v>
      </c>
      <c r="I40" s="203">
        <v>66.254054724144268</v>
      </c>
      <c r="J40" s="203">
        <v>22.073654485643722</v>
      </c>
      <c r="K40" s="203">
        <v>-0.34533887495643256</v>
      </c>
      <c r="L40" s="203">
        <v>21.728315610687289</v>
      </c>
      <c r="M40" s="203">
        <v>61.285000619833454</v>
      </c>
      <c r="N40" s="224">
        <v>0</v>
      </c>
    </row>
    <row r="41" spans="1:14" x14ac:dyDescent="0.25">
      <c r="A41" s="217" t="s">
        <v>949</v>
      </c>
      <c r="B41" s="217" t="s">
        <v>255</v>
      </c>
      <c r="C41" s="217" t="s">
        <v>1283</v>
      </c>
      <c r="D41" s="217" t="s">
        <v>1284</v>
      </c>
      <c r="E41" s="222" t="s">
        <v>254</v>
      </c>
      <c r="F41" s="223">
        <v>0.3</v>
      </c>
      <c r="G41" s="203">
        <v>100.33562270711641</v>
      </c>
      <c r="H41" s="203">
        <v>26.166502074622304</v>
      </c>
      <c r="I41" s="203">
        <v>74.169120632494113</v>
      </c>
      <c r="J41" s="203">
        <v>30.299568219080108</v>
      </c>
      <c r="K41" s="203">
        <v>-7.9506277987306362E-2</v>
      </c>
      <c r="L41" s="203">
        <v>30.220061941092801</v>
      </c>
      <c r="M41" s="203">
        <v>68.606436585057054</v>
      </c>
      <c r="N41" s="224">
        <v>0</v>
      </c>
    </row>
    <row r="42" spans="1:14" x14ac:dyDescent="0.25">
      <c r="A42" s="217" t="s">
        <v>951</v>
      </c>
      <c r="B42" s="217" t="s">
        <v>259</v>
      </c>
      <c r="C42" s="217" t="s">
        <v>1278</v>
      </c>
      <c r="D42" s="217" t="s">
        <v>1299</v>
      </c>
      <c r="E42" s="222" t="s">
        <v>258</v>
      </c>
      <c r="F42" s="223">
        <v>0.4</v>
      </c>
      <c r="G42" s="203">
        <v>2.6924200041381963</v>
      </c>
      <c r="H42" s="203">
        <v>0.12666501587625592</v>
      </c>
      <c r="I42" s="203">
        <v>2.5657549882619404</v>
      </c>
      <c r="J42" s="203">
        <v>-10.038305211400736</v>
      </c>
      <c r="K42" s="203">
        <v>-8.7899574621044252E-3</v>
      </c>
      <c r="L42" s="203">
        <v>-10.047095168862841</v>
      </c>
      <c r="M42" s="203">
        <v>2.3733233641422951</v>
      </c>
      <c r="N42" s="224">
        <v>0.5</v>
      </c>
    </row>
    <row r="43" spans="1:14" x14ac:dyDescent="0.25">
      <c r="A43" s="217" t="s">
        <v>955</v>
      </c>
      <c r="B43" s="217" t="s">
        <v>270</v>
      </c>
      <c r="C43" s="217" t="s">
        <v>1278</v>
      </c>
      <c r="D43" s="217" t="s">
        <v>1290</v>
      </c>
      <c r="E43" s="222" t="s">
        <v>269</v>
      </c>
      <c r="F43" s="223">
        <v>0.4</v>
      </c>
      <c r="G43" s="203">
        <v>7.516429586367531</v>
      </c>
      <c r="H43" s="203">
        <v>1.599609528852135</v>
      </c>
      <c r="I43" s="203">
        <v>5.9168200575153955</v>
      </c>
      <c r="J43" s="203">
        <v>-7.1298690682621642</v>
      </c>
      <c r="K43" s="203">
        <v>0.20836943080995418</v>
      </c>
      <c r="L43" s="203">
        <v>-6.92149963745221</v>
      </c>
      <c r="M43" s="203">
        <v>5.4730585532017413</v>
      </c>
      <c r="N43" s="224">
        <v>0.5</v>
      </c>
    </row>
    <row r="44" spans="1:14" x14ac:dyDescent="0.25">
      <c r="A44" s="217" t="s">
        <v>965</v>
      </c>
      <c r="B44" s="217" t="s">
        <v>286</v>
      </c>
      <c r="C44" s="217" t="s">
        <v>1278</v>
      </c>
      <c r="D44" s="217" t="s">
        <v>1300</v>
      </c>
      <c r="E44" s="222" t="s">
        <v>285</v>
      </c>
      <c r="F44" s="223">
        <v>0.4</v>
      </c>
      <c r="G44" s="203">
        <v>2.2396817580002382</v>
      </c>
      <c r="H44" s="203">
        <v>0</v>
      </c>
      <c r="I44" s="203">
        <v>2.2396817580002382</v>
      </c>
      <c r="J44" s="203">
        <v>-22.228355555650165</v>
      </c>
      <c r="K44" s="203">
        <v>0.36412451297395165</v>
      </c>
      <c r="L44" s="203">
        <v>-21.864231042676213</v>
      </c>
      <c r="M44" s="203">
        <v>2.0717056261502202</v>
      </c>
      <c r="N44" s="224">
        <v>0.5</v>
      </c>
    </row>
    <row r="45" spans="1:14" x14ac:dyDescent="0.25">
      <c r="A45" s="217" t="s">
        <v>966</v>
      </c>
      <c r="B45" s="217" t="s">
        <v>289</v>
      </c>
      <c r="C45" s="217" t="s">
        <v>1283</v>
      </c>
      <c r="D45" s="217" t="s">
        <v>1284</v>
      </c>
      <c r="E45" s="222" t="s">
        <v>288</v>
      </c>
      <c r="F45" s="223">
        <v>0.3</v>
      </c>
      <c r="G45" s="203">
        <v>97.072685261677535</v>
      </c>
      <c r="H45" s="203">
        <v>25.73245303158561</v>
      </c>
      <c r="I45" s="203">
        <v>71.340232230091928</v>
      </c>
      <c r="J45" s="203">
        <v>37.970969719714617</v>
      </c>
      <c r="K45" s="203">
        <v>-1.5134145203873572E-2</v>
      </c>
      <c r="L45" s="203">
        <v>37.955835574510743</v>
      </c>
      <c r="M45" s="203">
        <v>65.989714812835032</v>
      </c>
      <c r="N45" s="224">
        <v>0</v>
      </c>
    </row>
    <row r="46" spans="1:14" x14ac:dyDescent="0.25">
      <c r="A46" s="217" t="s">
        <v>968</v>
      </c>
      <c r="B46" s="217" t="s">
        <v>293</v>
      </c>
      <c r="C46" s="217" t="s">
        <v>1278</v>
      </c>
      <c r="D46" s="217" t="s">
        <v>1300</v>
      </c>
      <c r="E46" s="222" t="s">
        <v>969</v>
      </c>
      <c r="F46" s="223">
        <v>0.4</v>
      </c>
      <c r="G46" s="203">
        <v>1.3656627494393958</v>
      </c>
      <c r="H46" s="203">
        <v>0</v>
      </c>
      <c r="I46" s="203">
        <v>1.3656627494393958</v>
      </c>
      <c r="J46" s="203">
        <v>-8.599014596239817</v>
      </c>
      <c r="K46" s="203">
        <v>8.277049898881117E-2</v>
      </c>
      <c r="L46" s="203">
        <v>-8.5162440972510058</v>
      </c>
      <c r="M46" s="203">
        <v>1.2632380432314412</v>
      </c>
      <c r="N46" s="224">
        <v>0.5</v>
      </c>
    </row>
    <row r="47" spans="1:14" x14ac:dyDescent="0.25">
      <c r="A47" s="217" t="s">
        <v>970</v>
      </c>
      <c r="B47" s="217" t="s">
        <v>295</v>
      </c>
      <c r="C47" s="217" t="s">
        <v>1278</v>
      </c>
      <c r="D47" s="217" t="s">
        <v>1279</v>
      </c>
      <c r="E47" s="222" t="s">
        <v>294</v>
      </c>
      <c r="F47" s="223">
        <v>0.4</v>
      </c>
      <c r="G47" s="203">
        <v>3.7594449754979991</v>
      </c>
      <c r="H47" s="203">
        <v>0.5618948618319537</v>
      </c>
      <c r="I47" s="203">
        <v>3.1975501136660456</v>
      </c>
      <c r="J47" s="203">
        <v>-6.2592982766843823</v>
      </c>
      <c r="K47" s="203">
        <v>-0.12887571521407271</v>
      </c>
      <c r="L47" s="203">
        <v>-6.388173991898455</v>
      </c>
      <c r="M47" s="203">
        <v>2.9577338551410923</v>
      </c>
      <c r="N47" s="224">
        <v>0.5</v>
      </c>
    </row>
    <row r="48" spans="1:14" x14ac:dyDescent="0.25">
      <c r="A48" s="217" t="s">
        <v>973</v>
      </c>
      <c r="B48" s="217" t="s">
        <v>297</v>
      </c>
      <c r="C48" s="217" t="s">
        <v>1278</v>
      </c>
      <c r="D48" s="217" t="s">
        <v>1299</v>
      </c>
      <c r="E48" s="222" t="s">
        <v>296</v>
      </c>
      <c r="F48" s="223">
        <v>0.4</v>
      </c>
      <c r="G48" s="203">
        <v>4.8416623134283565</v>
      </c>
      <c r="H48" s="203">
        <v>0.86888574036389032</v>
      </c>
      <c r="I48" s="203">
        <v>3.9727765730644666</v>
      </c>
      <c r="J48" s="203">
        <v>-24.571195002582808</v>
      </c>
      <c r="K48" s="203">
        <v>0.30454341758355952</v>
      </c>
      <c r="L48" s="203">
        <v>-24.266651584999249</v>
      </c>
      <c r="M48" s="203">
        <v>3.6748183300846318</v>
      </c>
      <c r="N48" s="224">
        <v>0.5</v>
      </c>
    </row>
    <row r="49" spans="1:14" x14ac:dyDescent="0.25">
      <c r="A49" s="217" t="s">
        <v>976</v>
      </c>
      <c r="B49" s="217" t="s">
        <v>303</v>
      </c>
      <c r="C49" s="217" t="s">
        <v>1278</v>
      </c>
      <c r="D49" s="217" t="s">
        <v>1282</v>
      </c>
      <c r="E49" s="222" t="s">
        <v>302</v>
      </c>
      <c r="F49" s="223">
        <v>0.4</v>
      </c>
      <c r="G49" s="203">
        <v>2.3691012018046163</v>
      </c>
      <c r="H49" s="203">
        <v>0.44130878963565734</v>
      </c>
      <c r="I49" s="203">
        <v>1.9277924121689587</v>
      </c>
      <c r="J49" s="203">
        <v>-7.4906037248657045</v>
      </c>
      <c r="K49" s="203">
        <v>6.8863823576219119E-2</v>
      </c>
      <c r="L49" s="203">
        <v>-7.4217399012894854</v>
      </c>
      <c r="M49" s="203">
        <v>1.7832079812562869</v>
      </c>
      <c r="N49" s="224">
        <v>0.5</v>
      </c>
    </row>
    <row r="50" spans="1:14" x14ac:dyDescent="0.25">
      <c r="A50" s="217" t="s">
        <v>977</v>
      </c>
      <c r="B50" s="217" t="s">
        <v>305</v>
      </c>
      <c r="C50" s="217" t="s">
        <v>1278</v>
      </c>
      <c r="D50" s="217" t="s">
        <v>1295</v>
      </c>
      <c r="E50" s="222" t="s">
        <v>304</v>
      </c>
      <c r="F50" s="223">
        <v>0.4</v>
      </c>
      <c r="G50" s="203">
        <v>2.8865812588815838</v>
      </c>
      <c r="H50" s="203">
        <v>0.39310840542736647</v>
      </c>
      <c r="I50" s="203">
        <v>2.4934728534542172</v>
      </c>
      <c r="J50" s="203">
        <v>-2.5574175158483663</v>
      </c>
      <c r="K50" s="203">
        <v>-3.8447594896349191E-2</v>
      </c>
      <c r="L50" s="203">
        <v>-2.5958651107447155</v>
      </c>
      <c r="M50" s="203">
        <v>2.306462389445151</v>
      </c>
      <c r="N50" s="224">
        <v>0.5</v>
      </c>
    </row>
    <row r="51" spans="1:14" x14ac:dyDescent="0.25">
      <c r="A51" s="217" t="s">
        <v>981</v>
      </c>
      <c r="B51" s="217" t="s">
        <v>68</v>
      </c>
      <c r="C51" s="217" t="s">
        <v>790</v>
      </c>
      <c r="D51" s="217" t="s">
        <v>1284</v>
      </c>
      <c r="E51" s="222" t="s">
        <v>982</v>
      </c>
      <c r="F51" s="223">
        <v>0.2</v>
      </c>
      <c r="G51" s="203">
        <v>1175.3715060667255</v>
      </c>
      <c r="H51" s="203">
        <v>136.45394479138733</v>
      </c>
      <c r="I51" s="203">
        <v>1038.9175612753381</v>
      </c>
      <c r="J51" s="203">
        <v>-538.14561137725821</v>
      </c>
      <c r="K51" s="203">
        <v>2.6509771183100383</v>
      </c>
      <c r="L51" s="203">
        <v>-535.49463425894817</v>
      </c>
      <c r="M51" s="203">
        <v>960.99874417968783</v>
      </c>
      <c r="N51" s="224">
        <v>0.34123275519709906</v>
      </c>
    </row>
    <row r="52" spans="1:14" x14ac:dyDescent="0.25">
      <c r="A52" s="217" t="s">
        <v>983</v>
      </c>
      <c r="B52" s="217" t="s">
        <v>314</v>
      </c>
      <c r="C52" s="217" t="s">
        <v>1278</v>
      </c>
      <c r="D52" s="217" t="s">
        <v>1295</v>
      </c>
      <c r="E52" s="222" t="s">
        <v>313</v>
      </c>
      <c r="F52" s="223">
        <v>0.4</v>
      </c>
      <c r="G52" s="203">
        <v>4.1803079345803029</v>
      </c>
      <c r="H52" s="203">
        <v>0.61683903691934605</v>
      </c>
      <c r="I52" s="203">
        <v>3.563468897660957</v>
      </c>
      <c r="J52" s="203">
        <v>-15.708659316654719</v>
      </c>
      <c r="K52" s="203">
        <v>2.3410897762179417E-3</v>
      </c>
      <c r="L52" s="203">
        <v>-15.706318226878501</v>
      </c>
      <c r="M52" s="203">
        <v>3.2962087303363852</v>
      </c>
      <c r="N52" s="224">
        <v>0.5</v>
      </c>
    </row>
    <row r="53" spans="1:14" x14ac:dyDescent="0.25">
      <c r="A53" s="217" t="s">
        <v>984</v>
      </c>
      <c r="B53" s="217" t="s">
        <v>187</v>
      </c>
      <c r="C53" s="217" t="s">
        <v>1298</v>
      </c>
      <c r="D53" s="217" t="s">
        <v>1295</v>
      </c>
      <c r="E53" s="222" t="s">
        <v>799</v>
      </c>
      <c r="F53" s="223">
        <v>0.1</v>
      </c>
      <c r="G53" s="203">
        <v>92.269351795089676</v>
      </c>
      <c r="H53" s="203">
        <v>19.385186739225723</v>
      </c>
      <c r="I53" s="203">
        <v>72.884165055863946</v>
      </c>
      <c r="J53" s="203">
        <v>52.171287882754513</v>
      </c>
      <c r="K53" s="203">
        <v>-2.4350394341858816E-2</v>
      </c>
      <c r="L53" s="203">
        <v>52.146937488412654</v>
      </c>
      <c r="M53" s="203">
        <v>67.417852676674158</v>
      </c>
      <c r="N53" s="224">
        <v>0</v>
      </c>
    </row>
    <row r="54" spans="1:14" x14ac:dyDescent="0.25">
      <c r="A54" s="217" t="s">
        <v>986</v>
      </c>
      <c r="B54" s="217" t="s">
        <v>318</v>
      </c>
      <c r="C54" s="217" t="s">
        <v>1278</v>
      </c>
      <c r="D54" s="217" t="s">
        <v>1280</v>
      </c>
      <c r="E54" s="222" t="s">
        <v>317</v>
      </c>
      <c r="F54" s="223">
        <v>0.4</v>
      </c>
      <c r="G54" s="203">
        <v>3.0481883553328308</v>
      </c>
      <c r="H54" s="203">
        <v>0.19626465791093931</v>
      </c>
      <c r="I54" s="203">
        <v>2.8519236974218916</v>
      </c>
      <c r="J54" s="203">
        <v>-6.0835281967032033</v>
      </c>
      <c r="K54" s="203">
        <v>-6.7440930298954704E-2</v>
      </c>
      <c r="L54" s="203">
        <v>-6.150969127002158</v>
      </c>
      <c r="M54" s="203">
        <v>2.6380294201152497</v>
      </c>
      <c r="N54" s="224">
        <v>0.5</v>
      </c>
    </row>
    <row r="55" spans="1:14" x14ac:dyDescent="0.25">
      <c r="A55" s="217" t="s">
        <v>989</v>
      </c>
      <c r="B55" s="217" t="s">
        <v>322</v>
      </c>
      <c r="C55" s="217" t="s">
        <v>1294</v>
      </c>
      <c r="D55" s="217" t="s">
        <v>1284</v>
      </c>
      <c r="E55" s="222" t="s">
        <v>321</v>
      </c>
      <c r="F55" s="223">
        <v>0.3</v>
      </c>
      <c r="G55" s="203">
        <v>113.65132049709683</v>
      </c>
      <c r="H55" s="203">
        <v>33.343450581486501</v>
      </c>
      <c r="I55" s="203">
        <v>80.307869915610326</v>
      </c>
      <c r="J55" s="203">
        <v>58.431687183619843</v>
      </c>
      <c r="K55" s="203">
        <v>-0.24125733099157998</v>
      </c>
      <c r="L55" s="203">
        <v>58.190429852628263</v>
      </c>
      <c r="M55" s="203">
        <v>74.28477967193956</v>
      </c>
      <c r="N55" s="224">
        <v>0</v>
      </c>
    </row>
    <row r="56" spans="1:14" x14ac:dyDescent="0.25">
      <c r="A56" s="217" t="s">
        <v>990</v>
      </c>
      <c r="B56" s="217" t="s">
        <v>324</v>
      </c>
      <c r="C56" s="217" t="s">
        <v>1278</v>
      </c>
      <c r="D56" s="217" t="s">
        <v>1300</v>
      </c>
      <c r="E56" s="222" t="s">
        <v>323</v>
      </c>
      <c r="F56" s="223">
        <v>0.4</v>
      </c>
      <c r="G56" s="203">
        <v>2.8170217064043257</v>
      </c>
      <c r="H56" s="203">
        <v>0</v>
      </c>
      <c r="I56" s="203">
        <v>2.8170217064043257</v>
      </c>
      <c r="J56" s="203">
        <v>-30.63103183246977</v>
      </c>
      <c r="K56" s="203">
        <v>0.4757736667220307</v>
      </c>
      <c r="L56" s="203">
        <v>-30.155258165747739</v>
      </c>
      <c r="M56" s="203">
        <v>2.6057450784240013</v>
      </c>
      <c r="N56" s="224">
        <v>0.5</v>
      </c>
    </row>
    <row r="57" spans="1:14" x14ac:dyDescent="0.25">
      <c r="A57" s="217" t="s">
        <v>991</v>
      </c>
      <c r="B57" s="217" t="s">
        <v>326</v>
      </c>
      <c r="C57" s="217" t="s">
        <v>1294</v>
      </c>
      <c r="D57" s="217" t="s">
        <v>1284</v>
      </c>
      <c r="E57" s="222" t="s">
        <v>325</v>
      </c>
      <c r="F57" s="223">
        <v>0.3</v>
      </c>
      <c r="G57" s="203">
        <v>151.79370312005574</v>
      </c>
      <c r="H57" s="203">
        <v>44.985258022226915</v>
      </c>
      <c r="I57" s="203">
        <v>106.80844509782884</v>
      </c>
      <c r="J57" s="203">
        <v>69.764410285500034</v>
      </c>
      <c r="K57" s="203">
        <v>-0.24739945168394684</v>
      </c>
      <c r="L57" s="203">
        <v>69.517010833816087</v>
      </c>
      <c r="M57" s="203">
        <v>98.797811715491676</v>
      </c>
      <c r="N57" s="224">
        <v>0</v>
      </c>
    </row>
    <row r="58" spans="1:14" x14ac:dyDescent="0.25">
      <c r="A58" s="217" t="s">
        <v>992</v>
      </c>
      <c r="B58" s="217" t="s">
        <v>328</v>
      </c>
      <c r="C58" s="217" t="s">
        <v>1286</v>
      </c>
      <c r="D58" s="217" t="s">
        <v>1302</v>
      </c>
      <c r="E58" s="222" t="s">
        <v>327</v>
      </c>
      <c r="F58" s="223">
        <v>0.49</v>
      </c>
      <c r="G58" s="203">
        <v>47.810906937114098</v>
      </c>
      <c r="H58" s="203">
        <v>13.081784132097381</v>
      </c>
      <c r="I58" s="203">
        <v>34.729122805016715</v>
      </c>
      <c r="J58" s="203">
        <v>12.420173628370883</v>
      </c>
      <c r="K58" s="203">
        <v>-6.9804578506573733E-2</v>
      </c>
      <c r="L58" s="203">
        <v>12.350369049864309</v>
      </c>
      <c r="M58" s="203">
        <v>32.124438594640466</v>
      </c>
      <c r="N58" s="224">
        <v>0</v>
      </c>
    </row>
    <row r="59" spans="1:14" x14ac:dyDescent="0.25">
      <c r="A59" s="217" t="s">
        <v>995</v>
      </c>
      <c r="B59" s="217" t="s">
        <v>332</v>
      </c>
      <c r="C59" s="217" t="s">
        <v>1294</v>
      </c>
      <c r="D59" s="217" t="s">
        <v>1284</v>
      </c>
      <c r="E59" s="222" t="s">
        <v>331</v>
      </c>
      <c r="F59" s="223">
        <v>0.3</v>
      </c>
      <c r="G59" s="203">
        <v>82.92790329254359</v>
      </c>
      <c r="H59" s="203">
        <v>23.42725687600343</v>
      </c>
      <c r="I59" s="203">
        <v>59.500646416540164</v>
      </c>
      <c r="J59" s="203">
        <v>-15.678405208994327</v>
      </c>
      <c r="K59" s="203">
        <v>2.8380707337337903</v>
      </c>
      <c r="L59" s="203">
        <v>-12.840334475260537</v>
      </c>
      <c r="M59" s="203">
        <v>55.038097935299653</v>
      </c>
      <c r="N59" s="224">
        <v>0.20854752270034382</v>
      </c>
    </row>
    <row r="60" spans="1:14" x14ac:dyDescent="0.25">
      <c r="A60" s="217" t="s">
        <v>1000</v>
      </c>
      <c r="B60" s="217" t="s">
        <v>336</v>
      </c>
      <c r="C60" s="217" t="s">
        <v>1283</v>
      </c>
      <c r="D60" s="217" t="s">
        <v>1284</v>
      </c>
      <c r="E60" s="222" t="s">
        <v>335</v>
      </c>
      <c r="F60" s="223">
        <v>0.3</v>
      </c>
      <c r="G60" s="203">
        <v>109.06939556523086</v>
      </c>
      <c r="H60" s="203">
        <v>30.201978807864503</v>
      </c>
      <c r="I60" s="203">
        <v>78.867416757366357</v>
      </c>
      <c r="J60" s="203">
        <v>56.187739032973269</v>
      </c>
      <c r="K60" s="203">
        <v>0.31652672929212855</v>
      </c>
      <c r="L60" s="203">
        <v>56.504265762265398</v>
      </c>
      <c r="M60" s="203">
        <v>72.952360500563884</v>
      </c>
      <c r="N60" s="224">
        <v>0</v>
      </c>
    </row>
    <row r="61" spans="1:14" x14ac:dyDescent="0.25">
      <c r="A61" s="217" t="s">
        <v>1002</v>
      </c>
      <c r="B61" s="217" t="s">
        <v>340</v>
      </c>
      <c r="C61" s="217" t="s">
        <v>1278</v>
      </c>
      <c r="D61" s="217" t="s">
        <v>1292</v>
      </c>
      <c r="E61" s="222" t="s">
        <v>339</v>
      </c>
      <c r="F61" s="223">
        <v>0.4</v>
      </c>
      <c r="G61" s="203">
        <v>3.6000499098769883</v>
      </c>
      <c r="H61" s="203">
        <v>0</v>
      </c>
      <c r="I61" s="203">
        <v>3.6000499098769883</v>
      </c>
      <c r="J61" s="203">
        <v>-21.011926424847751</v>
      </c>
      <c r="K61" s="203">
        <v>2.7591390892151679E-2</v>
      </c>
      <c r="L61" s="203">
        <v>-20.984335033955599</v>
      </c>
      <c r="M61" s="203">
        <v>3.3300461666362144</v>
      </c>
      <c r="N61" s="224">
        <v>0.5</v>
      </c>
    </row>
    <row r="62" spans="1:14" x14ac:dyDescent="0.25">
      <c r="A62" s="217" t="s">
        <v>1003</v>
      </c>
      <c r="B62" s="217" t="s">
        <v>342</v>
      </c>
      <c r="C62" s="217" t="s">
        <v>1283</v>
      </c>
      <c r="D62" s="217" t="s">
        <v>1284</v>
      </c>
      <c r="E62" s="222" t="s">
        <v>341</v>
      </c>
      <c r="F62" s="223">
        <v>0.3</v>
      </c>
      <c r="G62" s="203">
        <v>45.496933015165453</v>
      </c>
      <c r="H62" s="203">
        <v>7.3321104374951309</v>
      </c>
      <c r="I62" s="203">
        <v>38.164822577670321</v>
      </c>
      <c r="J62" s="203">
        <v>21.761915125108917</v>
      </c>
      <c r="K62" s="203">
        <v>7.7885993003185661E-2</v>
      </c>
      <c r="L62" s="203">
        <v>21.839801118112103</v>
      </c>
      <c r="M62" s="203">
        <v>35.302460884345052</v>
      </c>
      <c r="N62" s="224">
        <v>0</v>
      </c>
    </row>
    <row r="63" spans="1:14" x14ac:dyDescent="0.25">
      <c r="A63" s="217" t="s">
        <v>1008</v>
      </c>
      <c r="B63" s="217" t="s">
        <v>353</v>
      </c>
      <c r="C63" s="217" t="s">
        <v>1283</v>
      </c>
      <c r="D63" s="217" t="s">
        <v>1284</v>
      </c>
      <c r="E63" s="222" t="s">
        <v>352</v>
      </c>
      <c r="F63" s="223">
        <v>0.3</v>
      </c>
      <c r="G63" s="203">
        <v>40.088911991078469</v>
      </c>
      <c r="H63" s="203">
        <v>6.8470493563318291</v>
      </c>
      <c r="I63" s="203">
        <v>33.241862634746639</v>
      </c>
      <c r="J63" s="203">
        <v>9.566195657130228</v>
      </c>
      <c r="K63" s="203">
        <v>5.5345852503513981E-2</v>
      </c>
      <c r="L63" s="203">
        <v>9.621541509633742</v>
      </c>
      <c r="M63" s="203">
        <v>30.748722937140641</v>
      </c>
      <c r="N63" s="224">
        <v>0</v>
      </c>
    </row>
    <row r="64" spans="1:14" x14ac:dyDescent="0.25">
      <c r="A64" s="217" t="s">
        <v>1014</v>
      </c>
      <c r="B64" s="217" t="s">
        <v>359</v>
      </c>
      <c r="C64" s="217" t="s">
        <v>1278</v>
      </c>
      <c r="D64" s="217" t="s">
        <v>1279</v>
      </c>
      <c r="E64" s="222" t="s">
        <v>358</v>
      </c>
      <c r="F64" s="223">
        <v>0.4</v>
      </c>
      <c r="G64" s="203">
        <v>2.5233240314339174</v>
      </c>
      <c r="H64" s="203">
        <v>0.24576291458161362</v>
      </c>
      <c r="I64" s="203">
        <v>2.2775611168523038</v>
      </c>
      <c r="J64" s="203">
        <v>-7.9338091986436892</v>
      </c>
      <c r="K64" s="203">
        <v>-1.9194600852610044E-2</v>
      </c>
      <c r="L64" s="203">
        <v>-7.9530037994962992</v>
      </c>
      <c r="M64" s="203">
        <v>2.1067440330883813</v>
      </c>
      <c r="N64" s="224">
        <v>0.5</v>
      </c>
    </row>
    <row r="65" spans="1:14" x14ac:dyDescent="0.25">
      <c r="A65" s="217" t="s">
        <v>1015</v>
      </c>
      <c r="B65" s="217" t="s">
        <v>361</v>
      </c>
      <c r="C65" s="217" t="s">
        <v>1283</v>
      </c>
      <c r="D65" s="217" t="s">
        <v>1284</v>
      </c>
      <c r="E65" s="222" t="s">
        <v>360</v>
      </c>
      <c r="F65" s="223">
        <v>0.3</v>
      </c>
      <c r="G65" s="203">
        <v>58.547513285044268</v>
      </c>
      <c r="H65" s="203">
        <v>13.124281360826508</v>
      </c>
      <c r="I65" s="203">
        <v>45.42323192421776</v>
      </c>
      <c r="J65" s="203">
        <v>-51.622974397146876</v>
      </c>
      <c r="K65" s="203">
        <v>1.2949524086119197</v>
      </c>
      <c r="L65" s="203">
        <v>-50.328021988534957</v>
      </c>
      <c r="M65" s="203">
        <v>42.016489529901428</v>
      </c>
      <c r="N65" s="224">
        <v>0.5</v>
      </c>
    </row>
    <row r="66" spans="1:14" x14ac:dyDescent="0.25">
      <c r="A66" s="217" t="s">
        <v>1018</v>
      </c>
      <c r="B66" s="217" t="s">
        <v>367</v>
      </c>
      <c r="C66" s="217" t="s">
        <v>1283</v>
      </c>
      <c r="D66" s="217" t="s">
        <v>1284</v>
      </c>
      <c r="E66" s="222" t="s">
        <v>366</v>
      </c>
      <c r="F66" s="223">
        <v>0.3</v>
      </c>
      <c r="G66" s="203">
        <v>63.110939747873601</v>
      </c>
      <c r="H66" s="203">
        <v>15.68693672806825</v>
      </c>
      <c r="I66" s="203">
        <v>47.424003019805355</v>
      </c>
      <c r="J66" s="203">
        <v>-5.5125306367165878</v>
      </c>
      <c r="K66" s="203">
        <v>0.20990115499607942</v>
      </c>
      <c r="L66" s="203">
        <v>-5.3026294817205084</v>
      </c>
      <c r="M66" s="203">
        <v>43.867202793319954</v>
      </c>
      <c r="N66" s="224">
        <v>0.10413470365135791</v>
      </c>
    </row>
    <row r="67" spans="1:14" x14ac:dyDescent="0.25">
      <c r="A67" s="217" t="s">
        <v>1023</v>
      </c>
      <c r="B67" s="217" t="s">
        <v>373</v>
      </c>
      <c r="C67" s="217" t="s">
        <v>1278</v>
      </c>
      <c r="D67" s="217" t="s">
        <v>1282</v>
      </c>
      <c r="E67" s="222" t="s">
        <v>372</v>
      </c>
      <c r="F67" s="223">
        <v>0.4</v>
      </c>
      <c r="G67" s="203">
        <v>4.1913251441263917</v>
      </c>
      <c r="H67" s="203">
        <v>0</v>
      </c>
      <c r="I67" s="203">
        <v>4.1913251441263917</v>
      </c>
      <c r="J67" s="203">
        <v>-16.501112496104746</v>
      </c>
      <c r="K67" s="203">
        <v>-6.0682902806568961E-2</v>
      </c>
      <c r="L67" s="203">
        <v>-16.561795398911315</v>
      </c>
      <c r="M67" s="203">
        <v>3.8769757583169127</v>
      </c>
      <c r="N67" s="224">
        <v>0.5</v>
      </c>
    </row>
    <row r="68" spans="1:14" x14ac:dyDescent="0.25">
      <c r="A68" s="217" t="s">
        <v>1024</v>
      </c>
      <c r="B68" s="217" t="s">
        <v>375</v>
      </c>
      <c r="C68" s="217" t="s">
        <v>1296</v>
      </c>
      <c r="D68" s="217" t="s">
        <v>1303</v>
      </c>
      <c r="E68" s="222" t="s">
        <v>374</v>
      </c>
      <c r="F68" s="223">
        <v>0.5</v>
      </c>
      <c r="G68" s="203">
        <v>40.074314867967146</v>
      </c>
      <c r="H68" s="203">
        <v>8.5520239436960175</v>
      </c>
      <c r="I68" s="203">
        <v>31.522290924271129</v>
      </c>
      <c r="J68" s="203">
        <v>12.652099790229359</v>
      </c>
      <c r="K68" s="203">
        <v>-8.2285971519560519E-2</v>
      </c>
      <c r="L68" s="203">
        <v>12.569813818709799</v>
      </c>
      <c r="M68" s="203">
        <v>29.158119104950796</v>
      </c>
      <c r="N68" s="224">
        <v>0</v>
      </c>
    </row>
    <row r="69" spans="1:14" x14ac:dyDescent="0.25">
      <c r="A69" s="217" t="s">
        <v>1026</v>
      </c>
      <c r="B69" s="217" t="s">
        <v>379</v>
      </c>
      <c r="C69" s="217" t="s">
        <v>1294</v>
      </c>
      <c r="D69" s="217" t="s">
        <v>1284</v>
      </c>
      <c r="E69" s="222" t="s">
        <v>378</v>
      </c>
      <c r="F69" s="223">
        <v>0.3</v>
      </c>
      <c r="G69" s="203">
        <v>114.56387552381378</v>
      </c>
      <c r="H69" s="203">
        <v>32.556199177361528</v>
      </c>
      <c r="I69" s="203">
        <v>82.007676346452243</v>
      </c>
      <c r="J69" s="203">
        <v>2.691430864503694</v>
      </c>
      <c r="K69" s="203">
        <v>-2.4451367115673417E-2</v>
      </c>
      <c r="L69" s="203">
        <v>2.6669794973880205</v>
      </c>
      <c r="M69" s="203">
        <v>75.85710062046833</v>
      </c>
      <c r="N69" s="224">
        <v>0</v>
      </c>
    </row>
    <row r="70" spans="1:14" x14ac:dyDescent="0.25">
      <c r="A70" s="217" t="s">
        <v>1027</v>
      </c>
      <c r="B70" s="217" t="s">
        <v>381</v>
      </c>
      <c r="C70" s="217" t="s">
        <v>1294</v>
      </c>
      <c r="D70" s="217" t="s">
        <v>1284</v>
      </c>
      <c r="E70" s="222" t="s">
        <v>380</v>
      </c>
      <c r="F70" s="223">
        <v>0.3</v>
      </c>
      <c r="G70" s="203">
        <v>66.997577950330111</v>
      </c>
      <c r="H70" s="203">
        <v>16.275709587102472</v>
      </c>
      <c r="I70" s="203">
        <v>50.721868363227635</v>
      </c>
      <c r="J70" s="203">
        <v>-51.628780853107614</v>
      </c>
      <c r="K70" s="203">
        <v>-8.3687651174756184E-2</v>
      </c>
      <c r="L70" s="203">
        <v>-51.71246850428237</v>
      </c>
      <c r="M70" s="203">
        <v>46.917728235985564</v>
      </c>
      <c r="N70" s="224">
        <v>0.5</v>
      </c>
    </row>
    <row r="71" spans="1:14" x14ac:dyDescent="0.25">
      <c r="A71" s="217" t="s">
        <v>1028</v>
      </c>
      <c r="B71" s="217" t="s">
        <v>54</v>
      </c>
      <c r="C71" s="217" t="s">
        <v>1293</v>
      </c>
      <c r="D71" s="217" t="s">
        <v>1280</v>
      </c>
      <c r="E71" s="222" t="s">
        <v>802</v>
      </c>
      <c r="F71" s="223">
        <v>0.09</v>
      </c>
      <c r="G71" s="203">
        <v>218.38359637585461</v>
      </c>
      <c r="H71" s="203">
        <v>37.640069719996333</v>
      </c>
      <c r="I71" s="203">
        <v>180.74352665585829</v>
      </c>
      <c r="J71" s="203">
        <v>133.15819965659216</v>
      </c>
      <c r="K71" s="203">
        <v>0.41065495534715524</v>
      </c>
      <c r="L71" s="203">
        <v>133.56885461193932</v>
      </c>
      <c r="M71" s="203">
        <v>167.18776215666892</v>
      </c>
      <c r="N71" s="224">
        <v>0</v>
      </c>
    </row>
    <row r="72" spans="1:14" x14ac:dyDescent="0.25">
      <c r="A72" s="217" t="s">
        <v>1029</v>
      </c>
      <c r="B72" s="217" t="s">
        <v>55</v>
      </c>
      <c r="C72" s="217" t="s">
        <v>1281</v>
      </c>
      <c r="D72" s="217" t="s">
        <v>1280</v>
      </c>
      <c r="E72" s="222" t="s">
        <v>1030</v>
      </c>
      <c r="F72" s="223">
        <v>0.01</v>
      </c>
      <c r="G72" s="203">
        <v>21.598171659039423</v>
      </c>
      <c r="H72" s="203">
        <v>7.2624958702357558</v>
      </c>
      <c r="I72" s="203">
        <v>14.335675788803668</v>
      </c>
      <c r="J72" s="203">
        <v>8.1900223265695384</v>
      </c>
      <c r="K72" s="203">
        <v>4.0388324440726819E-2</v>
      </c>
      <c r="L72" s="203">
        <v>8.2304106510102653</v>
      </c>
      <c r="M72" s="203">
        <v>13.260500104643393</v>
      </c>
      <c r="N72" s="224">
        <v>0</v>
      </c>
    </row>
    <row r="73" spans="1:14" x14ac:dyDescent="0.25">
      <c r="A73" s="217" t="s">
        <v>1034</v>
      </c>
      <c r="B73" s="217" t="s">
        <v>389</v>
      </c>
      <c r="C73" s="217" t="s">
        <v>1283</v>
      </c>
      <c r="D73" s="217" t="s">
        <v>1284</v>
      </c>
      <c r="E73" s="222" t="s">
        <v>388</v>
      </c>
      <c r="F73" s="223">
        <v>0.3</v>
      </c>
      <c r="G73" s="203">
        <v>22.770145599160021</v>
      </c>
      <c r="H73" s="203">
        <v>1.5452994988877886</v>
      </c>
      <c r="I73" s="203">
        <v>21.224846100272231</v>
      </c>
      <c r="J73" s="203">
        <v>-4.1537447505265606</v>
      </c>
      <c r="K73" s="203">
        <v>0.11489141856169027</v>
      </c>
      <c r="L73" s="203">
        <v>-4.0388533319648703</v>
      </c>
      <c r="M73" s="203">
        <v>19.632982642751813</v>
      </c>
      <c r="N73" s="224">
        <v>0.16367121473259516</v>
      </c>
    </row>
    <row r="74" spans="1:14" x14ac:dyDescent="0.25">
      <c r="A74" s="217" t="s">
        <v>1035</v>
      </c>
      <c r="B74" s="217" t="s">
        <v>391</v>
      </c>
      <c r="C74" s="217" t="s">
        <v>1285</v>
      </c>
      <c r="D74" s="217" t="s">
        <v>1292</v>
      </c>
      <c r="E74" s="222" t="s">
        <v>390</v>
      </c>
      <c r="F74" s="223">
        <v>0.49</v>
      </c>
      <c r="G74" s="203">
        <v>102.35553186521753</v>
      </c>
      <c r="H74" s="203">
        <v>22.824954911219578</v>
      </c>
      <c r="I74" s="203">
        <v>79.530576953997951</v>
      </c>
      <c r="J74" s="203">
        <v>27.711427741280907</v>
      </c>
      <c r="K74" s="203">
        <v>0.22673973753613552</v>
      </c>
      <c r="L74" s="203">
        <v>27.938167478817043</v>
      </c>
      <c r="M74" s="203">
        <v>73.565783682448114</v>
      </c>
      <c r="N74" s="224">
        <v>0</v>
      </c>
    </row>
    <row r="75" spans="1:14" x14ac:dyDescent="0.25">
      <c r="A75" s="217" t="s">
        <v>1036</v>
      </c>
      <c r="B75" s="217" t="s">
        <v>393</v>
      </c>
      <c r="C75" s="217" t="s">
        <v>1285</v>
      </c>
      <c r="D75" s="217" t="s">
        <v>1302</v>
      </c>
      <c r="E75" s="222" t="s">
        <v>392</v>
      </c>
      <c r="F75" s="223">
        <v>0.49</v>
      </c>
      <c r="G75" s="203">
        <v>87.121210101275153</v>
      </c>
      <c r="H75" s="203">
        <v>27.109168160644927</v>
      </c>
      <c r="I75" s="203">
        <v>60.012041940630219</v>
      </c>
      <c r="J75" s="203">
        <v>39.791273849193885</v>
      </c>
      <c r="K75" s="203">
        <v>0.62465650674047879</v>
      </c>
      <c r="L75" s="203">
        <v>40.415930355934364</v>
      </c>
      <c r="M75" s="203">
        <v>55.511138795082957</v>
      </c>
      <c r="N75" s="224">
        <v>0</v>
      </c>
    </row>
    <row r="76" spans="1:14" x14ac:dyDescent="0.25">
      <c r="A76" s="217" t="s">
        <v>1037</v>
      </c>
      <c r="B76" s="217" t="s">
        <v>396</v>
      </c>
      <c r="C76" s="217" t="s">
        <v>1294</v>
      </c>
      <c r="D76" s="217" t="s">
        <v>1284</v>
      </c>
      <c r="E76" s="222" t="s">
        <v>395</v>
      </c>
      <c r="F76" s="223">
        <v>0.3</v>
      </c>
      <c r="G76" s="203">
        <v>150.04293773602214</v>
      </c>
      <c r="H76" s="203">
        <v>42.761630562565195</v>
      </c>
      <c r="I76" s="203">
        <v>107.28130717345695</v>
      </c>
      <c r="J76" s="203">
        <v>61.326242012699723</v>
      </c>
      <c r="K76" s="203">
        <v>0.87555932561252092</v>
      </c>
      <c r="L76" s="203">
        <v>62.201801338312244</v>
      </c>
      <c r="M76" s="203">
        <v>99.23520913544769</v>
      </c>
      <c r="N76" s="224">
        <v>0</v>
      </c>
    </row>
    <row r="77" spans="1:14" x14ac:dyDescent="0.25">
      <c r="A77" s="217" t="s">
        <v>1042</v>
      </c>
      <c r="B77" s="217" t="s">
        <v>400</v>
      </c>
      <c r="C77" s="217" t="s">
        <v>1285</v>
      </c>
      <c r="D77" s="217" t="s">
        <v>1292</v>
      </c>
      <c r="E77" s="222" t="s">
        <v>399</v>
      </c>
      <c r="F77" s="223">
        <v>0.49</v>
      </c>
      <c r="G77" s="203">
        <v>198.88432525607084</v>
      </c>
      <c r="H77" s="203">
        <v>46.482481554515999</v>
      </c>
      <c r="I77" s="203">
        <v>152.40184370155484</v>
      </c>
      <c r="J77" s="203">
        <v>-13.811653154485969</v>
      </c>
      <c r="K77" s="203">
        <v>-1.927933152605199E-2</v>
      </c>
      <c r="L77" s="203">
        <v>-13.830932486012021</v>
      </c>
      <c r="M77" s="203">
        <v>140.97170542393823</v>
      </c>
      <c r="N77" s="224">
        <v>8.3095857009091501E-2</v>
      </c>
    </row>
    <row r="78" spans="1:14" x14ac:dyDescent="0.25">
      <c r="A78" s="217" t="s">
        <v>1048</v>
      </c>
      <c r="B78" s="217" t="s">
        <v>406</v>
      </c>
      <c r="C78" s="217" t="s">
        <v>1294</v>
      </c>
      <c r="D78" s="217" t="s">
        <v>1284</v>
      </c>
      <c r="E78" s="222" t="s">
        <v>405</v>
      </c>
      <c r="F78" s="223">
        <v>0.3</v>
      </c>
      <c r="G78" s="203">
        <v>128.4700806434966</v>
      </c>
      <c r="H78" s="203">
        <v>36.939854003693789</v>
      </c>
      <c r="I78" s="203">
        <v>91.530226639802805</v>
      </c>
      <c r="J78" s="203">
        <v>72.313225644645016</v>
      </c>
      <c r="K78" s="203">
        <v>1.0272200944794605</v>
      </c>
      <c r="L78" s="203">
        <v>73.340445739124476</v>
      </c>
      <c r="M78" s="203">
        <v>84.665459641817606</v>
      </c>
      <c r="N78" s="224">
        <v>0</v>
      </c>
    </row>
    <row r="79" spans="1:14" x14ac:dyDescent="0.25">
      <c r="A79" s="217" t="s">
        <v>1050</v>
      </c>
      <c r="B79" s="217" t="s">
        <v>410</v>
      </c>
      <c r="C79" s="217" t="s">
        <v>1278</v>
      </c>
      <c r="D79" s="217" t="s">
        <v>1290</v>
      </c>
      <c r="E79" s="222" t="s">
        <v>409</v>
      </c>
      <c r="F79" s="223">
        <v>0.4</v>
      </c>
      <c r="G79" s="203">
        <v>4.1969162657858483</v>
      </c>
      <c r="H79" s="203">
        <v>0.52795727360197064</v>
      </c>
      <c r="I79" s="203">
        <v>3.6689589921838777</v>
      </c>
      <c r="J79" s="203">
        <v>-12.595311820247908</v>
      </c>
      <c r="K79" s="203">
        <v>0.16948709998254863</v>
      </c>
      <c r="L79" s="203">
        <v>-12.425824720265359</v>
      </c>
      <c r="M79" s="203">
        <v>3.393787067770087</v>
      </c>
      <c r="N79" s="224">
        <v>0.5</v>
      </c>
    </row>
    <row r="80" spans="1:14" x14ac:dyDescent="0.25">
      <c r="A80" s="217" t="s">
        <v>1051</v>
      </c>
      <c r="B80" s="217" t="s">
        <v>116</v>
      </c>
      <c r="C80" s="217" t="s">
        <v>1298</v>
      </c>
      <c r="D80" s="217" t="s">
        <v>1290</v>
      </c>
      <c r="E80" s="222" t="s">
        <v>805</v>
      </c>
      <c r="F80" s="223">
        <v>0.1</v>
      </c>
      <c r="G80" s="203">
        <v>141.18407633122573</v>
      </c>
      <c r="H80" s="203">
        <v>33.964283494682213</v>
      </c>
      <c r="I80" s="203">
        <v>107.2197928365435</v>
      </c>
      <c r="J80" s="203">
        <v>87.825788278845565</v>
      </c>
      <c r="K80" s="203">
        <v>0.11957121938065995</v>
      </c>
      <c r="L80" s="203">
        <v>87.945359498226225</v>
      </c>
      <c r="M80" s="203">
        <v>99.17830837380275</v>
      </c>
      <c r="N80" s="224">
        <v>0</v>
      </c>
    </row>
    <row r="81" spans="1:14" x14ac:dyDescent="0.25">
      <c r="A81" s="217" t="s">
        <v>1052</v>
      </c>
      <c r="B81" s="217" t="s">
        <v>412</v>
      </c>
      <c r="C81" s="217" t="s">
        <v>1285</v>
      </c>
      <c r="D81" s="217" t="s">
        <v>1302</v>
      </c>
      <c r="E81" s="222" t="s">
        <v>411</v>
      </c>
      <c r="F81" s="223">
        <v>0.49</v>
      </c>
      <c r="G81" s="203">
        <v>239.05490627686865</v>
      </c>
      <c r="H81" s="203">
        <v>69.076433304482805</v>
      </c>
      <c r="I81" s="203">
        <v>169.97847297238584</v>
      </c>
      <c r="J81" s="203">
        <v>75.192728608242291</v>
      </c>
      <c r="K81" s="203">
        <v>0.1804893256136495</v>
      </c>
      <c r="L81" s="203">
        <v>75.37321793385594</v>
      </c>
      <c r="M81" s="203">
        <v>157.23008749945691</v>
      </c>
      <c r="N81" s="224">
        <v>0</v>
      </c>
    </row>
    <row r="82" spans="1:14" x14ac:dyDescent="0.25">
      <c r="A82" s="217" t="s">
        <v>1054</v>
      </c>
      <c r="B82" s="217" t="s">
        <v>416</v>
      </c>
      <c r="C82" s="217" t="s">
        <v>1278</v>
      </c>
      <c r="D82" s="217" t="s">
        <v>1280</v>
      </c>
      <c r="E82" s="222" t="s">
        <v>415</v>
      </c>
      <c r="F82" s="223">
        <v>0.4</v>
      </c>
      <c r="G82" s="203">
        <v>3.135707016154103</v>
      </c>
      <c r="H82" s="203">
        <v>0</v>
      </c>
      <c r="I82" s="203">
        <v>3.135707016154103</v>
      </c>
      <c r="J82" s="203">
        <v>-18.602194413172441</v>
      </c>
      <c r="K82" s="203">
        <v>5.1000979980571515E-2</v>
      </c>
      <c r="L82" s="203">
        <v>-18.55119343319187</v>
      </c>
      <c r="M82" s="203">
        <v>2.9005289899425453</v>
      </c>
      <c r="N82" s="224">
        <v>0.5</v>
      </c>
    </row>
    <row r="83" spans="1:14" x14ac:dyDescent="0.25">
      <c r="A83" s="217" t="s">
        <v>1057</v>
      </c>
      <c r="B83" s="217" t="s">
        <v>423</v>
      </c>
      <c r="C83" s="217" t="s">
        <v>1285</v>
      </c>
      <c r="D83" s="217" t="s">
        <v>1289</v>
      </c>
      <c r="E83" s="222" t="s">
        <v>422</v>
      </c>
      <c r="F83" s="223">
        <v>0.49</v>
      </c>
      <c r="G83" s="203">
        <v>245.70053301848554</v>
      </c>
      <c r="H83" s="203">
        <v>73.739867266391698</v>
      </c>
      <c r="I83" s="203">
        <v>171.96066575209383</v>
      </c>
      <c r="J83" s="203">
        <v>15.261412592923211</v>
      </c>
      <c r="K83" s="203">
        <v>1.1803082033073835</v>
      </c>
      <c r="L83" s="203">
        <v>16.441720796230594</v>
      </c>
      <c r="M83" s="203">
        <v>159.06361582068681</v>
      </c>
      <c r="N83" s="224">
        <v>0</v>
      </c>
    </row>
    <row r="84" spans="1:14" x14ac:dyDescent="0.25">
      <c r="A84" s="217" t="s">
        <v>1059</v>
      </c>
      <c r="B84" s="217" t="s">
        <v>427</v>
      </c>
      <c r="C84" s="217" t="s">
        <v>1286</v>
      </c>
      <c r="D84" s="217" t="s">
        <v>1280</v>
      </c>
      <c r="E84" s="222" t="s">
        <v>426</v>
      </c>
      <c r="F84" s="223">
        <v>0.49</v>
      </c>
      <c r="G84" s="203">
        <v>58.684663184106057</v>
      </c>
      <c r="H84" s="203">
        <v>12.306285250541427</v>
      </c>
      <c r="I84" s="203">
        <v>46.378377933564629</v>
      </c>
      <c r="J84" s="203">
        <v>4.323478676153905</v>
      </c>
      <c r="K84" s="203">
        <v>-0.34322667832908804</v>
      </c>
      <c r="L84" s="203">
        <v>3.980251997824817</v>
      </c>
      <c r="M84" s="203">
        <v>42.899999588547281</v>
      </c>
      <c r="N84" s="224">
        <v>0</v>
      </c>
    </row>
    <row r="85" spans="1:14" x14ac:dyDescent="0.25">
      <c r="A85" s="217" t="s">
        <v>1063</v>
      </c>
      <c r="B85" s="217" t="s">
        <v>434</v>
      </c>
      <c r="C85" s="217" t="s">
        <v>1283</v>
      </c>
      <c r="D85" s="217" t="s">
        <v>1284</v>
      </c>
      <c r="E85" s="222" t="s">
        <v>433</v>
      </c>
      <c r="F85" s="223">
        <v>0.3</v>
      </c>
      <c r="G85" s="203">
        <v>44.662386875858395</v>
      </c>
      <c r="H85" s="203">
        <v>10.070889694256946</v>
      </c>
      <c r="I85" s="203">
        <v>34.591497181601447</v>
      </c>
      <c r="J85" s="203">
        <v>9.1711878780371219</v>
      </c>
      <c r="K85" s="203">
        <v>-0.17908568585980156</v>
      </c>
      <c r="L85" s="203">
        <v>8.9921021921773203</v>
      </c>
      <c r="M85" s="203">
        <v>31.99713489298134</v>
      </c>
      <c r="N85" s="224">
        <v>0</v>
      </c>
    </row>
    <row r="86" spans="1:14" x14ac:dyDescent="0.25">
      <c r="A86" s="217" t="s">
        <v>1064</v>
      </c>
      <c r="B86" s="217" t="s">
        <v>436</v>
      </c>
      <c r="C86" s="217" t="s">
        <v>1278</v>
      </c>
      <c r="D86" s="217" t="s">
        <v>1299</v>
      </c>
      <c r="E86" s="222" t="s">
        <v>435</v>
      </c>
      <c r="F86" s="223">
        <v>0.4</v>
      </c>
      <c r="G86" s="203">
        <v>2.3080747326261273</v>
      </c>
      <c r="H86" s="203">
        <v>0.17926448776922749</v>
      </c>
      <c r="I86" s="203">
        <v>2.1288102448568997</v>
      </c>
      <c r="J86" s="203">
        <v>-3.8768696110070584</v>
      </c>
      <c r="K86" s="203">
        <v>1.0756084441480684E-2</v>
      </c>
      <c r="L86" s="203">
        <v>-3.8661135265655777</v>
      </c>
      <c r="M86" s="203">
        <v>1.9691494764926323</v>
      </c>
      <c r="N86" s="224">
        <v>0.5</v>
      </c>
    </row>
    <row r="87" spans="1:14" x14ac:dyDescent="0.25">
      <c r="A87" s="217" t="s">
        <v>1065</v>
      </c>
      <c r="B87" s="217" t="s">
        <v>438</v>
      </c>
      <c r="C87" s="217" t="s">
        <v>1278</v>
      </c>
      <c r="D87" s="217" t="s">
        <v>1282</v>
      </c>
      <c r="E87" s="222" t="s">
        <v>437</v>
      </c>
      <c r="F87" s="223">
        <v>0.4</v>
      </c>
      <c r="G87" s="203">
        <v>2.2237120572423774</v>
      </c>
      <c r="H87" s="203">
        <v>3.6107234741526655E-2</v>
      </c>
      <c r="I87" s="203">
        <v>2.1876048225008509</v>
      </c>
      <c r="J87" s="203">
        <v>-6.5433237514287343</v>
      </c>
      <c r="K87" s="203">
        <v>0.15684601560235478</v>
      </c>
      <c r="L87" s="203">
        <v>-6.3864777358263796</v>
      </c>
      <c r="M87" s="203">
        <v>2.0235344608132873</v>
      </c>
      <c r="N87" s="224">
        <v>0.5</v>
      </c>
    </row>
    <row r="88" spans="1:14" x14ac:dyDescent="0.25">
      <c r="A88" s="217" t="s">
        <v>1069</v>
      </c>
      <c r="B88" s="217" t="s">
        <v>446</v>
      </c>
      <c r="C88" s="217" t="s">
        <v>1278</v>
      </c>
      <c r="D88" s="217" t="s">
        <v>1300</v>
      </c>
      <c r="E88" s="222" t="s">
        <v>445</v>
      </c>
      <c r="F88" s="223">
        <v>0.4</v>
      </c>
      <c r="G88" s="203">
        <v>1.2372361774617797</v>
      </c>
      <c r="H88" s="203">
        <v>0</v>
      </c>
      <c r="I88" s="203">
        <v>1.2372361774617797</v>
      </c>
      <c r="J88" s="203">
        <v>-15.58813281425571</v>
      </c>
      <c r="K88" s="203">
        <v>0.31850290393865244</v>
      </c>
      <c r="L88" s="203">
        <v>-15.269629910317057</v>
      </c>
      <c r="M88" s="203">
        <v>1.1444434641521464</v>
      </c>
      <c r="N88" s="224">
        <v>0.5</v>
      </c>
    </row>
    <row r="89" spans="1:14" x14ac:dyDescent="0.25">
      <c r="A89" s="217" t="s">
        <v>1075</v>
      </c>
      <c r="B89" s="217" t="s">
        <v>456</v>
      </c>
      <c r="C89" s="217" t="s">
        <v>1283</v>
      </c>
      <c r="D89" s="217" t="s">
        <v>1284</v>
      </c>
      <c r="E89" s="222" t="s">
        <v>455</v>
      </c>
      <c r="F89" s="223">
        <v>0.3</v>
      </c>
      <c r="G89" s="203">
        <v>153.63791550239102</v>
      </c>
      <c r="H89" s="203">
        <v>46.411746927983685</v>
      </c>
      <c r="I89" s="203">
        <v>107.22616857440734</v>
      </c>
      <c r="J89" s="203">
        <v>71.887527149559375</v>
      </c>
      <c r="K89" s="203">
        <v>0.38307379856826174</v>
      </c>
      <c r="L89" s="203">
        <v>72.270600948127637</v>
      </c>
      <c r="M89" s="203">
        <v>99.184205931326787</v>
      </c>
      <c r="N89" s="224">
        <v>0</v>
      </c>
    </row>
    <row r="90" spans="1:14" x14ac:dyDescent="0.25">
      <c r="A90" s="217" t="s">
        <v>1077</v>
      </c>
      <c r="B90" s="217" t="s">
        <v>458</v>
      </c>
      <c r="C90" s="217" t="s">
        <v>1278</v>
      </c>
      <c r="D90" s="217" t="s">
        <v>1299</v>
      </c>
      <c r="E90" s="222" t="s">
        <v>457</v>
      </c>
      <c r="F90" s="223">
        <v>0.4</v>
      </c>
      <c r="G90" s="203">
        <v>3.3219477989493185</v>
      </c>
      <c r="H90" s="203">
        <v>0.44508046975121834</v>
      </c>
      <c r="I90" s="203">
        <v>2.8768673291981002</v>
      </c>
      <c r="J90" s="203">
        <v>-9.618628644987318</v>
      </c>
      <c r="K90" s="203">
        <v>1.6943026768940328E-2</v>
      </c>
      <c r="L90" s="203">
        <v>-9.6016856182183776</v>
      </c>
      <c r="M90" s="203">
        <v>2.6611022795082429</v>
      </c>
      <c r="N90" s="224">
        <v>0.5</v>
      </c>
    </row>
    <row r="91" spans="1:14" x14ac:dyDescent="0.25">
      <c r="A91" s="217" t="s">
        <v>1079</v>
      </c>
      <c r="B91" s="217" t="s">
        <v>462</v>
      </c>
      <c r="C91" s="217" t="s">
        <v>1278</v>
      </c>
      <c r="D91" s="217" t="s">
        <v>1279</v>
      </c>
      <c r="E91" s="222" t="s">
        <v>461</v>
      </c>
      <c r="F91" s="223">
        <v>0.4</v>
      </c>
      <c r="G91" s="203">
        <v>3.0360320848327551</v>
      </c>
      <c r="H91" s="203">
        <v>0.34080381334135124</v>
      </c>
      <c r="I91" s="203">
        <v>2.6952282714914038</v>
      </c>
      <c r="J91" s="203">
        <v>-3.134190442085294</v>
      </c>
      <c r="K91" s="203">
        <v>1.8874915614373045E-3</v>
      </c>
      <c r="L91" s="203">
        <v>-3.1323029505238567</v>
      </c>
      <c r="M91" s="203">
        <v>2.4930861511295488</v>
      </c>
      <c r="N91" s="224">
        <v>0.5</v>
      </c>
    </row>
    <row r="92" spans="1:14" x14ac:dyDescent="0.25">
      <c r="A92" s="217" t="s">
        <v>1082</v>
      </c>
      <c r="B92" s="217" t="s">
        <v>468</v>
      </c>
      <c r="C92" s="217" t="s">
        <v>1278</v>
      </c>
      <c r="D92" s="217" t="s">
        <v>1290</v>
      </c>
      <c r="E92" s="222" t="s">
        <v>467</v>
      </c>
      <c r="F92" s="223">
        <v>0.4</v>
      </c>
      <c r="G92" s="203">
        <v>3.335875449808233</v>
      </c>
      <c r="H92" s="203">
        <v>0.34071434019608332</v>
      </c>
      <c r="I92" s="203">
        <v>2.9951611096121495</v>
      </c>
      <c r="J92" s="203">
        <v>-6.2656450679311249</v>
      </c>
      <c r="K92" s="203">
        <v>7.6602415627968767E-2</v>
      </c>
      <c r="L92" s="203">
        <v>-6.1890426523031561</v>
      </c>
      <c r="M92" s="203">
        <v>2.7705240263912385</v>
      </c>
      <c r="N92" s="224">
        <v>0.5</v>
      </c>
    </row>
    <row r="93" spans="1:14" x14ac:dyDescent="0.25">
      <c r="A93" s="217" t="s">
        <v>1083</v>
      </c>
      <c r="B93" s="217" t="s">
        <v>470</v>
      </c>
      <c r="C93" s="217" t="s">
        <v>1286</v>
      </c>
      <c r="D93" s="217" t="s">
        <v>1290</v>
      </c>
      <c r="E93" s="222" t="s">
        <v>469</v>
      </c>
      <c r="F93" s="223">
        <v>0.49</v>
      </c>
      <c r="G93" s="203">
        <v>42.122748412177991</v>
      </c>
      <c r="H93" s="203">
        <v>10.214764782988327</v>
      </c>
      <c r="I93" s="203">
        <v>31.907983629189662</v>
      </c>
      <c r="J93" s="203">
        <v>-3.6043680920855379</v>
      </c>
      <c r="K93" s="203">
        <v>-1.460760235387859E-2</v>
      </c>
      <c r="L93" s="203">
        <v>-3.6189756944394165</v>
      </c>
      <c r="M93" s="203">
        <v>29.514884857000439</v>
      </c>
      <c r="N93" s="224">
        <v>0.10149618671020444</v>
      </c>
    </row>
    <row r="94" spans="1:14" x14ac:dyDescent="0.25">
      <c r="A94" s="217" t="s">
        <v>1103</v>
      </c>
      <c r="B94" s="217" t="s">
        <v>495</v>
      </c>
      <c r="C94" s="217" t="s">
        <v>1285</v>
      </c>
      <c r="D94" s="217" t="s">
        <v>1289</v>
      </c>
      <c r="E94" s="222" t="s">
        <v>494</v>
      </c>
      <c r="F94" s="223">
        <v>0.49</v>
      </c>
      <c r="G94" s="203">
        <v>85.925057457517681</v>
      </c>
      <c r="H94" s="203">
        <v>23.599867664225044</v>
      </c>
      <c r="I94" s="203">
        <v>62.325189793292644</v>
      </c>
      <c r="J94" s="203">
        <v>35.110188723825949</v>
      </c>
      <c r="K94" s="203">
        <v>7.154808959712966E-2</v>
      </c>
      <c r="L94" s="203">
        <v>35.181736813423079</v>
      </c>
      <c r="M94" s="203">
        <v>57.650800558795702</v>
      </c>
      <c r="N94" s="224">
        <v>0</v>
      </c>
    </row>
    <row r="95" spans="1:14" x14ac:dyDescent="0.25">
      <c r="A95" s="217" t="s">
        <v>1108</v>
      </c>
      <c r="B95" s="217" t="s">
        <v>503</v>
      </c>
      <c r="C95" s="217" t="s">
        <v>1286</v>
      </c>
      <c r="D95" s="217" t="s">
        <v>1299</v>
      </c>
      <c r="E95" s="222" t="s">
        <v>502</v>
      </c>
      <c r="F95" s="223">
        <v>0.49</v>
      </c>
      <c r="G95" s="203">
        <v>72.436398588400607</v>
      </c>
      <c r="H95" s="203">
        <v>16.322745562191699</v>
      </c>
      <c r="I95" s="203">
        <v>56.113653026208901</v>
      </c>
      <c r="J95" s="203">
        <v>14.270590939838467</v>
      </c>
      <c r="K95" s="203">
        <v>8.8991401629384015E-2</v>
      </c>
      <c r="L95" s="203">
        <v>14.359582341467851</v>
      </c>
      <c r="M95" s="203">
        <v>51.905129049243236</v>
      </c>
      <c r="N95" s="224">
        <v>0</v>
      </c>
    </row>
    <row r="96" spans="1:14" x14ac:dyDescent="0.25">
      <c r="A96" s="217" t="s">
        <v>1110</v>
      </c>
      <c r="B96" s="217" t="s">
        <v>507</v>
      </c>
      <c r="C96" s="217" t="s">
        <v>1286</v>
      </c>
      <c r="D96" s="217" t="s">
        <v>1303</v>
      </c>
      <c r="E96" s="222" t="s">
        <v>506</v>
      </c>
      <c r="F96" s="223">
        <v>0.49</v>
      </c>
      <c r="G96" s="203">
        <v>63.630060497087371</v>
      </c>
      <c r="H96" s="203">
        <v>16.956584241191162</v>
      </c>
      <c r="I96" s="203">
        <v>46.673476255896205</v>
      </c>
      <c r="J96" s="203">
        <v>6.687711835799937</v>
      </c>
      <c r="K96" s="203">
        <v>0.50864909389011626</v>
      </c>
      <c r="L96" s="203">
        <v>7.1963609296900533</v>
      </c>
      <c r="M96" s="203">
        <v>43.172965536703991</v>
      </c>
      <c r="N96" s="224">
        <v>0</v>
      </c>
    </row>
    <row r="97" spans="1:14" x14ac:dyDescent="0.25">
      <c r="A97" s="217" t="s">
        <v>1117</v>
      </c>
      <c r="B97" s="217" t="s">
        <v>513</v>
      </c>
      <c r="C97" s="217" t="s">
        <v>1286</v>
      </c>
      <c r="D97" s="217" t="s">
        <v>1291</v>
      </c>
      <c r="E97" s="222" t="s">
        <v>512</v>
      </c>
      <c r="F97" s="223">
        <v>0.49</v>
      </c>
      <c r="G97" s="203">
        <v>35.735714774908189</v>
      </c>
      <c r="H97" s="203">
        <v>6.2094766165624353</v>
      </c>
      <c r="I97" s="203">
        <v>29.526238158345752</v>
      </c>
      <c r="J97" s="203">
        <v>-28.270286113626526</v>
      </c>
      <c r="K97" s="203">
        <v>3.7813739052484863E-2</v>
      </c>
      <c r="L97" s="203">
        <v>-28.232472374574041</v>
      </c>
      <c r="M97" s="203">
        <v>27.31177029646982</v>
      </c>
      <c r="N97" s="224">
        <v>0.48913470670560721</v>
      </c>
    </row>
    <row r="98" spans="1:14" x14ac:dyDescent="0.25">
      <c r="A98" s="217" t="s">
        <v>1118</v>
      </c>
      <c r="B98" s="217" t="s">
        <v>515</v>
      </c>
      <c r="C98" s="217" t="s">
        <v>1283</v>
      </c>
      <c r="D98" s="217" t="s">
        <v>1284</v>
      </c>
      <c r="E98" s="222" t="s">
        <v>514</v>
      </c>
      <c r="F98" s="223">
        <v>0.3</v>
      </c>
      <c r="G98" s="203">
        <v>68.184933657028552</v>
      </c>
      <c r="H98" s="203">
        <v>16.77971901987641</v>
      </c>
      <c r="I98" s="203">
        <v>51.405214637152149</v>
      </c>
      <c r="J98" s="203">
        <v>32.750486772495044</v>
      </c>
      <c r="K98" s="203">
        <v>1.1478188652844779E-2</v>
      </c>
      <c r="L98" s="203">
        <v>32.761964961147889</v>
      </c>
      <c r="M98" s="203">
        <v>47.54982353936574</v>
      </c>
      <c r="N98" s="224">
        <v>0</v>
      </c>
    </row>
    <row r="99" spans="1:14" x14ac:dyDescent="0.25">
      <c r="A99" s="217" t="s">
        <v>1121</v>
      </c>
      <c r="B99" s="217" t="s">
        <v>521</v>
      </c>
      <c r="C99" s="217" t="s">
        <v>1278</v>
      </c>
      <c r="D99" s="217" t="s">
        <v>1300</v>
      </c>
      <c r="E99" s="222" t="s">
        <v>520</v>
      </c>
      <c r="F99" s="223">
        <v>0.4</v>
      </c>
      <c r="G99" s="203">
        <v>2.2947267955904986</v>
      </c>
      <c r="H99" s="203">
        <v>0</v>
      </c>
      <c r="I99" s="203">
        <v>2.2947267955904986</v>
      </c>
      <c r="J99" s="203">
        <v>-18.752189364617919</v>
      </c>
      <c r="K99" s="203">
        <v>0.20687978136756868</v>
      </c>
      <c r="L99" s="203">
        <v>-18.545309583250351</v>
      </c>
      <c r="M99" s="203">
        <v>2.1226222859212114</v>
      </c>
      <c r="N99" s="224">
        <v>0.5</v>
      </c>
    </row>
    <row r="100" spans="1:14" x14ac:dyDescent="0.25">
      <c r="A100" s="217" t="s">
        <v>1123</v>
      </c>
      <c r="B100" s="217" t="s">
        <v>525</v>
      </c>
      <c r="C100" s="217" t="s">
        <v>1283</v>
      </c>
      <c r="D100" s="217" t="s">
        <v>1284</v>
      </c>
      <c r="E100" s="222" t="s">
        <v>524</v>
      </c>
      <c r="F100" s="223">
        <v>0.3</v>
      </c>
      <c r="G100" s="203">
        <v>21.714303706927137</v>
      </c>
      <c r="H100" s="203">
        <v>0</v>
      </c>
      <c r="I100" s="203">
        <v>21.714303706927137</v>
      </c>
      <c r="J100" s="203">
        <v>-4.7681380807418687</v>
      </c>
      <c r="K100" s="203">
        <v>1.1311438070164215E-2</v>
      </c>
      <c r="L100" s="203">
        <v>-4.7568266426717045</v>
      </c>
      <c r="M100" s="203">
        <v>20.085730928907601</v>
      </c>
      <c r="N100" s="224">
        <v>0.18004902720255012</v>
      </c>
    </row>
    <row r="101" spans="1:14" x14ac:dyDescent="0.25">
      <c r="A101" s="217" t="s">
        <v>1125</v>
      </c>
      <c r="B101" s="217" t="s">
        <v>529</v>
      </c>
      <c r="C101" s="217" t="s">
        <v>1285</v>
      </c>
      <c r="D101" s="217" t="s">
        <v>1289</v>
      </c>
      <c r="E101" s="222" t="s">
        <v>528</v>
      </c>
      <c r="F101" s="223">
        <v>0.49</v>
      </c>
      <c r="G101" s="203">
        <v>82.431473768091976</v>
      </c>
      <c r="H101" s="203">
        <v>23.410140857536152</v>
      </c>
      <c r="I101" s="203">
        <v>59.021332910555827</v>
      </c>
      <c r="J101" s="203">
        <v>30.951453306268171</v>
      </c>
      <c r="K101" s="203">
        <v>-8.5837626664105215E-2</v>
      </c>
      <c r="L101" s="203">
        <v>30.865615679604065</v>
      </c>
      <c r="M101" s="203">
        <v>54.594732942264145</v>
      </c>
      <c r="N101" s="224">
        <v>0</v>
      </c>
    </row>
    <row r="102" spans="1:14" x14ac:dyDescent="0.25">
      <c r="A102" s="217" t="s">
        <v>1131</v>
      </c>
      <c r="B102" s="217" t="s">
        <v>541</v>
      </c>
      <c r="C102" s="217" t="s">
        <v>1278</v>
      </c>
      <c r="D102" s="217" t="s">
        <v>1300</v>
      </c>
      <c r="E102" s="222" t="s">
        <v>540</v>
      </c>
      <c r="F102" s="223">
        <v>0.4</v>
      </c>
      <c r="G102" s="203">
        <v>1.7934417948476722</v>
      </c>
      <c r="H102" s="203">
        <v>1.051440163297113E-2</v>
      </c>
      <c r="I102" s="203">
        <v>1.782927393214701</v>
      </c>
      <c r="J102" s="203">
        <v>-19.141340602510621</v>
      </c>
      <c r="K102" s="203">
        <v>0.17738748484010003</v>
      </c>
      <c r="L102" s="203">
        <v>-18.96395311767052</v>
      </c>
      <c r="M102" s="203">
        <v>1.6492078387235984</v>
      </c>
      <c r="N102" s="224">
        <v>0.5</v>
      </c>
    </row>
    <row r="103" spans="1:14" x14ac:dyDescent="0.25">
      <c r="A103" s="217" t="s">
        <v>1136</v>
      </c>
      <c r="B103" s="217" t="s">
        <v>551</v>
      </c>
      <c r="C103" s="217" t="s">
        <v>1285</v>
      </c>
      <c r="D103" s="217" t="s">
        <v>1289</v>
      </c>
      <c r="E103" s="222" t="s">
        <v>550</v>
      </c>
      <c r="F103" s="223">
        <v>0.49</v>
      </c>
      <c r="G103" s="203">
        <v>97.956753392126018</v>
      </c>
      <c r="H103" s="203">
        <v>28.089791529259994</v>
      </c>
      <c r="I103" s="203">
        <v>69.86696186286602</v>
      </c>
      <c r="J103" s="203">
        <v>32.80580170520755</v>
      </c>
      <c r="K103" s="203">
        <v>-6.0464277282790135E-5</v>
      </c>
      <c r="L103" s="203">
        <v>32.805741240930267</v>
      </c>
      <c r="M103" s="203">
        <v>64.626939723151068</v>
      </c>
      <c r="N103" s="224">
        <v>0</v>
      </c>
    </row>
    <row r="104" spans="1:14" x14ac:dyDescent="0.25">
      <c r="A104" s="217" t="s">
        <v>1137</v>
      </c>
      <c r="B104" s="217" t="s">
        <v>553</v>
      </c>
      <c r="C104" s="217" t="s">
        <v>1285</v>
      </c>
      <c r="D104" s="217" t="s">
        <v>1288</v>
      </c>
      <c r="E104" s="222" t="s">
        <v>552</v>
      </c>
      <c r="F104" s="223">
        <v>0.49</v>
      </c>
      <c r="G104" s="203">
        <v>141.4093475127149</v>
      </c>
      <c r="H104" s="203">
        <v>43.523043835704108</v>
      </c>
      <c r="I104" s="203">
        <v>97.886303677010787</v>
      </c>
      <c r="J104" s="203">
        <v>52.950027766561718</v>
      </c>
      <c r="K104" s="203">
        <v>-0.24624210778890898</v>
      </c>
      <c r="L104" s="203">
        <v>52.703785658772809</v>
      </c>
      <c r="M104" s="203">
        <v>90.544830901234988</v>
      </c>
      <c r="N104" s="224">
        <v>0</v>
      </c>
    </row>
    <row r="105" spans="1:14" x14ac:dyDescent="0.25">
      <c r="A105" s="217" t="s">
        <v>1140</v>
      </c>
      <c r="B105" s="217" t="s">
        <v>559</v>
      </c>
      <c r="C105" s="217" t="s">
        <v>1285</v>
      </c>
      <c r="D105" s="217" t="s">
        <v>1302</v>
      </c>
      <c r="E105" s="222" t="s">
        <v>558</v>
      </c>
      <c r="F105" s="223">
        <v>0.49</v>
      </c>
      <c r="G105" s="203">
        <v>81.90668509873133</v>
      </c>
      <c r="H105" s="203">
        <v>19.439720086580053</v>
      </c>
      <c r="I105" s="203">
        <v>62.466965012151277</v>
      </c>
      <c r="J105" s="203">
        <v>28.70724217199966</v>
      </c>
      <c r="K105" s="203">
        <v>0.45984476531892327</v>
      </c>
      <c r="L105" s="203">
        <v>29.167086937318583</v>
      </c>
      <c r="M105" s="203">
        <v>57.781942636239933</v>
      </c>
      <c r="N105" s="224">
        <v>0</v>
      </c>
    </row>
    <row r="106" spans="1:14" x14ac:dyDescent="0.25">
      <c r="A106" s="217" t="s">
        <v>1142</v>
      </c>
      <c r="B106" s="217" t="s">
        <v>563</v>
      </c>
      <c r="C106" s="217" t="s">
        <v>1278</v>
      </c>
      <c r="D106" s="217" t="s">
        <v>1280</v>
      </c>
      <c r="E106" s="222" t="s">
        <v>562</v>
      </c>
      <c r="F106" s="223">
        <v>0.4</v>
      </c>
      <c r="G106" s="203">
        <v>2.2165084428466986</v>
      </c>
      <c r="H106" s="203">
        <v>0</v>
      </c>
      <c r="I106" s="203">
        <v>2.2165084428466986</v>
      </c>
      <c r="J106" s="203">
        <v>-12.121162692526946</v>
      </c>
      <c r="K106" s="203">
        <v>3.542010169783083E-2</v>
      </c>
      <c r="L106" s="203">
        <v>-12.085742590829115</v>
      </c>
      <c r="M106" s="203">
        <v>2.0502703096331962</v>
      </c>
      <c r="N106" s="224">
        <v>0.5</v>
      </c>
    </row>
    <row r="107" spans="1:14" x14ac:dyDescent="0.25">
      <c r="A107" s="217" t="s">
        <v>1144</v>
      </c>
      <c r="B107" s="217" t="s">
        <v>567</v>
      </c>
      <c r="C107" s="217" t="s">
        <v>1278</v>
      </c>
      <c r="D107" s="217" t="s">
        <v>1280</v>
      </c>
      <c r="E107" s="222" t="s">
        <v>566</v>
      </c>
      <c r="F107" s="223">
        <v>0.4</v>
      </c>
      <c r="G107" s="203">
        <v>3.8955631628946543</v>
      </c>
      <c r="H107" s="203">
        <v>0.30513500415923445</v>
      </c>
      <c r="I107" s="203">
        <v>3.5904281587354197</v>
      </c>
      <c r="J107" s="203">
        <v>-5.968239695438351</v>
      </c>
      <c r="K107" s="203">
        <v>0.29515576120122855</v>
      </c>
      <c r="L107" s="203">
        <v>-5.6730839342371224</v>
      </c>
      <c r="M107" s="203">
        <v>3.3211460468302634</v>
      </c>
      <c r="N107" s="224">
        <v>0.5</v>
      </c>
    </row>
    <row r="108" spans="1:14" x14ac:dyDescent="0.25">
      <c r="A108" s="217" t="s">
        <v>1149</v>
      </c>
      <c r="B108" s="217" t="s">
        <v>572</v>
      </c>
      <c r="C108" s="217" t="s">
        <v>1286</v>
      </c>
      <c r="D108" s="217" t="s">
        <v>1291</v>
      </c>
      <c r="E108" s="222" t="s">
        <v>571</v>
      </c>
      <c r="F108" s="223">
        <v>0.49</v>
      </c>
      <c r="G108" s="203">
        <v>38.808855089167025</v>
      </c>
      <c r="H108" s="203">
        <v>9.6804037309050095</v>
      </c>
      <c r="I108" s="203">
        <v>29.128451358262016</v>
      </c>
      <c r="J108" s="203">
        <v>-18.944378282898469</v>
      </c>
      <c r="K108" s="203">
        <v>0.38719415739504726</v>
      </c>
      <c r="L108" s="203">
        <v>-18.557184125503422</v>
      </c>
      <c r="M108" s="203">
        <v>26.943817506392367</v>
      </c>
      <c r="N108" s="224">
        <v>0.39407661557760099</v>
      </c>
    </row>
    <row r="109" spans="1:14" x14ac:dyDescent="0.25">
      <c r="A109" s="217" t="s">
        <v>1150</v>
      </c>
      <c r="B109" s="217" t="s">
        <v>574</v>
      </c>
      <c r="C109" s="217" t="s">
        <v>1285</v>
      </c>
      <c r="D109" s="217" t="s">
        <v>1288</v>
      </c>
      <c r="E109" s="222" t="s">
        <v>573</v>
      </c>
      <c r="F109" s="223">
        <v>0.49</v>
      </c>
      <c r="G109" s="203">
        <v>36.279845343847164</v>
      </c>
      <c r="H109" s="203">
        <v>7.2169704381151645</v>
      </c>
      <c r="I109" s="203">
        <v>29.062874905731999</v>
      </c>
      <c r="J109" s="203">
        <v>-20.63990100512925</v>
      </c>
      <c r="K109" s="203">
        <v>-0.85777494735786064</v>
      </c>
      <c r="L109" s="203">
        <v>-21.497675952487111</v>
      </c>
      <c r="M109" s="203">
        <v>26.883159287802101</v>
      </c>
      <c r="N109" s="224">
        <v>0.41526656931512562</v>
      </c>
    </row>
    <row r="110" spans="1:14" x14ac:dyDescent="0.25">
      <c r="A110" s="217" t="s">
        <v>1154</v>
      </c>
      <c r="B110" s="217" t="s">
        <v>580</v>
      </c>
      <c r="C110" s="217" t="s">
        <v>1278</v>
      </c>
      <c r="D110" s="217" t="s">
        <v>1279</v>
      </c>
      <c r="E110" s="222" t="s">
        <v>579</v>
      </c>
      <c r="F110" s="223">
        <v>0.4</v>
      </c>
      <c r="G110" s="203">
        <v>2.766074118553485</v>
      </c>
      <c r="H110" s="203">
        <v>0.33836724748569635</v>
      </c>
      <c r="I110" s="203">
        <v>2.4277068710677887</v>
      </c>
      <c r="J110" s="203">
        <v>-6.378704260297936</v>
      </c>
      <c r="K110" s="203">
        <v>1.018428953396544E-3</v>
      </c>
      <c r="L110" s="203">
        <v>-6.3776858313445395</v>
      </c>
      <c r="M110" s="203">
        <v>2.2456288557377047</v>
      </c>
      <c r="N110" s="224">
        <v>0.5</v>
      </c>
    </row>
    <row r="111" spans="1:14" x14ac:dyDescent="0.25">
      <c r="A111" s="217" t="s">
        <v>1155</v>
      </c>
      <c r="B111" s="217" t="s">
        <v>582</v>
      </c>
      <c r="C111" s="217" t="s">
        <v>1286</v>
      </c>
      <c r="D111" s="217" t="s">
        <v>1287</v>
      </c>
      <c r="E111" s="222" t="s">
        <v>581</v>
      </c>
      <c r="F111" s="223">
        <v>0.49</v>
      </c>
      <c r="G111" s="203">
        <v>46.130582031607375</v>
      </c>
      <c r="H111" s="203">
        <v>9.898700131608825</v>
      </c>
      <c r="I111" s="203">
        <v>36.231881899998548</v>
      </c>
      <c r="J111" s="203">
        <v>-26.158059375057324</v>
      </c>
      <c r="K111" s="225">
        <v>-0.32763035313166</v>
      </c>
      <c r="L111" s="203">
        <v>-26.485689728188984</v>
      </c>
      <c r="M111" s="203">
        <v>33.514490757498656</v>
      </c>
      <c r="N111" s="224">
        <v>0.41926725762389316</v>
      </c>
    </row>
    <row r="112" spans="1:14" x14ac:dyDescent="0.25">
      <c r="A112" s="217" t="s">
        <v>1156</v>
      </c>
      <c r="B112" s="217" t="s">
        <v>584</v>
      </c>
      <c r="C112" s="217" t="s">
        <v>1278</v>
      </c>
      <c r="D112" s="217" t="s">
        <v>1299</v>
      </c>
      <c r="E112" s="222" t="s">
        <v>583</v>
      </c>
      <c r="F112" s="223">
        <v>0.4</v>
      </c>
      <c r="G112" s="203">
        <v>1.8549315152872594</v>
      </c>
      <c r="H112" s="203">
        <v>0</v>
      </c>
      <c r="I112" s="203">
        <v>1.8549315152872594</v>
      </c>
      <c r="J112" s="203">
        <v>-11.027210407903397</v>
      </c>
      <c r="K112" s="203">
        <v>0.6573333034603337</v>
      </c>
      <c r="L112" s="203">
        <v>-10.369877104443063</v>
      </c>
      <c r="M112" s="203">
        <v>1.7158116516407151</v>
      </c>
      <c r="N112" s="224">
        <v>0.5</v>
      </c>
    </row>
    <row r="113" spans="1:14" x14ac:dyDescent="0.25">
      <c r="A113" s="217" t="s">
        <v>1157</v>
      </c>
      <c r="B113" s="217" t="s">
        <v>586</v>
      </c>
      <c r="C113" s="217" t="s">
        <v>1278</v>
      </c>
      <c r="D113" s="217" t="s">
        <v>1290</v>
      </c>
      <c r="E113" s="222" t="s">
        <v>585</v>
      </c>
      <c r="F113" s="223">
        <v>0.4</v>
      </c>
      <c r="G113" s="203">
        <v>3.9116397349252643</v>
      </c>
      <c r="H113" s="203">
        <v>0.69329465393803924</v>
      </c>
      <c r="I113" s="203">
        <v>3.2183450809872252</v>
      </c>
      <c r="J113" s="203">
        <v>-5.6685417654311152</v>
      </c>
      <c r="K113" s="203">
        <v>-0.33056707217856385</v>
      </c>
      <c r="L113" s="203">
        <v>-5.9991088376096791</v>
      </c>
      <c r="M113" s="203">
        <v>2.9769691999131833</v>
      </c>
      <c r="N113" s="224">
        <v>0.5</v>
      </c>
    </row>
    <row r="114" spans="1:14" x14ac:dyDescent="0.25">
      <c r="A114" s="217" t="s">
        <v>1158</v>
      </c>
      <c r="B114" s="217" t="s">
        <v>588</v>
      </c>
      <c r="C114" s="217" t="s">
        <v>1278</v>
      </c>
      <c r="D114" s="217" t="s">
        <v>1290</v>
      </c>
      <c r="E114" s="222" t="s">
        <v>587</v>
      </c>
      <c r="F114" s="223">
        <v>0.4</v>
      </c>
      <c r="G114" s="203">
        <v>4.022011728514685</v>
      </c>
      <c r="H114" s="203">
        <v>0.49246518798828032</v>
      </c>
      <c r="I114" s="203">
        <v>3.5295465405264044</v>
      </c>
      <c r="J114" s="203">
        <v>-12.721166922515094</v>
      </c>
      <c r="K114" s="203">
        <v>8.198780096185132E-2</v>
      </c>
      <c r="L114" s="203">
        <v>-12.639179121553243</v>
      </c>
      <c r="M114" s="203">
        <v>3.2648305499869243</v>
      </c>
      <c r="N114" s="224">
        <v>0.5</v>
      </c>
    </row>
    <row r="115" spans="1:14" x14ac:dyDescent="0.25">
      <c r="A115" s="217" t="s">
        <v>1168</v>
      </c>
      <c r="B115" s="217" t="s">
        <v>606</v>
      </c>
      <c r="C115" s="217" t="s">
        <v>1286</v>
      </c>
      <c r="D115" s="217" t="s">
        <v>1303</v>
      </c>
      <c r="E115" s="222" t="s">
        <v>605</v>
      </c>
      <c r="F115" s="223">
        <v>0.49</v>
      </c>
      <c r="G115" s="203">
        <v>70.304606584636943</v>
      </c>
      <c r="H115" s="203">
        <v>17.057695913845858</v>
      </c>
      <c r="I115" s="203">
        <v>53.246910670791088</v>
      </c>
      <c r="J115" s="203">
        <v>4.4522180902870998</v>
      </c>
      <c r="K115" s="203">
        <v>0.53898301802364479</v>
      </c>
      <c r="L115" s="203">
        <v>4.9912011083107446</v>
      </c>
      <c r="M115" s="203">
        <v>49.253392370481762</v>
      </c>
      <c r="N115" s="224">
        <v>0</v>
      </c>
    </row>
    <row r="116" spans="1:14" x14ac:dyDescent="0.25">
      <c r="A116" s="217" t="s">
        <v>1170</v>
      </c>
      <c r="B116" s="217" t="s">
        <v>610</v>
      </c>
      <c r="C116" s="217" t="s">
        <v>1294</v>
      </c>
      <c r="D116" s="217" t="s">
        <v>1284</v>
      </c>
      <c r="E116" s="222" t="s">
        <v>609</v>
      </c>
      <c r="F116" s="223">
        <v>0.3</v>
      </c>
      <c r="G116" s="203">
        <v>158.44037126415046</v>
      </c>
      <c r="H116" s="203">
        <v>46.983113840871098</v>
      </c>
      <c r="I116" s="203">
        <v>111.45725742327936</v>
      </c>
      <c r="J116" s="203">
        <v>34.488534151774488</v>
      </c>
      <c r="K116" s="203">
        <v>-0.4171171326586105</v>
      </c>
      <c r="L116" s="203">
        <v>34.071417019115877</v>
      </c>
      <c r="M116" s="203">
        <v>103.09796311653341</v>
      </c>
      <c r="N116" s="224">
        <v>0</v>
      </c>
    </row>
    <row r="117" spans="1:14" x14ac:dyDescent="0.25">
      <c r="A117" s="217" t="s">
        <v>1171</v>
      </c>
      <c r="B117" s="217" t="s">
        <v>612</v>
      </c>
      <c r="C117" s="217" t="s">
        <v>1278</v>
      </c>
      <c r="D117" s="217" t="s">
        <v>1300</v>
      </c>
      <c r="E117" s="222" t="s">
        <v>611</v>
      </c>
      <c r="F117" s="223">
        <v>0.4</v>
      </c>
      <c r="G117" s="203">
        <v>1.8554255340926169</v>
      </c>
      <c r="H117" s="203">
        <v>0</v>
      </c>
      <c r="I117" s="203">
        <v>1.8554255340926169</v>
      </c>
      <c r="J117" s="203">
        <v>-15.435830444561971</v>
      </c>
      <c r="K117" s="203">
        <v>1.5510997896431178E-2</v>
      </c>
      <c r="L117" s="203">
        <v>-15.420319446665539</v>
      </c>
      <c r="M117" s="203">
        <v>1.7162686190356706</v>
      </c>
      <c r="N117" s="224">
        <v>0.5</v>
      </c>
    </row>
    <row r="118" spans="1:14" x14ac:dyDescent="0.25">
      <c r="A118" s="217" t="s">
        <v>1173</v>
      </c>
      <c r="B118" s="217" t="s">
        <v>616</v>
      </c>
      <c r="C118" s="217" t="s">
        <v>1278</v>
      </c>
      <c r="D118" s="217" t="s">
        <v>1282</v>
      </c>
      <c r="E118" s="222" t="s">
        <v>615</v>
      </c>
      <c r="F118" s="223">
        <v>0.4</v>
      </c>
      <c r="G118" s="203">
        <v>2.5674308732028681</v>
      </c>
      <c r="H118" s="203">
        <v>0.1437274858748801</v>
      </c>
      <c r="I118" s="203">
        <v>2.4237033873279881</v>
      </c>
      <c r="J118" s="203">
        <v>-15.090736169287901</v>
      </c>
      <c r="K118" s="203">
        <v>-1.1970418936465776E-2</v>
      </c>
      <c r="L118" s="203">
        <v>-15.102706588224367</v>
      </c>
      <c r="M118" s="203">
        <v>2.241925633278389</v>
      </c>
      <c r="N118" s="224">
        <v>0.5</v>
      </c>
    </row>
    <row r="119" spans="1:14" x14ac:dyDescent="0.25">
      <c r="A119" s="217" t="s">
        <v>1174</v>
      </c>
      <c r="B119" s="217" t="s">
        <v>618</v>
      </c>
      <c r="C119" s="217" t="s">
        <v>1285</v>
      </c>
      <c r="D119" s="217" t="s">
        <v>1302</v>
      </c>
      <c r="E119" s="222" t="s">
        <v>617</v>
      </c>
      <c r="F119" s="223">
        <v>0.49</v>
      </c>
      <c r="G119" s="203">
        <v>60.120784640434508</v>
      </c>
      <c r="H119" s="203">
        <v>15.660163347669865</v>
      </c>
      <c r="I119" s="203">
        <v>44.460621292764642</v>
      </c>
      <c r="J119" s="203">
        <v>22.158632245524739</v>
      </c>
      <c r="K119" s="203">
        <v>0.1655298238510774</v>
      </c>
      <c r="L119" s="203">
        <v>22.324162069375816</v>
      </c>
      <c r="M119" s="203">
        <v>41.126074695807297</v>
      </c>
      <c r="N119" s="224">
        <v>0</v>
      </c>
    </row>
    <row r="120" spans="1:14" x14ac:dyDescent="0.25">
      <c r="A120" s="217" t="s">
        <v>1181</v>
      </c>
      <c r="B120" s="217" t="s">
        <v>626</v>
      </c>
      <c r="C120" s="217" t="s">
        <v>1285</v>
      </c>
      <c r="D120" s="217" t="s">
        <v>1289</v>
      </c>
      <c r="E120" s="222" t="s">
        <v>625</v>
      </c>
      <c r="F120" s="223">
        <v>0.49</v>
      </c>
      <c r="G120" s="203">
        <v>56.33074633703356</v>
      </c>
      <c r="H120" s="203">
        <v>10.239570540484708</v>
      </c>
      <c r="I120" s="203">
        <v>46.091175796548853</v>
      </c>
      <c r="J120" s="203">
        <v>6.0783889477223498</v>
      </c>
      <c r="K120" s="203">
        <v>0.51256479298345958</v>
      </c>
      <c r="L120" s="203">
        <v>6.5909537407058094</v>
      </c>
      <c r="M120" s="203">
        <v>42.634337611807695</v>
      </c>
      <c r="N120" s="224">
        <v>0</v>
      </c>
    </row>
    <row r="121" spans="1:14" x14ac:dyDescent="0.25">
      <c r="A121" s="217" t="s">
        <v>1185</v>
      </c>
      <c r="B121" s="217" t="s">
        <v>634</v>
      </c>
      <c r="C121" s="217" t="s">
        <v>1278</v>
      </c>
      <c r="D121" s="217" t="s">
        <v>1295</v>
      </c>
      <c r="E121" s="222" t="s">
        <v>633</v>
      </c>
      <c r="F121" s="223">
        <v>0.4</v>
      </c>
      <c r="G121" s="203">
        <v>2.3761095772855074</v>
      </c>
      <c r="H121" s="203">
        <v>0</v>
      </c>
      <c r="I121" s="203">
        <v>2.3761095772855074</v>
      </c>
      <c r="J121" s="203">
        <v>-7.6741484248218388</v>
      </c>
      <c r="K121" s="203">
        <v>-5.5571620090939078E-2</v>
      </c>
      <c r="L121" s="203">
        <v>-7.7297200449127779</v>
      </c>
      <c r="M121" s="203">
        <v>2.1979013589890943</v>
      </c>
      <c r="N121" s="224">
        <v>0.5</v>
      </c>
    </row>
    <row r="122" spans="1:14" x14ac:dyDescent="0.25">
      <c r="A122" s="217" t="s">
        <v>1186</v>
      </c>
      <c r="B122" s="217" t="s">
        <v>64</v>
      </c>
      <c r="C122" s="217" t="s">
        <v>1298</v>
      </c>
      <c r="D122" s="217" t="s">
        <v>1282</v>
      </c>
      <c r="E122" s="222" t="s">
        <v>812</v>
      </c>
      <c r="F122" s="223">
        <v>0.1</v>
      </c>
      <c r="G122" s="203">
        <v>129.24875098211592</v>
      </c>
      <c r="H122" s="203">
        <v>30.454575489289514</v>
      </c>
      <c r="I122" s="203">
        <v>98.794175492826412</v>
      </c>
      <c r="J122" s="203">
        <v>75.430948295924679</v>
      </c>
      <c r="K122" s="203">
        <v>0.2968521731700946</v>
      </c>
      <c r="L122" s="203">
        <v>75.727800469094774</v>
      </c>
      <c r="M122" s="203">
        <v>91.384612330864442</v>
      </c>
      <c r="N122" s="224">
        <v>0</v>
      </c>
    </row>
    <row r="123" spans="1:14" x14ac:dyDescent="0.25">
      <c r="A123" s="217" t="s">
        <v>1187</v>
      </c>
      <c r="B123" s="217" t="s">
        <v>636</v>
      </c>
      <c r="C123" s="217" t="s">
        <v>1278</v>
      </c>
      <c r="D123" s="217" t="s">
        <v>1282</v>
      </c>
      <c r="E123" s="222" t="s">
        <v>635</v>
      </c>
      <c r="F123" s="223">
        <v>0.4</v>
      </c>
      <c r="G123" s="203">
        <v>2.938803581098079</v>
      </c>
      <c r="H123" s="203">
        <v>0.16759370293479411</v>
      </c>
      <c r="I123" s="203">
        <v>2.771209878163285</v>
      </c>
      <c r="J123" s="203">
        <v>-14.189107532348679</v>
      </c>
      <c r="K123" s="203">
        <v>1.0384018437288294</v>
      </c>
      <c r="L123" s="203">
        <v>-13.150705688619849</v>
      </c>
      <c r="M123" s="203">
        <v>2.5633691373010388</v>
      </c>
      <c r="N123" s="224">
        <v>0.5</v>
      </c>
    </row>
    <row r="124" spans="1:14" x14ac:dyDescent="0.25">
      <c r="A124" s="217" t="s">
        <v>1189</v>
      </c>
      <c r="B124" s="217" t="s">
        <v>287</v>
      </c>
      <c r="C124" s="217" t="s">
        <v>1298</v>
      </c>
      <c r="D124" s="217" t="s">
        <v>1300</v>
      </c>
      <c r="E124" s="222" t="s">
        <v>813</v>
      </c>
      <c r="F124" s="223">
        <v>0.1</v>
      </c>
      <c r="G124" s="203">
        <v>115.19090725873042</v>
      </c>
      <c r="H124" s="203">
        <v>4.4526779737990942</v>
      </c>
      <c r="I124" s="203">
        <v>110.73822928493132</v>
      </c>
      <c r="J124" s="203">
        <v>60.686288161131635</v>
      </c>
      <c r="K124" s="203">
        <v>0.36460129356948556</v>
      </c>
      <c r="L124" s="203">
        <v>61.050889454701121</v>
      </c>
      <c r="M124" s="203">
        <v>102.43286208856148</v>
      </c>
      <c r="N124" s="224">
        <v>0</v>
      </c>
    </row>
    <row r="125" spans="1:14" x14ac:dyDescent="0.25">
      <c r="A125" s="217" t="s">
        <v>1190</v>
      </c>
      <c r="B125" s="217" t="s">
        <v>640</v>
      </c>
      <c r="C125" s="217" t="s">
        <v>1278</v>
      </c>
      <c r="D125" s="217" t="s">
        <v>1300</v>
      </c>
      <c r="E125" s="222" t="s">
        <v>639</v>
      </c>
      <c r="F125" s="223">
        <v>0.4</v>
      </c>
      <c r="G125" s="203">
        <v>1.5086660860289922</v>
      </c>
      <c r="H125" s="203">
        <v>0</v>
      </c>
      <c r="I125" s="203">
        <v>1.5086660860289922</v>
      </c>
      <c r="J125" s="203">
        <v>-12.098674514918459</v>
      </c>
      <c r="K125" s="203">
        <v>0.17937242628489969</v>
      </c>
      <c r="L125" s="203">
        <v>-11.919302088633559</v>
      </c>
      <c r="M125" s="203">
        <v>1.3955161295768179</v>
      </c>
      <c r="N125" s="224">
        <v>0.5</v>
      </c>
    </row>
    <row r="126" spans="1:14" x14ac:dyDescent="0.25">
      <c r="A126" s="217" t="s">
        <v>1191</v>
      </c>
      <c r="B126" s="217" t="s">
        <v>642</v>
      </c>
      <c r="C126" s="217" t="s">
        <v>1283</v>
      </c>
      <c r="D126" s="217" t="s">
        <v>1284</v>
      </c>
      <c r="E126" s="222" t="s">
        <v>641</v>
      </c>
      <c r="F126" s="223">
        <v>0.3</v>
      </c>
      <c r="G126" s="203">
        <v>46.784952318826733</v>
      </c>
      <c r="H126" s="203">
        <v>11.754272678570326</v>
      </c>
      <c r="I126" s="203">
        <v>35.030679640256409</v>
      </c>
      <c r="J126" s="203">
        <v>18.709915196617626</v>
      </c>
      <c r="K126" s="203">
        <v>5.223826845295676E-2</v>
      </c>
      <c r="L126" s="203">
        <v>18.762153465070583</v>
      </c>
      <c r="M126" s="203">
        <v>32.403378667237178</v>
      </c>
      <c r="N126" s="224">
        <v>0</v>
      </c>
    </row>
    <row r="127" spans="1:14" x14ac:dyDescent="0.25">
      <c r="A127" s="217" t="s">
        <v>1192</v>
      </c>
      <c r="B127" s="217" t="s">
        <v>644</v>
      </c>
      <c r="C127" s="217" t="s">
        <v>1278</v>
      </c>
      <c r="D127" s="217" t="s">
        <v>1280</v>
      </c>
      <c r="E127" s="222" t="s">
        <v>643</v>
      </c>
      <c r="F127" s="223">
        <v>0.4</v>
      </c>
      <c r="G127" s="203">
        <v>4.8336610124393991</v>
      </c>
      <c r="H127" s="203">
        <v>0.70670940981549768</v>
      </c>
      <c r="I127" s="203">
        <v>4.126951602623901</v>
      </c>
      <c r="J127" s="203">
        <v>-11.30017023968</v>
      </c>
      <c r="K127" s="203">
        <v>-9.76027513776625E-2</v>
      </c>
      <c r="L127" s="203">
        <v>-11.397772991057662</v>
      </c>
      <c r="M127" s="203">
        <v>3.8174302324271085</v>
      </c>
      <c r="N127" s="224">
        <v>0.5</v>
      </c>
    </row>
    <row r="128" spans="1:14" x14ac:dyDescent="0.25">
      <c r="A128" s="217" t="s">
        <v>1194</v>
      </c>
      <c r="B128" s="217" t="s">
        <v>648</v>
      </c>
      <c r="C128" s="217" t="s">
        <v>1285</v>
      </c>
      <c r="D128" s="217" t="s">
        <v>1289</v>
      </c>
      <c r="E128" s="222" t="s">
        <v>647</v>
      </c>
      <c r="F128" s="223">
        <v>0.49</v>
      </c>
      <c r="G128" s="203">
        <v>73.525938183094269</v>
      </c>
      <c r="H128" s="203">
        <v>19.371400346467297</v>
      </c>
      <c r="I128" s="203">
        <v>54.154537836626965</v>
      </c>
      <c r="J128" s="203">
        <v>28.493966164009862</v>
      </c>
      <c r="K128" s="203">
        <v>-0.31264251077645611</v>
      </c>
      <c r="L128" s="203">
        <v>28.181323653233406</v>
      </c>
      <c r="M128" s="203">
        <v>50.092947498879944</v>
      </c>
      <c r="N128" s="224">
        <v>0</v>
      </c>
    </row>
    <row r="129" spans="1:14" x14ac:dyDescent="0.25">
      <c r="A129" s="217" t="s">
        <v>1196</v>
      </c>
      <c r="B129" s="217" t="s">
        <v>652</v>
      </c>
      <c r="C129" s="217" t="s">
        <v>1278</v>
      </c>
      <c r="D129" s="217" t="s">
        <v>1300</v>
      </c>
      <c r="E129" s="222" t="s">
        <v>651</v>
      </c>
      <c r="F129" s="223">
        <v>0.4</v>
      </c>
      <c r="G129" s="203">
        <v>1.4036013453630527</v>
      </c>
      <c r="H129" s="203">
        <v>0</v>
      </c>
      <c r="I129" s="203">
        <v>1.4036013453630527</v>
      </c>
      <c r="J129" s="203">
        <v>-7.648775575591265</v>
      </c>
      <c r="K129" s="203">
        <v>-0.22886279201020887</v>
      </c>
      <c r="L129" s="203">
        <v>-7.8776383676014738</v>
      </c>
      <c r="M129" s="203">
        <v>1.2983312444608237</v>
      </c>
      <c r="N129" s="224">
        <v>0.5</v>
      </c>
    </row>
    <row r="130" spans="1:14" x14ac:dyDescent="0.25">
      <c r="A130" s="217" t="s">
        <v>1198</v>
      </c>
      <c r="B130" s="217" t="s">
        <v>656</v>
      </c>
      <c r="C130" s="217" t="s">
        <v>1278</v>
      </c>
      <c r="D130" s="217" t="s">
        <v>1299</v>
      </c>
      <c r="E130" s="222" t="s">
        <v>655</v>
      </c>
      <c r="F130" s="223">
        <v>0.4</v>
      </c>
      <c r="G130" s="203">
        <v>3.6463696703077972</v>
      </c>
      <c r="H130" s="203">
        <v>0.38179744614967703</v>
      </c>
      <c r="I130" s="203">
        <v>3.2645722241581203</v>
      </c>
      <c r="J130" s="203">
        <v>-8.7983872294753311</v>
      </c>
      <c r="K130" s="203">
        <v>-4.5670986609392727E-2</v>
      </c>
      <c r="L130" s="203">
        <v>-8.8440582160847239</v>
      </c>
      <c r="M130" s="203">
        <v>3.0197293073462617</v>
      </c>
      <c r="N130" s="224">
        <v>0.5</v>
      </c>
    </row>
    <row r="131" spans="1:14" x14ac:dyDescent="0.25">
      <c r="A131" s="217" t="s">
        <v>1202</v>
      </c>
      <c r="B131" s="217" t="s">
        <v>664</v>
      </c>
      <c r="C131" s="217" t="s">
        <v>1278</v>
      </c>
      <c r="D131" s="217" t="s">
        <v>1295</v>
      </c>
      <c r="E131" s="222" t="s">
        <v>663</v>
      </c>
      <c r="F131" s="223">
        <v>0.4</v>
      </c>
      <c r="G131" s="203">
        <v>2.0585637415534692</v>
      </c>
      <c r="H131" s="203">
        <v>0.28262730471615122</v>
      </c>
      <c r="I131" s="203">
        <v>1.7759364368373178</v>
      </c>
      <c r="J131" s="203">
        <v>-12.524616899215044</v>
      </c>
      <c r="K131" s="203">
        <v>0.16409118429869274</v>
      </c>
      <c r="L131" s="203">
        <v>-12.360525714916351</v>
      </c>
      <c r="M131" s="203">
        <v>1.6427412040745191</v>
      </c>
      <c r="N131" s="224">
        <v>0.5</v>
      </c>
    </row>
    <row r="132" spans="1:14" x14ac:dyDescent="0.25">
      <c r="A132" s="217" t="s">
        <v>1203</v>
      </c>
      <c r="B132" s="217" t="s">
        <v>666</v>
      </c>
      <c r="C132" s="217" t="s">
        <v>1278</v>
      </c>
      <c r="D132" s="217" t="s">
        <v>1280</v>
      </c>
      <c r="E132" s="222" t="s">
        <v>665</v>
      </c>
      <c r="F132" s="223">
        <v>0.4</v>
      </c>
      <c r="G132" s="203">
        <v>5.6702956026772995</v>
      </c>
      <c r="H132" s="203">
        <v>0.80887155839470593</v>
      </c>
      <c r="I132" s="203">
        <v>4.8614240442825931</v>
      </c>
      <c r="J132" s="203">
        <v>-8.2428678098497024</v>
      </c>
      <c r="K132" s="203">
        <v>-2.1421935714545981E-2</v>
      </c>
      <c r="L132" s="203">
        <v>-8.2642897455642483</v>
      </c>
      <c r="M132" s="203">
        <v>4.4968172409613985</v>
      </c>
      <c r="N132" s="224">
        <v>0.5</v>
      </c>
    </row>
    <row r="133" spans="1:14" x14ac:dyDescent="0.25">
      <c r="A133" s="217" t="s">
        <v>1206</v>
      </c>
      <c r="B133" s="217" t="s">
        <v>672</v>
      </c>
      <c r="C133" s="217" t="s">
        <v>1278</v>
      </c>
      <c r="D133" s="217" t="s">
        <v>1280</v>
      </c>
      <c r="E133" s="222" t="s">
        <v>671</v>
      </c>
      <c r="F133" s="223">
        <v>0.4</v>
      </c>
      <c r="G133" s="203">
        <v>2.2141097913676835</v>
      </c>
      <c r="H133" s="203">
        <v>0</v>
      </c>
      <c r="I133" s="203">
        <v>2.2141097913676835</v>
      </c>
      <c r="J133" s="203">
        <v>-20.498842829225485</v>
      </c>
      <c r="K133" s="203">
        <v>6.9675411167416712E-2</v>
      </c>
      <c r="L133" s="203">
        <v>-20.429167418058068</v>
      </c>
      <c r="M133" s="203">
        <v>2.0480515570151074</v>
      </c>
      <c r="N133" s="224">
        <v>0.5</v>
      </c>
    </row>
    <row r="134" spans="1:14" x14ac:dyDescent="0.25">
      <c r="A134" s="217" t="s">
        <v>1207</v>
      </c>
      <c r="B134" s="217" t="s">
        <v>674</v>
      </c>
      <c r="C134" s="217" t="s">
        <v>1286</v>
      </c>
      <c r="D134" s="217" t="s">
        <v>1299</v>
      </c>
      <c r="E134" s="222" t="s">
        <v>673</v>
      </c>
      <c r="F134" s="223">
        <v>0.49</v>
      </c>
      <c r="G134" s="203">
        <v>41.611624758644382</v>
      </c>
      <c r="H134" s="203">
        <v>10.31011287130281</v>
      </c>
      <c r="I134" s="203">
        <v>31.301511887341576</v>
      </c>
      <c r="J134" s="203">
        <v>14.481218953020322</v>
      </c>
      <c r="K134" s="203">
        <v>6.1545339193507687E-2</v>
      </c>
      <c r="L134" s="203">
        <v>14.54276429221383</v>
      </c>
      <c r="M134" s="203">
        <v>28.953898495790959</v>
      </c>
      <c r="N134" s="224">
        <v>0</v>
      </c>
    </row>
    <row r="135" spans="1:14" x14ac:dyDescent="0.25">
      <c r="A135" s="217" t="s">
        <v>1208</v>
      </c>
      <c r="B135" s="217" t="s">
        <v>676</v>
      </c>
      <c r="C135" s="217" t="s">
        <v>1278</v>
      </c>
      <c r="D135" s="217" t="s">
        <v>1299</v>
      </c>
      <c r="E135" s="222" t="s">
        <v>675</v>
      </c>
      <c r="F135" s="223">
        <v>0.4</v>
      </c>
      <c r="G135" s="203">
        <v>2.7294292472246466</v>
      </c>
      <c r="H135" s="203">
        <v>0.43953295245116158</v>
      </c>
      <c r="I135" s="203">
        <v>2.2898962947734849</v>
      </c>
      <c r="J135" s="203">
        <v>-2.3257255019555449</v>
      </c>
      <c r="K135" s="203">
        <v>-1.9825390118846098E-2</v>
      </c>
      <c r="L135" s="203">
        <v>-2.345550892074391</v>
      </c>
      <c r="M135" s="203">
        <v>2.1181540726654737</v>
      </c>
      <c r="N135" s="224">
        <v>0.5</v>
      </c>
    </row>
    <row r="136" spans="1:14" x14ac:dyDescent="0.25">
      <c r="A136" s="217" t="s">
        <v>1209</v>
      </c>
      <c r="B136" s="217" t="s">
        <v>678</v>
      </c>
      <c r="C136" s="217" t="s">
        <v>1294</v>
      </c>
      <c r="D136" s="217" t="s">
        <v>1284</v>
      </c>
      <c r="E136" s="222" t="s">
        <v>677</v>
      </c>
      <c r="F136" s="223">
        <v>0.3</v>
      </c>
      <c r="G136" s="203">
        <v>151.07064169646287</v>
      </c>
      <c r="H136" s="203">
        <v>43.795125854379869</v>
      </c>
      <c r="I136" s="203">
        <v>107.27551584208301</v>
      </c>
      <c r="J136" s="203">
        <v>-5.7965272530209768</v>
      </c>
      <c r="K136" s="203">
        <v>7.7776209283111797E-2</v>
      </c>
      <c r="L136" s="203">
        <v>-5.718751043737865</v>
      </c>
      <c r="M136" s="203">
        <v>99.229852153926785</v>
      </c>
      <c r="N136" s="224">
        <v>5.1264022283958988E-2</v>
      </c>
    </row>
    <row r="137" spans="1:14" x14ac:dyDescent="0.25">
      <c r="A137" s="217" t="s">
        <v>1210</v>
      </c>
      <c r="B137" s="217" t="s">
        <v>680</v>
      </c>
      <c r="C137" s="217" t="s">
        <v>1285</v>
      </c>
      <c r="D137" s="217" t="s">
        <v>1289</v>
      </c>
      <c r="E137" s="222" t="s">
        <v>679</v>
      </c>
      <c r="F137" s="223">
        <v>0.49</v>
      </c>
      <c r="G137" s="203">
        <v>45.334323416047098</v>
      </c>
      <c r="H137" s="203">
        <v>10.302852815066579</v>
      </c>
      <c r="I137" s="203">
        <v>35.031470600980519</v>
      </c>
      <c r="J137" s="203">
        <v>-36.476831634139216</v>
      </c>
      <c r="K137" s="203">
        <v>-0.4249389321265582</v>
      </c>
      <c r="L137" s="203">
        <v>-36.901770566265775</v>
      </c>
      <c r="M137" s="203">
        <v>32.404110305906983</v>
      </c>
      <c r="N137" s="224">
        <v>0.5</v>
      </c>
    </row>
    <row r="138" spans="1:14" x14ac:dyDescent="0.25">
      <c r="A138" s="217" t="s">
        <v>1211</v>
      </c>
      <c r="B138" s="217" t="s">
        <v>682</v>
      </c>
      <c r="C138" s="217" t="s">
        <v>1278</v>
      </c>
      <c r="D138" s="217" t="s">
        <v>1280</v>
      </c>
      <c r="E138" s="222" t="s">
        <v>681</v>
      </c>
      <c r="F138" s="223">
        <v>0.4</v>
      </c>
      <c r="G138" s="203">
        <v>2.2842648422677727</v>
      </c>
      <c r="H138" s="203">
        <v>0</v>
      </c>
      <c r="I138" s="203">
        <v>2.2842648422677727</v>
      </c>
      <c r="J138" s="203">
        <v>-17.953572197878827</v>
      </c>
      <c r="K138" s="203">
        <v>-8.1270746767877711E-2</v>
      </c>
      <c r="L138" s="203">
        <v>-18.034842944646705</v>
      </c>
      <c r="M138" s="203">
        <v>2.1129449790976897</v>
      </c>
      <c r="N138" s="224">
        <v>0.5</v>
      </c>
    </row>
    <row r="139" spans="1:14" x14ac:dyDescent="0.25">
      <c r="A139" s="217" t="s">
        <v>1215</v>
      </c>
      <c r="B139" s="217" t="s">
        <v>688</v>
      </c>
      <c r="C139" s="217" t="s">
        <v>1285</v>
      </c>
      <c r="D139" s="217" t="s">
        <v>1292</v>
      </c>
      <c r="E139" s="222" t="s">
        <v>687</v>
      </c>
      <c r="F139" s="223">
        <v>0.49</v>
      </c>
      <c r="G139" s="203">
        <v>91.736960908783288</v>
      </c>
      <c r="H139" s="203">
        <v>22.348765495589625</v>
      </c>
      <c r="I139" s="203">
        <v>69.388195413193671</v>
      </c>
      <c r="J139" s="203">
        <v>14.066880676547928</v>
      </c>
      <c r="K139" s="203">
        <v>0.6131612501698509</v>
      </c>
      <c r="L139" s="203">
        <v>14.680041926717779</v>
      </c>
      <c r="M139" s="203">
        <v>64.184080757204143</v>
      </c>
      <c r="N139" s="224">
        <v>0</v>
      </c>
    </row>
    <row r="140" spans="1:14" x14ac:dyDescent="0.25">
      <c r="A140" s="217" t="s">
        <v>1216</v>
      </c>
      <c r="B140" s="217" t="s">
        <v>690</v>
      </c>
      <c r="C140" s="217" t="s">
        <v>1285</v>
      </c>
      <c r="D140" s="217" t="s">
        <v>1288</v>
      </c>
      <c r="E140" s="222" t="s">
        <v>689</v>
      </c>
      <c r="F140" s="223">
        <v>0.49</v>
      </c>
      <c r="G140" s="203">
        <v>97.601797024438625</v>
      </c>
      <c r="H140" s="203">
        <v>25.686662788706183</v>
      </c>
      <c r="I140" s="203">
        <v>71.915134235732438</v>
      </c>
      <c r="J140" s="203">
        <v>36.391232756313926</v>
      </c>
      <c r="K140" s="203">
        <v>0.6560400885722899</v>
      </c>
      <c r="L140" s="203">
        <v>37.047272844886216</v>
      </c>
      <c r="M140" s="203">
        <v>66.521499168052515</v>
      </c>
      <c r="N140" s="224">
        <v>0</v>
      </c>
    </row>
    <row r="141" spans="1:14" x14ac:dyDescent="0.25">
      <c r="A141" s="217" t="s">
        <v>1217</v>
      </c>
      <c r="B141" s="217" t="s">
        <v>692</v>
      </c>
      <c r="C141" s="217" t="s">
        <v>1283</v>
      </c>
      <c r="D141" s="217" t="s">
        <v>1284</v>
      </c>
      <c r="E141" s="222" t="s">
        <v>691</v>
      </c>
      <c r="F141" s="223">
        <v>0.3</v>
      </c>
      <c r="G141" s="203">
        <v>93.538005112875368</v>
      </c>
      <c r="H141" s="203">
        <v>26.053177669575618</v>
      </c>
      <c r="I141" s="203">
        <v>67.48482744329975</v>
      </c>
      <c r="J141" s="203">
        <v>46.594172028956464</v>
      </c>
      <c r="K141" s="203">
        <v>0.59865748002181363</v>
      </c>
      <c r="L141" s="203">
        <v>47.192829508978278</v>
      </c>
      <c r="M141" s="203">
        <v>62.423465385052275</v>
      </c>
      <c r="N141" s="224">
        <v>0</v>
      </c>
    </row>
    <row r="142" spans="1:14" x14ac:dyDescent="0.25">
      <c r="A142" s="217" t="s">
        <v>1218</v>
      </c>
      <c r="B142" s="217" t="s">
        <v>694</v>
      </c>
      <c r="C142" s="217" t="s">
        <v>1294</v>
      </c>
      <c r="D142" s="217" t="s">
        <v>1284</v>
      </c>
      <c r="E142" s="222" t="s">
        <v>693</v>
      </c>
      <c r="F142" s="223">
        <v>0.3</v>
      </c>
      <c r="G142" s="203">
        <v>101.28215411270612</v>
      </c>
      <c r="H142" s="203">
        <v>30.185433331397579</v>
      </c>
      <c r="I142" s="203">
        <v>71.096720781308548</v>
      </c>
      <c r="J142" s="203">
        <v>35.580886594483417</v>
      </c>
      <c r="K142" s="203">
        <v>4.7638043315814116E-3</v>
      </c>
      <c r="L142" s="203">
        <v>35.585650398814998</v>
      </c>
      <c r="M142" s="203">
        <v>65.764466722710409</v>
      </c>
      <c r="N142" s="224">
        <v>0</v>
      </c>
    </row>
    <row r="143" spans="1:14" x14ac:dyDescent="0.25">
      <c r="A143" s="217" t="s">
        <v>1223</v>
      </c>
      <c r="B143" s="217" t="s">
        <v>702</v>
      </c>
      <c r="C143" s="217" t="s">
        <v>1278</v>
      </c>
      <c r="D143" s="217" t="s">
        <v>1282</v>
      </c>
      <c r="E143" s="222" t="s">
        <v>701</v>
      </c>
      <c r="F143" s="223">
        <v>0.4</v>
      </c>
      <c r="G143" s="203">
        <v>4.7260663772055782</v>
      </c>
      <c r="H143" s="203">
        <v>0.83597937267206612</v>
      </c>
      <c r="I143" s="203">
        <v>3.8900870045335116</v>
      </c>
      <c r="J143" s="203">
        <v>-7.1588427241446633</v>
      </c>
      <c r="K143" s="203">
        <v>4.0585624319213309E-2</v>
      </c>
      <c r="L143" s="203">
        <v>-7.11825709982545</v>
      </c>
      <c r="M143" s="203">
        <v>3.5983304791934985</v>
      </c>
      <c r="N143" s="224">
        <v>0.5</v>
      </c>
    </row>
    <row r="144" spans="1:14" x14ac:dyDescent="0.25">
      <c r="A144" s="217" t="s">
        <v>1224</v>
      </c>
      <c r="B144" s="217" t="s">
        <v>704</v>
      </c>
      <c r="C144" s="217" t="s">
        <v>1278</v>
      </c>
      <c r="D144" s="217" t="s">
        <v>1300</v>
      </c>
      <c r="E144" s="222" t="s">
        <v>703</v>
      </c>
      <c r="F144" s="223">
        <v>0.4</v>
      </c>
      <c r="G144" s="203">
        <v>1.9263911244199814</v>
      </c>
      <c r="H144" s="203">
        <v>0</v>
      </c>
      <c r="I144" s="203">
        <v>1.9263911244199814</v>
      </c>
      <c r="J144" s="203">
        <v>-13.853983933180285</v>
      </c>
      <c r="K144" s="203">
        <v>6.8153490809953254E-2</v>
      </c>
      <c r="L144" s="203">
        <v>-13.785830442370331</v>
      </c>
      <c r="M144" s="203">
        <v>1.7819117900884829</v>
      </c>
      <c r="N144" s="224">
        <v>0.5</v>
      </c>
    </row>
    <row r="145" spans="1:14" x14ac:dyDescent="0.25">
      <c r="A145" s="217" t="s">
        <v>1228</v>
      </c>
      <c r="B145" s="217" t="s">
        <v>712</v>
      </c>
      <c r="C145" s="217" t="s">
        <v>1286</v>
      </c>
      <c r="D145" s="217" t="s">
        <v>1291</v>
      </c>
      <c r="E145" s="222" t="s">
        <v>711</v>
      </c>
      <c r="F145" s="223">
        <v>0.49</v>
      </c>
      <c r="G145" s="203">
        <v>17.531586663639438</v>
      </c>
      <c r="H145" s="203">
        <v>0.11995482930048927</v>
      </c>
      <c r="I145" s="203">
        <v>17.411631834338948</v>
      </c>
      <c r="J145" s="203">
        <v>-21.024654062727851</v>
      </c>
      <c r="K145" s="203">
        <v>0.35240986570759603</v>
      </c>
      <c r="L145" s="203">
        <v>-20.672244197020255</v>
      </c>
      <c r="M145" s="203">
        <v>16.105759446763528</v>
      </c>
      <c r="N145" s="224">
        <v>0.5</v>
      </c>
    </row>
    <row r="146" spans="1:14" x14ac:dyDescent="0.25">
      <c r="A146" s="217" t="s">
        <v>1229</v>
      </c>
      <c r="B146" s="217" t="s">
        <v>714</v>
      </c>
      <c r="C146" s="217" t="s">
        <v>1278</v>
      </c>
      <c r="D146" s="217" t="s">
        <v>1299</v>
      </c>
      <c r="E146" s="222" t="s">
        <v>713</v>
      </c>
      <c r="F146" s="223">
        <v>0.4</v>
      </c>
      <c r="G146" s="203">
        <v>1.5852080457196513</v>
      </c>
      <c r="H146" s="203">
        <v>0</v>
      </c>
      <c r="I146" s="203">
        <v>1.5852080457196513</v>
      </c>
      <c r="J146" s="203">
        <v>-3.1077097410320937</v>
      </c>
      <c r="K146" s="203">
        <v>-5.1484846499003201E-2</v>
      </c>
      <c r="L146" s="203">
        <v>-3.1591945875310969</v>
      </c>
      <c r="M146" s="203">
        <v>1.4663174422906775</v>
      </c>
      <c r="N146" s="224">
        <v>0.5</v>
      </c>
    </row>
    <row r="147" spans="1:14" x14ac:dyDescent="0.25">
      <c r="A147" s="217" t="s">
        <v>1232</v>
      </c>
      <c r="B147" s="217" t="s">
        <v>720</v>
      </c>
      <c r="C147" s="217" t="s">
        <v>1278</v>
      </c>
      <c r="D147" s="217" t="s">
        <v>1290</v>
      </c>
      <c r="E147" s="222" t="s">
        <v>719</v>
      </c>
      <c r="F147" s="223">
        <v>0.4</v>
      </c>
      <c r="G147" s="203">
        <v>3.2783479264628821</v>
      </c>
      <c r="H147" s="203">
        <v>0.37074643349400443</v>
      </c>
      <c r="I147" s="203">
        <v>2.9076014929688778</v>
      </c>
      <c r="J147" s="203">
        <v>-3.4461802768161758</v>
      </c>
      <c r="K147" s="203">
        <v>4.2855583637987138E-2</v>
      </c>
      <c r="L147" s="203">
        <v>-3.4033246931781886</v>
      </c>
      <c r="M147" s="203">
        <v>2.689531380996212</v>
      </c>
      <c r="N147" s="224">
        <v>0.5</v>
      </c>
    </row>
    <row r="148" spans="1:14" x14ac:dyDescent="0.25">
      <c r="A148" s="217" t="s">
        <v>1238</v>
      </c>
      <c r="B148" s="217" t="s">
        <v>726</v>
      </c>
      <c r="C148" s="217" t="s">
        <v>1294</v>
      </c>
      <c r="D148" s="217" t="s">
        <v>1284</v>
      </c>
      <c r="E148" s="222" t="s">
        <v>725</v>
      </c>
      <c r="F148" s="223">
        <v>0.3</v>
      </c>
      <c r="G148" s="203">
        <v>125.03904193286448</v>
      </c>
      <c r="H148" s="203">
        <v>38.098078815239766</v>
      </c>
      <c r="I148" s="203">
        <v>86.940963117624705</v>
      </c>
      <c r="J148" s="203">
        <v>-560.43396800161895</v>
      </c>
      <c r="K148" s="203">
        <v>-5.6363854218691358</v>
      </c>
      <c r="L148" s="203">
        <v>-566.07035342348809</v>
      </c>
      <c r="M148" s="203">
        <v>80.420390883802852</v>
      </c>
      <c r="N148" s="224">
        <v>0.5</v>
      </c>
    </row>
    <row r="149" spans="1:14" x14ac:dyDescent="0.25">
      <c r="A149" s="217" t="s">
        <v>1240</v>
      </c>
      <c r="B149" s="217" t="s">
        <v>730</v>
      </c>
      <c r="C149" s="217" t="s">
        <v>1285</v>
      </c>
      <c r="D149" s="217" t="s">
        <v>1289</v>
      </c>
      <c r="E149" s="222" t="s">
        <v>729</v>
      </c>
      <c r="F149" s="223">
        <v>0.49</v>
      </c>
      <c r="G149" s="203">
        <v>91.777283204691486</v>
      </c>
      <c r="H149" s="203">
        <v>23.871864282634473</v>
      </c>
      <c r="I149" s="203">
        <v>67.905418922057009</v>
      </c>
      <c r="J149" s="203">
        <v>31.397192927115981</v>
      </c>
      <c r="K149" s="203">
        <v>0.19989823828624864</v>
      </c>
      <c r="L149" s="203">
        <v>31.59709116540223</v>
      </c>
      <c r="M149" s="203">
        <v>62.812512502902734</v>
      </c>
      <c r="N149" s="224">
        <v>0</v>
      </c>
    </row>
    <row r="150" spans="1:14" x14ac:dyDescent="0.25">
      <c r="A150" s="217" t="s">
        <v>1244</v>
      </c>
      <c r="B150" s="217" t="s">
        <v>736</v>
      </c>
      <c r="C150" s="217" t="s">
        <v>1286</v>
      </c>
      <c r="D150" s="217" t="s">
        <v>1291</v>
      </c>
      <c r="E150" s="222" t="s">
        <v>735</v>
      </c>
      <c r="F150" s="223">
        <v>0.49</v>
      </c>
      <c r="G150" s="203">
        <v>12.794217908092191</v>
      </c>
      <c r="H150" s="203">
        <v>0.551195595021572</v>
      </c>
      <c r="I150" s="203">
        <v>12.24302231307062</v>
      </c>
      <c r="J150" s="203">
        <v>-29.627080369565423</v>
      </c>
      <c r="K150" s="203">
        <v>1.6217729046379326</v>
      </c>
      <c r="L150" s="203">
        <v>-28.00530746492749</v>
      </c>
      <c r="M150" s="203">
        <v>11.324795639590324</v>
      </c>
      <c r="N150" s="224">
        <v>0.5</v>
      </c>
    </row>
    <row r="151" spans="1:14" x14ac:dyDescent="0.25">
      <c r="A151" s="217" t="s">
        <v>1245</v>
      </c>
      <c r="B151" s="217" t="s">
        <v>738</v>
      </c>
      <c r="C151" s="217" t="s">
        <v>1285</v>
      </c>
      <c r="D151" s="217" t="s">
        <v>1302</v>
      </c>
      <c r="E151" s="222" t="s">
        <v>737</v>
      </c>
      <c r="F151" s="223">
        <v>0.49</v>
      </c>
      <c r="G151" s="203">
        <v>106.15511091109875</v>
      </c>
      <c r="H151" s="203">
        <v>27.796665778340206</v>
      </c>
      <c r="I151" s="203">
        <v>78.358445132758533</v>
      </c>
      <c r="J151" s="203">
        <v>46.95096640428099</v>
      </c>
      <c r="K151" s="203">
        <v>0.49471854047057917</v>
      </c>
      <c r="L151" s="203">
        <v>47.445684944751569</v>
      </c>
      <c r="M151" s="203">
        <v>72.481561747801649</v>
      </c>
      <c r="N151" s="224">
        <v>0</v>
      </c>
    </row>
    <row r="152" spans="1:14" x14ac:dyDescent="0.25">
      <c r="A152" s="217" t="s">
        <v>1246</v>
      </c>
      <c r="B152" s="217" t="s">
        <v>740</v>
      </c>
      <c r="C152" s="217" t="s">
        <v>1278</v>
      </c>
      <c r="D152" s="217" t="s">
        <v>1300</v>
      </c>
      <c r="E152" s="222" t="s">
        <v>739</v>
      </c>
      <c r="F152" s="223">
        <v>0.4</v>
      </c>
      <c r="G152" s="203">
        <v>2.0533469538730147</v>
      </c>
      <c r="H152" s="203">
        <v>0</v>
      </c>
      <c r="I152" s="203">
        <v>2.0533469538730147</v>
      </c>
      <c r="J152" s="203">
        <v>-15.791690497683337</v>
      </c>
      <c r="K152" s="203">
        <v>-4.0991929209576838E-2</v>
      </c>
      <c r="L152" s="203">
        <v>-15.832682426892914</v>
      </c>
      <c r="M152" s="203">
        <v>1.8993459323325388</v>
      </c>
      <c r="N152" s="224">
        <v>0.5</v>
      </c>
    </row>
    <row r="153" spans="1:14" x14ac:dyDescent="0.25">
      <c r="A153" s="217" t="s">
        <v>1247</v>
      </c>
      <c r="B153" s="217" t="s">
        <v>742</v>
      </c>
      <c r="C153" s="217" t="s">
        <v>1286</v>
      </c>
      <c r="D153" s="217" t="s">
        <v>1291</v>
      </c>
      <c r="E153" s="222" t="s">
        <v>741</v>
      </c>
      <c r="F153" s="223">
        <v>0.49</v>
      </c>
      <c r="G153" s="203">
        <v>13.583676081846013</v>
      </c>
      <c r="H153" s="203">
        <v>0</v>
      </c>
      <c r="I153" s="203">
        <v>13.583676081846013</v>
      </c>
      <c r="J153" s="203">
        <v>-18.721049856362956</v>
      </c>
      <c r="K153" s="203">
        <v>-1.112119484190643</v>
      </c>
      <c r="L153" s="203">
        <v>-19.833169340553599</v>
      </c>
      <c r="M153" s="203">
        <v>12.564900375707563</v>
      </c>
      <c r="N153" s="224">
        <v>0.5</v>
      </c>
    </row>
    <row r="154" spans="1:14" x14ac:dyDescent="0.25">
      <c r="A154" s="217" t="s">
        <v>1248</v>
      </c>
      <c r="B154" s="217" t="s">
        <v>744</v>
      </c>
      <c r="C154" s="217" t="s">
        <v>1285</v>
      </c>
      <c r="D154" s="217" t="s">
        <v>1288</v>
      </c>
      <c r="E154" s="222" t="s">
        <v>743</v>
      </c>
      <c r="F154" s="223">
        <v>0.49</v>
      </c>
      <c r="G154" s="203">
        <v>106.9385754605189</v>
      </c>
      <c r="H154" s="203">
        <v>30.297897391370984</v>
      </c>
      <c r="I154" s="203">
        <v>76.640678069147924</v>
      </c>
      <c r="J154" s="203">
        <v>40.65637252380121</v>
      </c>
      <c r="K154" s="203">
        <v>5.4103741291719132E-2</v>
      </c>
      <c r="L154" s="203">
        <v>40.710476265092929</v>
      </c>
      <c r="M154" s="203">
        <v>70.892627213961831</v>
      </c>
      <c r="N154" s="224">
        <v>0</v>
      </c>
    </row>
    <row r="155" spans="1:14" x14ac:dyDescent="0.25">
      <c r="A155" s="217" t="s">
        <v>1256</v>
      </c>
      <c r="B155" s="217" t="s">
        <v>758</v>
      </c>
      <c r="C155" s="217" t="s">
        <v>1286</v>
      </c>
      <c r="D155" s="217" t="s">
        <v>1292</v>
      </c>
      <c r="E155" s="222" t="s">
        <v>757</v>
      </c>
      <c r="F155" s="223">
        <v>0.49</v>
      </c>
      <c r="G155" s="203">
        <v>30.119602335348372</v>
      </c>
      <c r="H155" s="203">
        <v>4.575692213201795</v>
      </c>
      <c r="I155" s="203">
        <v>25.543910122146578</v>
      </c>
      <c r="J155" s="203">
        <v>-20.735386201973569</v>
      </c>
      <c r="K155" s="203">
        <v>0.24795664408185658</v>
      </c>
      <c r="L155" s="203">
        <v>-20.487429557891712</v>
      </c>
      <c r="M155" s="203">
        <v>23.628116862985586</v>
      </c>
      <c r="N155" s="224">
        <v>0.44804887119890724</v>
      </c>
    </row>
    <row r="157" spans="1:14" x14ac:dyDescent="0.25">
      <c r="A157" s="226"/>
      <c r="G157" s="206"/>
    </row>
    <row r="158" spans="1:14" ht="29.25" customHeight="1" x14ac:dyDescent="0.25">
      <c r="A158" s="228"/>
      <c r="E158" s="237" t="s">
        <v>1348</v>
      </c>
      <c r="F158" s="237"/>
      <c r="G158" s="237"/>
      <c r="H158" s="237"/>
      <c r="I158" s="237"/>
      <c r="J158" s="237"/>
      <c r="K158" s="237"/>
      <c r="L158" s="237"/>
      <c r="M158" s="237"/>
    </row>
  </sheetData>
  <mergeCells count="2">
    <mergeCell ref="G3:M3"/>
    <mergeCell ref="E158:M158"/>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89"/>
  <sheetViews>
    <sheetView zoomScale="80" zoomScaleNormal="80" workbookViewId="0">
      <pane xSplit="3" ySplit="3" topLeftCell="D4" activePane="bottomRight" state="frozen"/>
      <selection activeCell="AH20" sqref="AH20:AH416"/>
      <selection pane="topRight" activeCell="AH20" sqref="AH20:AH416"/>
      <selection pane="bottomLeft" activeCell="AH20" sqref="AH20:AH416"/>
      <selection pane="bottomRight" activeCell="L19" sqref="L19"/>
    </sheetView>
  </sheetViews>
  <sheetFormatPr defaultRowHeight="15" x14ac:dyDescent="0.25"/>
  <cols>
    <col min="1" max="1" width="9.5703125" style="61" bestFit="1" customWidth="1"/>
    <col min="2" max="2" width="10.7109375" style="61" bestFit="1" customWidth="1"/>
    <col min="3" max="3" width="33.140625" style="61" customWidth="1"/>
    <col min="4" max="4" width="13.85546875" style="61" customWidth="1"/>
    <col min="5" max="5" width="11.7109375" style="61" customWidth="1"/>
    <col min="6" max="6" width="11.140625" style="61" customWidth="1"/>
    <col min="7" max="7" width="11.42578125" style="61" customWidth="1"/>
    <col min="8" max="8" width="13.85546875" style="61" customWidth="1"/>
    <col min="9" max="9" width="14" style="61" customWidth="1"/>
    <col min="10" max="10" width="16.5703125" style="61" customWidth="1"/>
    <col min="11" max="11" width="48.140625" style="64" bestFit="1" customWidth="1"/>
    <col min="12" max="12" width="8.42578125" style="64" bestFit="1" customWidth="1"/>
    <col min="13" max="13" width="10.7109375" style="61" bestFit="1" customWidth="1"/>
    <col min="14" max="14" width="50.5703125" style="64" bestFit="1" customWidth="1"/>
    <col min="15" max="15" width="18.85546875" style="64" customWidth="1"/>
    <col min="16" max="16" width="16.7109375" style="64" bestFit="1" customWidth="1"/>
    <col min="17" max="17" width="28.85546875" style="64" bestFit="1" customWidth="1"/>
    <col min="18" max="18" width="14.5703125" style="64" bestFit="1" customWidth="1"/>
    <col min="19" max="16384" width="9.140625" style="61"/>
  </cols>
  <sheetData>
    <row r="1" spans="1:20" x14ac:dyDescent="0.25">
      <c r="A1" s="61">
        <f>COLUMN()-1</f>
        <v>0</v>
      </c>
      <c r="B1" s="61">
        <f t="shared" ref="B1:T1" si="0">COLUMN()-1</f>
        <v>1</v>
      </c>
      <c r="C1" s="61">
        <f t="shared" si="0"/>
        <v>2</v>
      </c>
      <c r="D1" s="61">
        <f t="shared" si="0"/>
        <v>3</v>
      </c>
      <c r="E1" s="61">
        <f t="shared" si="0"/>
        <v>4</v>
      </c>
      <c r="F1" s="61">
        <f t="shared" si="0"/>
        <v>5</v>
      </c>
      <c r="G1" s="61">
        <f t="shared" si="0"/>
        <v>6</v>
      </c>
      <c r="H1" s="61">
        <f t="shared" si="0"/>
        <v>7</v>
      </c>
      <c r="I1" s="61">
        <f t="shared" si="0"/>
        <v>8</v>
      </c>
      <c r="J1" s="61">
        <f t="shared" si="0"/>
        <v>9</v>
      </c>
      <c r="K1" s="64">
        <f t="shared" si="0"/>
        <v>10</v>
      </c>
      <c r="L1" s="64">
        <f t="shared" si="0"/>
        <v>11</v>
      </c>
      <c r="M1" s="61">
        <f t="shared" si="0"/>
        <v>12</v>
      </c>
      <c r="N1" s="61">
        <f t="shared" si="0"/>
        <v>13</v>
      </c>
      <c r="O1" s="61">
        <f t="shared" si="0"/>
        <v>14</v>
      </c>
      <c r="P1" s="61">
        <f t="shared" si="0"/>
        <v>15</v>
      </c>
      <c r="Q1" s="61">
        <f t="shared" si="0"/>
        <v>16</v>
      </c>
      <c r="R1" s="61">
        <f t="shared" si="0"/>
        <v>17</v>
      </c>
      <c r="S1" s="61">
        <f t="shared" si="0"/>
        <v>18</v>
      </c>
      <c r="T1" s="61">
        <f t="shared" si="0"/>
        <v>19</v>
      </c>
    </row>
    <row r="2" spans="1:20" s="92" customFormat="1" ht="33.75" x14ac:dyDescent="0.2">
      <c r="A2" s="89" t="s">
        <v>1260</v>
      </c>
      <c r="B2" s="90" t="s">
        <v>1261</v>
      </c>
      <c r="C2" s="90" t="s">
        <v>1261</v>
      </c>
      <c r="D2" s="91" t="s">
        <v>1262</v>
      </c>
      <c r="E2" s="91" t="s">
        <v>1262</v>
      </c>
      <c r="F2" s="91" t="s">
        <v>1262</v>
      </c>
      <c r="H2" s="91" t="s">
        <v>1262</v>
      </c>
      <c r="I2" s="91" t="s">
        <v>1262</v>
      </c>
      <c r="J2" s="91" t="s">
        <v>1262</v>
      </c>
      <c r="K2" s="93" t="s">
        <v>1266</v>
      </c>
      <c r="L2" s="93"/>
      <c r="M2" s="90" t="s">
        <v>1261</v>
      </c>
      <c r="N2" s="93"/>
      <c r="O2" s="93"/>
      <c r="P2" s="93"/>
      <c r="Q2" s="93"/>
      <c r="R2" s="93"/>
    </row>
    <row r="3" spans="1:20" s="62" customFormat="1" ht="51" x14ac:dyDescent="0.25">
      <c r="A3" s="94" t="s">
        <v>24</v>
      </c>
      <c r="B3" s="95" t="s">
        <v>26</v>
      </c>
      <c r="C3" s="95" t="s">
        <v>25</v>
      </c>
      <c r="D3" s="96" t="s">
        <v>27</v>
      </c>
      <c r="E3" s="96" t="s">
        <v>28</v>
      </c>
      <c r="F3" s="96" t="s">
        <v>1263</v>
      </c>
      <c r="G3" s="96" t="s">
        <v>29</v>
      </c>
      <c r="H3" s="96" t="s">
        <v>30</v>
      </c>
      <c r="I3" s="96" t="s">
        <v>31</v>
      </c>
      <c r="J3" s="96" t="s">
        <v>32</v>
      </c>
      <c r="K3" s="97" t="s">
        <v>1265</v>
      </c>
      <c r="L3" s="97" t="s">
        <v>1272</v>
      </c>
      <c r="M3" s="95" t="s">
        <v>26</v>
      </c>
      <c r="N3" s="97" t="s">
        <v>1331</v>
      </c>
      <c r="O3" s="97" t="s">
        <v>1332</v>
      </c>
      <c r="P3" s="97" t="s">
        <v>1333</v>
      </c>
      <c r="Q3" s="97" t="s">
        <v>1330</v>
      </c>
      <c r="R3" s="97" t="s">
        <v>1334</v>
      </c>
      <c r="S3" s="97" t="s">
        <v>1339</v>
      </c>
      <c r="T3" s="97" t="s">
        <v>1341</v>
      </c>
    </row>
    <row r="4" spans="1:20" x14ac:dyDescent="0.25">
      <c r="A4" s="98">
        <v>1</v>
      </c>
      <c r="B4" s="99" t="s">
        <v>34</v>
      </c>
      <c r="C4" s="100" t="s">
        <v>33</v>
      </c>
      <c r="D4" s="101" t="s">
        <v>35</v>
      </c>
      <c r="E4" s="101" t="s">
        <v>36</v>
      </c>
      <c r="F4" s="101">
        <v>0.4</v>
      </c>
      <c r="G4" s="102">
        <v>0</v>
      </c>
      <c r="H4" s="7" t="s">
        <v>830</v>
      </c>
      <c r="I4" s="7" t="s">
        <v>830</v>
      </c>
      <c r="J4" s="103">
        <v>1.0910629999999999</v>
      </c>
      <c r="K4" s="104" t="s">
        <v>37</v>
      </c>
      <c r="L4" s="104"/>
      <c r="M4" s="99" t="s">
        <v>34</v>
      </c>
      <c r="N4" s="104" t="str">
        <f>IF(K4="","",K4&amp;COUNTIF($K$4:K4,K4))</f>
        <v>West Sussex Business Rates Pool1</v>
      </c>
      <c r="O4" s="104" t="str">
        <f>IF(D4="NA","NA",D4&amp;COUNTIF($D$4:D4,D4))</f>
        <v>E38201</v>
      </c>
      <c r="P4" s="104" t="str">
        <f>IF(E4="NA","NA",E4&amp;COUNTIF($E$4:E4,E4))</f>
        <v>NA</v>
      </c>
      <c r="Q4" s="104" t="str">
        <f>C4</f>
        <v>Adur</v>
      </c>
      <c r="R4" s="153" t="s">
        <v>1335</v>
      </c>
      <c r="S4" s="192">
        <f>J4*F4</f>
        <v>0.43642519999999996</v>
      </c>
      <c r="T4" s="194">
        <v>0.70199999999999996</v>
      </c>
    </row>
    <row r="5" spans="1:20" x14ac:dyDescent="0.25">
      <c r="A5" s="98">
        <v>2</v>
      </c>
      <c r="B5" s="99" t="s">
        <v>39</v>
      </c>
      <c r="C5" s="100" t="s">
        <v>38</v>
      </c>
      <c r="D5" s="101" t="s">
        <v>40</v>
      </c>
      <c r="E5" s="101" t="s">
        <v>36</v>
      </c>
      <c r="F5" s="101">
        <v>0.4</v>
      </c>
      <c r="G5" s="102">
        <v>0</v>
      </c>
      <c r="H5" s="7" t="s">
        <v>830</v>
      </c>
      <c r="I5" s="7" t="s">
        <v>830</v>
      </c>
      <c r="J5" s="103">
        <v>1.7783929999999999</v>
      </c>
      <c r="K5" s="104" t="s">
        <v>41</v>
      </c>
      <c r="L5" s="104"/>
      <c r="M5" s="99" t="s">
        <v>39</v>
      </c>
      <c r="N5" s="104" t="str">
        <f>IF(K5="","",K5&amp;COUNTIF($K$4:K5,K5))</f>
        <v>Cumbria Business Rates Pool1</v>
      </c>
      <c r="O5" s="104" t="str">
        <f>IF(D5="NA","NA",D5&amp;COUNTIF($D$4:D5,D5))</f>
        <v>E09201</v>
      </c>
      <c r="P5" s="104" t="str">
        <f>IF(E5="NA","NA",E5&amp;COUNTIF($E$4:E5,E5))</f>
        <v>NA</v>
      </c>
      <c r="Q5" s="104" t="str">
        <f t="shared" ref="Q5:Q68" si="1">C5</f>
        <v>Allerdale</v>
      </c>
      <c r="R5" s="153" t="s">
        <v>1335</v>
      </c>
      <c r="S5" s="192">
        <f t="shared" ref="S5:S68" si="2">J5*F5</f>
        <v>0.71135720000000002</v>
      </c>
      <c r="T5" s="194">
        <v>0.64400000000000002</v>
      </c>
    </row>
    <row r="6" spans="1:20" x14ac:dyDescent="0.25">
      <c r="A6" s="98">
        <v>3</v>
      </c>
      <c r="B6" s="99" t="s">
        <v>43</v>
      </c>
      <c r="C6" s="100" t="s">
        <v>42</v>
      </c>
      <c r="D6" s="101" t="s">
        <v>44</v>
      </c>
      <c r="E6" s="101" t="s">
        <v>45</v>
      </c>
      <c r="F6" s="101">
        <v>0.4</v>
      </c>
      <c r="G6" s="102">
        <v>0</v>
      </c>
      <c r="H6" s="7" t="s">
        <v>830</v>
      </c>
      <c r="I6" s="7" t="s">
        <v>830</v>
      </c>
      <c r="J6" s="103">
        <v>0.34</v>
      </c>
      <c r="K6" s="104" t="s">
        <v>1</v>
      </c>
      <c r="L6" s="104"/>
      <c r="M6" s="99" t="s">
        <v>43</v>
      </c>
      <c r="N6" s="104" t="str">
        <f>IF(K6="","",K6&amp;COUNTIF($K$4:K6,K6))</f>
        <v>Derbyshire Business Rates Pool1</v>
      </c>
      <c r="O6" s="104" t="str">
        <f>IF(D6="NA","NA",D6&amp;COUNTIF($D$4:D6,D6))</f>
        <v>E10211</v>
      </c>
      <c r="P6" s="104" t="str">
        <f>IF(E6="NA","NA",E6&amp;COUNTIF($E$4:E6,E6))</f>
        <v>E61101</v>
      </c>
      <c r="Q6" s="104" t="str">
        <f t="shared" si="1"/>
        <v>Amber Valley</v>
      </c>
      <c r="R6" s="153" t="s">
        <v>1335</v>
      </c>
      <c r="S6" s="192">
        <f t="shared" si="2"/>
        <v>0.13600000000000001</v>
      </c>
      <c r="T6" s="194">
        <v>0.69</v>
      </c>
    </row>
    <row r="7" spans="1:20" x14ac:dyDescent="0.25">
      <c r="A7" s="98">
        <v>4</v>
      </c>
      <c r="B7" s="99" t="s">
        <v>47</v>
      </c>
      <c r="C7" s="100" t="s">
        <v>46</v>
      </c>
      <c r="D7" s="101" t="s">
        <v>35</v>
      </c>
      <c r="E7" s="101" t="s">
        <v>36</v>
      </c>
      <c r="F7" s="101">
        <v>0.4</v>
      </c>
      <c r="G7" s="102">
        <v>0</v>
      </c>
      <c r="H7" s="7" t="s">
        <v>830</v>
      </c>
      <c r="I7" s="7" t="s">
        <v>830</v>
      </c>
      <c r="J7" s="103">
        <v>1.8580000000000001</v>
      </c>
      <c r="K7" s="104" t="s">
        <v>37</v>
      </c>
      <c r="L7" s="104"/>
      <c r="M7" s="99" t="s">
        <v>47</v>
      </c>
      <c r="N7" s="104" t="str">
        <f>IF(K7="","",K7&amp;COUNTIF($K$4:K7,K7))</f>
        <v>West Sussex Business Rates Pool2</v>
      </c>
      <c r="O7" s="104" t="str">
        <f>IF(D7="NA","NA",D7&amp;COUNTIF($D$4:D7,D7))</f>
        <v>E38202</v>
      </c>
      <c r="P7" s="104" t="str">
        <f>IF(E7="NA","NA",E7&amp;COUNTIF($E$4:E7,E7))</f>
        <v>NA</v>
      </c>
      <c r="Q7" s="104" t="str">
        <f t="shared" si="1"/>
        <v>Arun</v>
      </c>
      <c r="R7" s="153" t="s">
        <v>1335</v>
      </c>
      <c r="S7" s="192">
        <f t="shared" si="2"/>
        <v>0.74320000000000008</v>
      </c>
      <c r="T7" s="194">
        <v>0.69499999999999995</v>
      </c>
    </row>
    <row r="8" spans="1:20" x14ac:dyDescent="0.25">
      <c r="A8" s="98">
        <v>5</v>
      </c>
      <c r="B8" s="99" t="s">
        <v>49</v>
      </c>
      <c r="C8" s="100" t="s">
        <v>48</v>
      </c>
      <c r="D8" s="101" t="s">
        <v>50</v>
      </c>
      <c r="E8" s="101" t="s">
        <v>51</v>
      </c>
      <c r="F8" s="101">
        <v>0.4</v>
      </c>
      <c r="G8" s="102">
        <v>0</v>
      </c>
      <c r="H8" s="7" t="s">
        <v>830</v>
      </c>
      <c r="I8" s="7" t="s">
        <v>830</v>
      </c>
      <c r="J8" s="103">
        <v>0.67168700000000003</v>
      </c>
      <c r="K8" s="104" t="s">
        <v>835</v>
      </c>
      <c r="L8" s="104"/>
      <c r="M8" s="99" t="s">
        <v>49</v>
      </c>
      <c r="N8" s="104" t="str">
        <f>IF(K8="","",K8&amp;COUNTIF($K$4:K8,K8))</f>
        <v>Nottingham Business Rates Pool1</v>
      </c>
      <c r="O8" s="104" t="str">
        <f>IF(D8="NA","NA",D8&amp;COUNTIF($D$4:D8,D8))</f>
        <v>E30211</v>
      </c>
      <c r="P8" s="104" t="str">
        <f>IF(E8="NA","NA",E8&amp;COUNTIF($E$4:E8,E8))</f>
        <v>E61301</v>
      </c>
      <c r="Q8" s="104" t="str">
        <f t="shared" si="1"/>
        <v>Ashfield</v>
      </c>
      <c r="R8" s="153" t="s">
        <v>1335</v>
      </c>
      <c r="S8" s="192">
        <f t="shared" si="2"/>
        <v>0.26867480000000005</v>
      </c>
      <c r="T8" s="194">
        <v>0.67</v>
      </c>
    </row>
    <row r="9" spans="1:20" x14ac:dyDescent="0.25">
      <c r="A9" s="98">
        <v>6</v>
      </c>
      <c r="B9" s="99" t="s">
        <v>53</v>
      </c>
      <c r="C9" s="100" t="s">
        <v>52</v>
      </c>
      <c r="D9" s="101" t="s">
        <v>54</v>
      </c>
      <c r="E9" s="101" t="s">
        <v>55</v>
      </c>
      <c r="F9" s="101">
        <v>0.4</v>
      </c>
      <c r="G9" s="102">
        <v>0</v>
      </c>
      <c r="H9" s="7" t="s">
        <v>837</v>
      </c>
      <c r="I9" s="7" t="s">
        <v>830</v>
      </c>
      <c r="J9" s="103">
        <v>2.4</v>
      </c>
      <c r="K9" s="104" t="s">
        <v>56</v>
      </c>
      <c r="L9" s="104"/>
      <c r="M9" s="99" t="s">
        <v>53</v>
      </c>
      <c r="N9" s="104" t="str">
        <f>IF(K9="","",K9&amp;COUNTIF($K$4:K9,K9))</f>
        <v>Kent Business Rates Pool1</v>
      </c>
      <c r="O9" s="104" t="str">
        <f>IF(D9="NA","NA",D9&amp;COUNTIF($D$4:D9,D9))</f>
        <v>E22211</v>
      </c>
      <c r="P9" s="104" t="str">
        <f>IF(E9="NA","NA",E9&amp;COUNTIF($E$4:E9,E9))</f>
        <v>E61221</v>
      </c>
      <c r="Q9" s="104" t="str">
        <f t="shared" si="1"/>
        <v>Ashford</v>
      </c>
      <c r="R9" s="153" t="s">
        <v>1335</v>
      </c>
      <c r="S9" s="192">
        <f t="shared" si="2"/>
        <v>0.96</v>
      </c>
      <c r="T9" s="194">
        <v>0.69899999999999995</v>
      </c>
    </row>
    <row r="10" spans="1:20" x14ac:dyDescent="0.25">
      <c r="A10" s="98">
        <v>7</v>
      </c>
      <c r="B10" s="99" t="s">
        <v>58</v>
      </c>
      <c r="C10" s="100" t="s">
        <v>57</v>
      </c>
      <c r="D10" s="101" t="s">
        <v>59</v>
      </c>
      <c r="E10" s="101" t="s">
        <v>60</v>
      </c>
      <c r="F10" s="101">
        <v>0.4</v>
      </c>
      <c r="G10" s="102">
        <v>0</v>
      </c>
      <c r="H10" s="7" t="s">
        <v>830</v>
      </c>
      <c r="I10" s="7" t="s">
        <v>830</v>
      </c>
      <c r="J10" s="103">
        <v>0</v>
      </c>
      <c r="K10" s="104" t="s">
        <v>841</v>
      </c>
      <c r="L10" s="104"/>
      <c r="M10" s="99" t="s">
        <v>58</v>
      </c>
      <c r="N10" s="104" t="str">
        <f>IF(K10="","",K10&amp;COUNTIF($K$4:K10,K10))</f>
        <v>Buckinghamshire Business Rates Pool1</v>
      </c>
      <c r="O10" s="104" t="str">
        <f>IF(D10="NA","NA",D10&amp;COUNTIF($D$4:D10,D10))</f>
        <v>E04211</v>
      </c>
      <c r="P10" s="104" t="str">
        <f>IF(E10="NA","NA",E10&amp;COUNTIF($E$4:E10,E10))</f>
        <v>E61041</v>
      </c>
      <c r="Q10" s="104" t="str">
        <f t="shared" si="1"/>
        <v>Aylesbury Vale</v>
      </c>
      <c r="R10" s="153" t="s">
        <v>1335</v>
      </c>
      <c r="S10" s="192">
        <f t="shared" si="2"/>
        <v>0</v>
      </c>
      <c r="T10" s="194">
        <v>0.72799999999999998</v>
      </c>
    </row>
    <row r="11" spans="1:20" x14ac:dyDescent="0.25">
      <c r="A11" s="98">
        <v>8</v>
      </c>
      <c r="B11" s="99" t="s">
        <v>63</v>
      </c>
      <c r="C11" s="100" t="s">
        <v>62</v>
      </c>
      <c r="D11" s="101" t="s">
        <v>64</v>
      </c>
      <c r="E11" s="101" t="s">
        <v>36</v>
      </c>
      <c r="F11" s="101">
        <v>0.4</v>
      </c>
      <c r="G11" s="102">
        <v>0</v>
      </c>
      <c r="H11" s="7" t="s">
        <v>830</v>
      </c>
      <c r="I11" s="7" t="s">
        <v>830</v>
      </c>
      <c r="J11" s="103">
        <v>0.77495899999999995</v>
      </c>
      <c r="K11" s="104" t="s">
        <v>65</v>
      </c>
      <c r="L11" s="104"/>
      <c r="M11" s="99" t="s">
        <v>63</v>
      </c>
      <c r="N11" s="104" t="str">
        <f>IF(K11="","",K11&amp;COUNTIF($K$4:K11,K11))</f>
        <v>Suffolk Business Rates Pool1</v>
      </c>
      <c r="O11" s="104" t="str">
        <f>IF(D11="NA","NA",D11&amp;COUNTIF($D$4:D11,D11))</f>
        <v>E35201</v>
      </c>
      <c r="P11" s="104" t="str">
        <f>IF(E11="NA","NA",E11&amp;COUNTIF($E$4:E11,E11))</f>
        <v>NA</v>
      </c>
      <c r="Q11" s="104" t="str">
        <f t="shared" si="1"/>
        <v>Babergh</v>
      </c>
      <c r="R11" s="153" t="s">
        <v>1335</v>
      </c>
      <c r="S11" s="192">
        <f t="shared" si="2"/>
        <v>0.30998360000000003</v>
      </c>
      <c r="T11" s="194">
        <v>0.68700000000000006</v>
      </c>
    </row>
    <row r="12" spans="1:20" x14ac:dyDescent="0.25">
      <c r="A12" s="98">
        <v>9</v>
      </c>
      <c r="B12" s="99" t="s">
        <v>67</v>
      </c>
      <c r="C12" s="100" t="s">
        <v>66</v>
      </c>
      <c r="D12" s="101" t="s">
        <v>68</v>
      </c>
      <c r="E12" s="101" t="s">
        <v>36</v>
      </c>
      <c r="F12" s="101">
        <v>0.3</v>
      </c>
      <c r="G12" s="102">
        <v>0</v>
      </c>
      <c r="H12" s="7" t="s">
        <v>837</v>
      </c>
      <c r="I12" s="7" t="s">
        <v>830</v>
      </c>
      <c r="J12" s="103">
        <v>7.5572840000000001</v>
      </c>
      <c r="K12" s="104" t="s">
        <v>69</v>
      </c>
      <c r="L12" s="104"/>
      <c r="M12" s="99" t="s">
        <v>67</v>
      </c>
      <c r="N12" s="104" t="str">
        <f>IF(K12="","",K12&amp;COUNTIF($K$4:K12,K12))</f>
        <v>East London / South Essex Business Rates Pool1</v>
      </c>
      <c r="O12" s="104" t="str">
        <f>IF(D12="NA","NA",D12&amp;COUNTIF($D$4:D12,D12))</f>
        <v>E51001</v>
      </c>
      <c r="P12" s="104" t="str">
        <f>IF(E12="NA","NA",E12&amp;COUNTIF($E$4:E12,E12))</f>
        <v>NA</v>
      </c>
      <c r="Q12" s="104" t="str">
        <f t="shared" si="1"/>
        <v>Barking and Dagenham</v>
      </c>
      <c r="R12" s="153" t="s">
        <v>1335</v>
      </c>
      <c r="S12" s="192">
        <f t="shared" si="2"/>
        <v>2.2671852000000001</v>
      </c>
      <c r="T12" s="194">
        <v>0.77400000000000002</v>
      </c>
    </row>
    <row r="13" spans="1:20" x14ac:dyDescent="0.25">
      <c r="A13" s="98">
        <v>10</v>
      </c>
      <c r="B13" s="99" t="s">
        <v>71</v>
      </c>
      <c r="C13" s="100" t="s">
        <v>70</v>
      </c>
      <c r="D13" s="101" t="s">
        <v>68</v>
      </c>
      <c r="E13" s="101" t="s">
        <v>36</v>
      </c>
      <c r="F13" s="101">
        <v>0.3</v>
      </c>
      <c r="G13" s="102">
        <v>0</v>
      </c>
      <c r="H13" s="7" t="s">
        <v>830</v>
      </c>
      <c r="I13" s="7" t="s">
        <v>830</v>
      </c>
      <c r="J13" s="103">
        <v>3.6382430000000001</v>
      </c>
      <c r="K13" s="104"/>
      <c r="L13" s="104"/>
      <c r="M13" s="99" t="s">
        <v>71</v>
      </c>
      <c r="N13" s="104" t="str">
        <f>IF(K13="","",K13&amp;COUNTIF($K$4:K13,K13))</f>
        <v/>
      </c>
      <c r="O13" s="104" t="str">
        <f>IF(D13="NA","NA",D13&amp;COUNTIF($D$4:D13,D13))</f>
        <v>E51002</v>
      </c>
      <c r="P13" s="104" t="str">
        <f>IF(E13="NA","NA",E13&amp;COUNTIF($E$4:E13,E13))</f>
        <v>NA</v>
      </c>
      <c r="Q13" s="104" t="str">
        <f t="shared" si="1"/>
        <v>Barnet</v>
      </c>
      <c r="R13" s="153" t="s">
        <v>1335</v>
      </c>
      <c r="S13" s="192">
        <f t="shared" si="2"/>
        <v>1.0914729000000001</v>
      </c>
      <c r="T13" s="194">
        <v>0.80100000000000005</v>
      </c>
    </row>
    <row r="14" spans="1:20" x14ac:dyDescent="0.25">
      <c r="A14" s="98">
        <v>11</v>
      </c>
      <c r="B14" s="99" t="s">
        <v>73</v>
      </c>
      <c r="C14" s="100" t="s">
        <v>72</v>
      </c>
      <c r="D14" s="101" t="s">
        <v>36</v>
      </c>
      <c r="E14" s="101" t="s">
        <v>74</v>
      </c>
      <c r="F14" s="101">
        <v>0.49</v>
      </c>
      <c r="G14" s="102">
        <v>0</v>
      </c>
      <c r="H14" s="7" t="s">
        <v>830</v>
      </c>
      <c r="I14" s="7" t="s">
        <v>830</v>
      </c>
      <c r="J14" s="103">
        <v>0.96469800000000006</v>
      </c>
      <c r="K14" s="104"/>
      <c r="L14" s="104"/>
      <c r="M14" s="99" t="s">
        <v>73</v>
      </c>
      <c r="N14" s="104" t="str">
        <f>IF(K14="","",K14&amp;COUNTIF($K$4:K14,K14))</f>
        <v/>
      </c>
      <c r="O14" s="104" t="str">
        <f>IF(D14="NA","NA",D14&amp;COUNTIF($D$4:D14,D14))</f>
        <v>NA</v>
      </c>
      <c r="P14" s="104" t="str">
        <f>IF(E14="NA","NA",E14&amp;COUNTIF($E$4:E14,E14))</f>
        <v>E61441</v>
      </c>
      <c r="Q14" s="104" t="str">
        <f t="shared" si="1"/>
        <v>Barnsley</v>
      </c>
      <c r="R14" s="153" t="s">
        <v>1335</v>
      </c>
      <c r="S14" s="192">
        <f t="shared" si="2"/>
        <v>0.47270202</v>
      </c>
      <c r="T14" s="194">
        <v>0.66800000000000004</v>
      </c>
    </row>
    <row r="15" spans="1:20" x14ac:dyDescent="0.25">
      <c r="A15" s="98">
        <v>12</v>
      </c>
      <c r="B15" s="99" t="s">
        <v>76</v>
      </c>
      <c r="C15" s="100" t="s">
        <v>75</v>
      </c>
      <c r="D15" s="101" t="s">
        <v>40</v>
      </c>
      <c r="E15" s="101" t="s">
        <v>36</v>
      </c>
      <c r="F15" s="101">
        <v>0.4</v>
      </c>
      <c r="G15" s="102">
        <v>0</v>
      </c>
      <c r="H15" s="7" t="s">
        <v>830</v>
      </c>
      <c r="I15" s="7" t="s">
        <v>830</v>
      </c>
      <c r="J15" s="103">
        <v>0.75693600000000005</v>
      </c>
      <c r="K15" s="104" t="s">
        <v>41</v>
      </c>
      <c r="L15" s="104"/>
      <c r="M15" s="99" t="s">
        <v>76</v>
      </c>
      <c r="N15" s="104" t="str">
        <f>IF(K15="","",K15&amp;COUNTIF($K$4:K15,K15))</f>
        <v>Cumbria Business Rates Pool2</v>
      </c>
      <c r="O15" s="104" t="str">
        <f>IF(D15="NA","NA",D15&amp;COUNTIF($D$4:D15,D15))</f>
        <v>E09202</v>
      </c>
      <c r="P15" s="104" t="str">
        <f>IF(E15="NA","NA",E15&amp;COUNTIF($E$4:E15,E15))</f>
        <v>NA</v>
      </c>
      <c r="Q15" s="104" t="str">
        <f t="shared" si="1"/>
        <v>Barrow-in-Furness</v>
      </c>
      <c r="R15" s="153" t="s">
        <v>1335</v>
      </c>
      <c r="S15" s="192">
        <f t="shared" si="2"/>
        <v>0.30277440000000005</v>
      </c>
      <c r="T15" s="194">
        <v>0.66500000000000004</v>
      </c>
    </row>
    <row r="16" spans="1:20" x14ac:dyDescent="0.25">
      <c r="A16" s="98">
        <v>13</v>
      </c>
      <c r="B16" s="99" t="s">
        <v>78</v>
      </c>
      <c r="C16" s="100" t="s">
        <v>77</v>
      </c>
      <c r="D16" s="101" t="s">
        <v>79</v>
      </c>
      <c r="E16" s="101" t="s">
        <v>80</v>
      </c>
      <c r="F16" s="101">
        <v>0.4</v>
      </c>
      <c r="G16" s="102">
        <v>0</v>
      </c>
      <c r="H16" s="7" t="s">
        <v>830</v>
      </c>
      <c r="I16" s="7" t="s">
        <v>830</v>
      </c>
      <c r="J16" s="103">
        <v>6.38</v>
      </c>
      <c r="K16" s="104" t="s">
        <v>69</v>
      </c>
      <c r="L16" s="104"/>
      <c r="M16" s="99" t="s">
        <v>78</v>
      </c>
      <c r="N16" s="104" t="str">
        <f>IF(K16="","",K16&amp;COUNTIF($K$4:K16,K16))</f>
        <v>East London / South Essex Business Rates Pool2</v>
      </c>
      <c r="O16" s="104" t="str">
        <f>IF(D16="NA","NA",D16&amp;COUNTIF($D$4:D16,D16))</f>
        <v>E15211</v>
      </c>
      <c r="P16" s="104" t="str">
        <f>IF(E16="NA","NA",E16&amp;COUNTIF($E$4:E16,E16))</f>
        <v>E61151</v>
      </c>
      <c r="Q16" s="104" t="str">
        <f t="shared" si="1"/>
        <v>Basildon</v>
      </c>
      <c r="R16" s="153" t="s">
        <v>1335</v>
      </c>
      <c r="S16" s="192">
        <f t="shared" si="2"/>
        <v>2.552</v>
      </c>
      <c r="T16" s="194">
        <v>0.77200000000000002</v>
      </c>
    </row>
    <row r="17" spans="1:20" x14ac:dyDescent="0.25">
      <c r="A17" s="98">
        <v>14</v>
      </c>
      <c r="B17" s="99" t="s">
        <v>82</v>
      </c>
      <c r="C17" s="100" t="s">
        <v>81</v>
      </c>
      <c r="D17" s="101" t="s">
        <v>83</v>
      </c>
      <c r="E17" s="101" t="s">
        <v>84</v>
      </c>
      <c r="F17" s="101">
        <v>0.4</v>
      </c>
      <c r="G17" s="102">
        <v>0</v>
      </c>
      <c r="H17" s="7" t="s">
        <v>830</v>
      </c>
      <c r="I17" s="7" t="s">
        <v>830</v>
      </c>
      <c r="J17" s="103">
        <v>2.242</v>
      </c>
      <c r="K17" s="104"/>
      <c r="L17" s="104"/>
      <c r="M17" s="99" t="s">
        <v>82</v>
      </c>
      <c r="N17" s="104" t="str">
        <f>IF(K17="","",K17&amp;COUNTIF($K$4:K17,K17))</f>
        <v/>
      </c>
      <c r="O17" s="104" t="str">
        <f>IF(D17="NA","NA",D17&amp;COUNTIF($D$4:D17,D17))</f>
        <v>E17211</v>
      </c>
      <c r="P17" s="104" t="str">
        <f>IF(E17="NA","NA",E17&amp;COUNTIF($E$4:E17,E17))</f>
        <v>E61171</v>
      </c>
      <c r="Q17" s="104" t="str">
        <f t="shared" si="1"/>
        <v>Basingstoke &amp; Deane</v>
      </c>
      <c r="R17" s="153" t="s">
        <v>1335</v>
      </c>
      <c r="S17" s="192">
        <f t="shared" si="2"/>
        <v>0.89680000000000004</v>
      </c>
      <c r="T17" s="194">
        <v>0.72899999999999998</v>
      </c>
    </row>
    <row r="18" spans="1:20" x14ac:dyDescent="0.25">
      <c r="A18" s="98">
        <v>15</v>
      </c>
      <c r="B18" s="99" t="s">
        <v>86</v>
      </c>
      <c r="C18" s="100" t="s">
        <v>85</v>
      </c>
      <c r="D18" s="101" t="s">
        <v>50</v>
      </c>
      <c r="E18" s="101" t="s">
        <v>51</v>
      </c>
      <c r="F18" s="101">
        <v>0.4</v>
      </c>
      <c r="G18" s="102">
        <v>0</v>
      </c>
      <c r="H18" s="7" t="s">
        <v>837</v>
      </c>
      <c r="I18" s="7" t="s">
        <v>830</v>
      </c>
      <c r="J18" s="103">
        <v>1.6486400000000001</v>
      </c>
      <c r="K18" s="104" t="s">
        <v>835</v>
      </c>
      <c r="L18" s="104"/>
      <c r="M18" s="99" t="s">
        <v>86</v>
      </c>
      <c r="N18" s="104" t="str">
        <f>IF(K18="","",K18&amp;COUNTIF($K$4:K18,K18))</f>
        <v>Nottingham Business Rates Pool2</v>
      </c>
      <c r="O18" s="104" t="str">
        <f>IF(D18="NA","NA",D18&amp;COUNTIF($D$4:D18,D18))</f>
        <v>E30212</v>
      </c>
      <c r="P18" s="104" t="str">
        <f>IF(E18="NA","NA",E18&amp;COUNTIF($E$4:E18,E18))</f>
        <v>E61302</v>
      </c>
      <c r="Q18" s="104" t="str">
        <f t="shared" si="1"/>
        <v>Bassetlaw</v>
      </c>
      <c r="R18" s="153" t="s">
        <v>1335</v>
      </c>
      <c r="S18" s="192">
        <f t="shared" si="2"/>
        <v>0.65945600000000004</v>
      </c>
      <c r="T18" s="194">
        <v>0.68899999999999995</v>
      </c>
    </row>
    <row r="19" spans="1:20" x14ac:dyDescent="0.25">
      <c r="A19" s="98">
        <v>16</v>
      </c>
      <c r="B19" s="99" t="s">
        <v>88</v>
      </c>
      <c r="C19" s="100" t="s">
        <v>87</v>
      </c>
      <c r="D19" s="101" t="s">
        <v>36</v>
      </c>
      <c r="E19" s="101" t="s">
        <v>89</v>
      </c>
      <c r="F19" s="101">
        <v>0.49</v>
      </c>
      <c r="G19" s="102">
        <v>0</v>
      </c>
      <c r="H19" s="7" t="s">
        <v>830</v>
      </c>
      <c r="I19" s="7" t="s">
        <v>830</v>
      </c>
      <c r="J19" s="103">
        <v>2.1499459999999999</v>
      </c>
      <c r="K19" s="104"/>
      <c r="L19" s="153" t="s">
        <v>1272</v>
      </c>
      <c r="M19" s="99" t="s">
        <v>88</v>
      </c>
      <c r="N19" s="104" t="str">
        <f>IF(K19="","",K19&amp;COUNTIF($K$4:K19,K19))</f>
        <v/>
      </c>
      <c r="O19" s="104" t="str">
        <f>IF(D19="NA","NA",D19&amp;COUNTIF($D$4:D19,D19))</f>
        <v>NA</v>
      </c>
      <c r="P19" s="104" t="str">
        <f>IF(E19="NA","NA",E19&amp;COUNTIF($E$4:E19,E19))</f>
        <v>E61011</v>
      </c>
      <c r="Q19" s="104" t="str">
        <f t="shared" si="1"/>
        <v>Bath &amp; North East Somerset</v>
      </c>
      <c r="R19" s="153" t="s">
        <v>1335</v>
      </c>
      <c r="S19" s="192">
        <f t="shared" si="2"/>
        <v>1.0534735399999999</v>
      </c>
      <c r="T19" s="194">
        <v>0.70799999999999996</v>
      </c>
    </row>
    <row r="20" spans="1:20" x14ac:dyDescent="0.25">
      <c r="A20" s="98">
        <v>17</v>
      </c>
      <c r="B20" s="99" t="s">
        <v>92</v>
      </c>
      <c r="C20" s="100" t="s">
        <v>91</v>
      </c>
      <c r="D20" s="101" t="s">
        <v>36</v>
      </c>
      <c r="E20" s="101" t="s">
        <v>93</v>
      </c>
      <c r="F20" s="101">
        <v>0.49</v>
      </c>
      <c r="G20" s="102">
        <v>0</v>
      </c>
      <c r="H20" s="7" t="s">
        <v>830</v>
      </c>
      <c r="I20" s="7" t="s">
        <v>830</v>
      </c>
      <c r="J20" s="103">
        <v>1.5620000000000001</v>
      </c>
      <c r="K20" s="104"/>
      <c r="L20" s="104"/>
      <c r="M20" s="99" t="s">
        <v>92</v>
      </c>
      <c r="N20" s="104" t="str">
        <f>IF(K20="","",K20&amp;COUNTIF($K$4:K20,K20))</f>
        <v/>
      </c>
      <c r="O20" s="104" t="str">
        <f>IF(D20="NA","NA",D20&amp;COUNTIF($D$4:D20,D20))</f>
        <v>NA</v>
      </c>
      <c r="P20" s="104" t="str">
        <f>IF(E20="NA","NA",E20&amp;COUNTIF($E$4:E20,E20))</f>
        <v>E61021</v>
      </c>
      <c r="Q20" s="104" t="str">
        <f t="shared" si="1"/>
        <v>Bedford UA</v>
      </c>
      <c r="R20" s="153" t="s">
        <v>1335</v>
      </c>
      <c r="S20" s="192">
        <f t="shared" si="2"/>
        <v>0.76538000000000006</v>
      </c>
      <c r="T20" s="194">
        <v>0.71099999999999997</v>
      </c>
    </row>
    <row r="21" spans="1:20" x14ac:dyDescent="0.25">
      <c r="A21" s="98">
        <v>18</v>
      </c>
      <c r="B21" s="99" t="s">
        <v>95</v>
      </c>
      <c r="C21" s="100" t="s">
        <v>94</v>
      </c>
      <c r="D21" s="101" t="s">
        <v>68</v>
      </c>
      <c r="E21" s="101" t="s">
        <v>36</v>
      </c>
      <c r="F21" s="101">
        <v>0.3</v>
      </c>
      <c r="G21" s="102">
        <v>0</v>
      </c>
      <c r="H21" s="7" t="s">
        <v>830</v>
      </c>
      <c r="I21" s="7" t="s">
        <v>830</v>
      </c>
      <c r="J21" s="103">
        <v>4.2170389999999998</v>
      </c>
      <c r="K21" s="104"/>
      <c r="L21" s="104"/>
      <c r="M21" s="99" t="s">
        <v>95</v>
      </c>
      <c r="N21" s="104" t="str">
        <f>IF(K21="","",K21&amp;COUNTIF($K$4:K21,K21))</f>
        <v/>
      </c>
      <c r="O21" s="104" t="str">
        <f>IF(D21="NA","NA",D21&amp;COUNTIF($D$4:D21,D21))</f>
        <v>E51003</v>
      </c>
      <c r="P21" s="104" t="str">
        <f>IF(E21="NA","NA",E21&amp;COUNTIF($E$4:E21,E21))</f>
        <v>NA</v>
      </c>
      <c r="Q21" s="104" t="str">
        <f t="shared" si="1"/>
        <v>Bexley</v>
      </c>
      <c r="R21" s="153" t="s">
        <v>1335</v>
      </c>
      <c r="S21" s="192">
        <f t="shared" si="2"/>
        <v>1.2651116999999998</v>
      </c>
      <c r="T21" s="194">
        <v>0.71</v>
      </c>
    </row>
    <row r="22" spans="1:20" x14ac:dyDescent="0.25">
      <c r="A22" s="98">
        <v>19</v>
      </c>
      <c r="B22" s="99" t="s">
        <v>97</v>
      </c>
      <c r="C22" s="100" t="s">
        <v>96</v>
      </c>
      <c r="D22" s="101" t="s">
        <v>36</v>
      </c>
      <c r="E22" s="101" t="s">
        <v>98</v>
      </c>
      <c r="F22" s="101">
        <v>0.49</v>
      </c>
      <c r="G22" s="102">
        <v>0</v>
      </c>
      <c r="H22" s="7" t="s">
        <v>837</v>
      </c>
      <c r="I22" s="7" t="s">
        <v>830</v>
      </c>
      <c r="J22" s="103">
        <v>31.497942999999999</v>
      </c>
      <c r="K22" s="104" t="s">
        <v>859</v>
      </c>
      <c r="L22" s="153" t="s">
        <v>1272</v>
      </c>
      <c r="M22" s="99" t="s">
        <v>97</v>
      </c>
      <c r="N22" s="104" t="str">
        <f>IF(K22="","",K22&amp;COUNTIF($K$4:K22,K22))</f>
        <v>Greater Birmingham &amp; Solihull Business Rates Pool1</v>
      </c>
      <c r="O22" s="104" t="str">
        <f>IF(D22="NA","NA",D22&amp;COUNTIF($D$4:D22,D22))</f>
        <v>NA</v>
      </c>
      <c r="P22" s="104" t="str">
        <f>IF(E22="NA","NA",E22&amp;COUNTIF($E$4:E22,E22))</f>
        <v>E61461</v>
      </c>
      <c r="Q22" s="104" t="str">
        <f t="shared" si="1"/>
        <v>Birmingham</v>
      </c>
      <c r="R22" s="153" t="s">
        <v>1335</v>
      </c>
      <c r="S22" s="192">
        <f t="shared" si="2"/>
        <v>15.433992069999999</v>
      </c>
      <c r="T22" s="194">
        <v>0.69199999999999995</v>
      </c>
    </row>
    <row r="23" spans="1:20" x14ac:dyDescent="0.25">
      <c r="A23" s="98">
        <v>20</v>
      </c>
      <c r="B23" s="99" t="s">
        <v>100</v>
      </c>
      <c r="C23" s="100" t="s">
        <v>99</v>
      </c>
      <c r="D23" s="101" t="s">
        <v>101</v>
      </c>
      <c r="E23" s="101" t="s">
        <v>102</v>
      </c>
      <c r="F23" s="101">
        <v>0.4</v>
      </c>
      <c r="G23" s="102">
        <v>0</v>
      </c>
      <c r="H23" s="7" t="s">
        <v>830</v>
      </c>
      <c r="I23" s="7" t="s">
        <v>830</v>
      </c>
      <c r="J23" s="103">
        <v>1.9770110000000001</v>
      </c>
      <c r="K23" s="104" t="s">
        <v>103</v>
      </c>
      <c r="L23" s="104"/>
      <c r="M23" s="99" t="s">
        <v>100</v>
      </c>
      <c r="N23" s="104" t="str">
        <f>IF(K23="","",K23&amp;COUNTIF($K$4:K23,K23))</f>
        <v>Leicestershire Business Rates Pool1</v>
      </c>
      <c r="O23" s="104" t="str">
        <f>IF(D23="NA","NA",D23&amp;COUNTIF($D$4:D23,D23))</f>
        <v>E24211</v>
      </c>
      <c r="P23" s="104" t="str">
        <f>IF(E23="NA","NA",E23&amp;COUNTIF($E$4:E23,E23))</f>
        <v>E61241</v>
      </c>
      <c r="Q23" s="104" t="str">
        <f t="shared" si="1"/>
        <v>Blaby</v>
      </c>
      <c r="R23" s="153" t="s">
        <v>1335</v>
      </c>
      <c r="S23" s="192">
        <f t="shared" si="2"/>
        <v>0.79080440000000007</v>
      </c>
      <c r="T23" s="194">
        <v>0.70699999999999996</v>
      </c>
    </row>
    <row r="24" spans="1:20" x14ac:dyDescent="0.25">
      <c r="A24" s="98">
        <v>21</v>
      </c>
      <c r="B24" s="99" t="s">
        <v>105</v>
      </c>
      <c r="C24" s="100" t="s">
        <v>104</v>
      </c>
      <c r="D24" s="101" t="s">
        <v>36</v>
      </c>
      <c r="E24" s="101" t="s">
        <v>106</v>
      </c>
      <c r="F24" s="101">
        <v>0.49</v>
      </c>
      <c r="G24" s="102">
        <v>0</v>
      </c>
      <c r="H24" s="7" t="s">
        <v>830</v>
      </c>
      <c r="I24" s="7" t="s">
        <v>830</v>
      </c>
      <c r="J24" s="103">
        <v>2.4973000000000001</v>
      </c>
      <c r="K24" s="104"/>
      <c r="L24" s="104"/>
      <c r="M24" s="99" t="s">
        <v>105</v>
      </c>
      <c r="N24" s="104" t="str">
        <f>IF(K24="","",K24&amp;COUNTIF($K$4:K24,K24))</f>
        <v/>
      </c>
      <c r="O24" s="104" t="str">
        <f>IF(D24="NA","NA",D24&amp;COUNTIF($D$4:D24,D24))</f>
        <v>NA</v>
      </c>
      <c r="P24" s="104" t="str">
        <f>IF(E24="NA","NA",E24&amp;COUNTIF($E$4:E24,E24))</f>
        <v>E61231</v>
      </c>
      <c r="Q24" s="104" t="str">
        <f t="shared" si="1"/>
        <v>Blackburn with Darwen</v>
      </c>
      <c r="R24" s="153" t="s">
        <v>1335</v>
      </c>
      <c r="S24" s="192">
        <f t="shared" si="2"/>
        <v>1.2236769999999999</v>
      </c>
      <c r="T24" s="194">
        <v>0.64</v>
      </c>
    </row>
    <row r="25" spans="1:20" x14ac:dyDescent="0.25">
      <c r="A25" s="98">
        <v>22</v>
      </c>
      <c r="B25" s="99" t="s">
        <v>108</v>
      </c>
      <c r="C25" s="100" t="s">
        <v>107</v>
      </c>
      <c r="D25" s="101" t="s">
        <v>36</v>
      </c>
      <c r="E25" s="101" t="s">
        <v>106</v>
      </c>
      <c r="F25" s="101">
        <v>0.49</v>
      </c>
      <c r="G25" s="102">
        <v>0</v>
      </c>
      <c r="H25" s="7" t="s">
        <v>830</v>
      </c>
      <c r="I25" s="7" t="s">
        <v>830</v>
      </c>
      <c r="J25" s="103">
        <v>2.820843</v>
      </c>
      <c r="K25" s="104"/>
      <c r="L25" s="104"/>
      <c r="M25" s="99" t="s">
        <v>108</v>
      </c>
      <c r="N25" s="104" t="str">
        <f>IF(K25="","",K25&amp;COUNTIF($K$4:K25,K25))</f>
        <v/>
      </c>
      <c r="O25" s="104" t="str">
        <f>IF(D25="NA","NA",D25&amp;COUNTIF($D$4:D25,D25))</f>
        <v>NA</v>
      </c>
      <c r="P25" s="104" t="str">
        <f>IF(E25="NA","NA",E25&amp;COUNTIF($E$4:E25,E25))</f>
        <v>E61232</v>
      </c>
      <c r="Q25" s="104" t="str">
        <f t="shared" si="1"/>
        <v>Blackpool</v>
      </c>
      <c r="R25" s="153" t="s">
        <v>1335</v>
      </c>
      <c r="S25" s="192">
        <f t="shared" si="2"/>
        <v>1.3822130699999999</v>
      </c>
      <c r="T25" s="194">
        <v>0.65</v>
      </c>
    </row>
    <row r="26" spans="1:20" x14ac:dyDescent="0.25">
      <c r="A26" s="98">
        <v>23</v>
      </c>
      <c r="B26" s="99" t="s">
        <v>110</v>
      </c>
      <c r="C26" s="100" t="s">
        <v>109</v>
      </c>
      <c r="D26" s="101" t="s">
        <v>44</v>
      </c>
      <c r="E26" s="101" t="s">
        <v>45</v>
      </c>
      <c r="F26" s="101">
        <v>0.4</v>
      </c>
      <c r="G26" s="102">
        <v>0</v>
      </c>
      <c r="H26" s="7" t="s">
        <v>830</v>
      </c>
      <c r="I26" s="7" t="s">
        <v>830</v>
      </c>
      <c r="J26" s="103">
        <v>0.60727500000000001</v>
      </c>
      <c r="K26" s="104" t="s">
        <v>1</v>
      </c>
      <c r="L26" s="104"/>
      <c r="M26" s="99" t="s">
        <v>110</v>
      </c>
      <c r="N26" s="104" t="str">
        <f>IF(K26="","",K26&amp;COUNTIF($K$4:K26,K26))</f>
        <v>Derbyshire Business Rates Pool2</v>
      </c>
      <c r="O26" s="104" t="str">
        <f>IF(D26="NA","NA",D26&amp;COUNTIF($D$4:D26,D26))</f>
        <v>E10212</v>
      </c>
      <c r="P26" s="104" t="str">
        <f>IF(E26="NA","NA",E26&amp;COUNTIF($E$4:E26,E26))</f>
        <v>E61102</v>
      </c>
      <c r="Q26" s="104" t="str">
        <f t="shared" si="1"/>
        <v>Bolsover</v>
      </c>
      <c r="R26" s="153" t="s">
        <v>1335</v>
      </c>
      <c r="S26" s="192">
        <f t="shared" si="2"/>
        <v>0.24291000000000001</v>
      </c>
      <c r="T26" s="194">
        <v>0.66400000000000003</v>
      </c>
    </row>
    <row r="27" spans="1:20" x14ac:dyDescent="0.25">
      <c r="A27" s="98">
        <v>24</v>
      </c>
      <c r="B27" s="99" t="s">
        <v>112</v>
      </c>
      <c r="C27" s="100" t="s">
        <v>111</v>
      </c>
      <c r="D27" s="101" t="s">
        <v>36</v>
      </c>
      <c r="E27" s="101" t="s">
        <v>113</v>
      </c>
      <c r="F27" s="101">
        <v>0.49</v>
      </c>
      <c r="G27" s="102">
        <v>0</v>
      </c>
      <c r="H27" s="7" t="s">
        <v>830</v>
      </c>
      <c r="I27" s="7" t="s">
        <v>830</v>
      </c>
      <c r="J27" s="103">
        <v>6.0839369999999997</v>
      </c>
      <c r="K27" s="104" t="s">
        <v>865</v>
      </c>
      <c r="L27" s="153" t="s">
        <v>1272</v>
      </c>
      <c r="M27" s="99" t="s">
        <v>112</v>
      </c>
      <c r="N27" s="104" t="str">
        <f>IF(K27="","",K27&amp;COUNTIF($K$4:K27,K27))</f>
        <v>Greater Manchester &amp; Cheshire Business Rates Pool1</v>
      </c>
      <c r="O27" s="104" t="str">
        <f>IF(D27="NA","NA",D27&amp;COUNTIF($D$4:D27,D27))</f>
        <v>NA</v>
      </c>
      <c r="P27" s="104" t="str">
        <f>IF(E27="NA","NA",E27&amp;COUNTIF($E$4:E27,E27))</f>
        <v>E61421</v>
      </c>
      <c r="Q27" s="104" t="str">
        <f t="shared" si="1"/>
        <v>Bolton</v>
      </c>
      <c r="R27" s="153" t="s">
        <v>1335</v>
      </c>
      <c r="S27" s="192">
        <f t="shared" si="2"/>
        <v>2.9811291299999998</v>
      </c>
      <c r="T27" s="194">
        <v>0.66900000000000004</v>
      </c>
    </row>
    <row r="28" spans="1:20" x14ac:dyDescent="0.25">
      <c r="A28" s="98">
        <v>25</v>
      </c>
      <c r="B28" s="99" t="s">
        <v>115</v>
      </c>
      <c r="C28" s="100" t="s">
        <v>114</v>
      </c>
      <c r="D28" s="101" t="s">
        <v>116</v>
      </c>
      <c r="E28" s="101" t="s">
        <v>36</v>
      </c>
      <c r="F28" s="101">
        <v>0.4</v>
      </c>
      <c r="G28" s="102">
        <v>0</v>
      </c>
      <c r="H28" s="7" t="s">
        <v>830</v>
      </c>
      <c r="I28" s="7" t="s">
        <v>830</v>
      </c>
      <c r="J28" s="103">
        <v>1.1040129999999999</v>
      </c>
      <c r="K28" s="104" t="s">
        <v>117</v>
      </c>
      <c r="L28" s="104"/>
      <c r="M28" s="99" t="s">
        <v>115</v>
      </c>
      <c r="N28" s="104" t="str">
        <f>IF(K28="","",K28&amp;COUNTIF($K$4:K28,K28))</f>
        <v>Lincolnshire Business Rates Pool1</v>
      </c>
      <c r="O28" s="104" t="str">
        <f>IF(D28="NA","NA",D28&amp;COUNTIF($D$4:D28,D28))</f>
        <v>E25201</v>
      </c>
      <c r="P28" s="104" t="str">
        <f>IF(E28="NA","NA",E28&amp;COUNTIF($E$4:E28,E28))</f>
        <v>NA</v>
      </c>
      <c r="Q28" s="104" t="str">
        <f t="shared" si="1"/>
        <v>Boston</v>
      </c>
      <c r="R28" s="153" t="s">
        <v>1335</v>
      </c>
      <c r="S28" s="192">
        <f t="shared" si="2"/>
        <v>0.44160519999999998</v>
      </c>
      <c r="T28" s="194">
        <v>0.67800000000000005</v>
      </c>
    </row>
    <row r="29" spans="1:20" x14ac:dyDescent="0.25">
      <c r="A29" s="98">
        <v>26</v>
      </c>
      <c r="B29" s="99" t="s">
        <v>119</v>
      </c>
      <c r="C29" s="100" t="s">
        <v>118</v>
      </c>
      <c r="D29" s="101" t="s">
        <v>36</v>
      </c>
      <c r="E29" s="101" t="s">
        <v>868</v>
      </c>
      <c r="F29" s="101">
        <v>0.49</v>
      </c>
      <c r="G29" s="102">
        <v>0</v>
      </c>
      <c r="H29" s="7" t="s">
        <v>837</v>
      </c>
      <c r="I29" s="7" t="s">
        <v>830</v>
      </c>
      <c r="J29" s="103">
        <v>2</v>
      </c>
      <c r="K29" s="104"/>
      <c r="L29" s="104"/>
      <c r="M29" s="99" t="s">
        <v>119</v>
      </c>
      <c r="N29" s="104" t="str">
        <f>IF(K29="","",K29&amp;COUNTIF($K$4:K29,K29))</f>
        <v/>
      </c>
      <c r="O29" s="104" t="str">
        <f>IF(D29="NA","NA",D29&amp;COUNTIF($D$4:D29,D29))</f>
        <v>NA</v>
      </c>
      <c r="P29" s="104" t="str">
        <f>IF(E29="NA","NA",E29&amp;COUNTIF($E$4:E29,E29))</f>
        <v>E61621</v>
      </c>
      <c r="Q29" s="104" t="str">
        <f t="shared" si="1"/>
        <v>Bournemouth</v>
      </c>
      <c r="R29" s="153" t="s">
        <v>1335</v>
      </c>
      <c r="S29" s="192">
        <f t="shared" si="2"/>
        <v>0.98</v>
      </c>
      <c r="T29" s="194">
        <v>0.69799999999999995</v>
      </c>
    </row>
    <row r="30" spans="1:20" x14ac:dyDescent="0.25">
      <c r="A30" s="98">
        <v>27</v>
      </c>
      <c r="B30" s="99" t="s">
        <v>121</v>
      </c>
      <c r="C30" s="100" t="s">
        <v>120</v>
      </c>
      <c r="D30" s="101" t="s">
        <v>36</v>
      </c>
      <c r="E30" s="101" t="s">
        <v>122</v>
      </c>
      <c r="F30" s="101">
        <v>0.49</v>
      </c>
      <c r="G30" s="102">
        <v>0</v>
      </c>
      <c r="H30" s="7" t="s">
        <v>830</v>
      </c>
      <c r="I30" s="7" t="s">
        <v>830</v>
      </c>
      <c r="J30" s="103">
        <v>3.9260579999999998</v>
      </c>
      <c r="K30" s="104"/>
      <c r="L30" s="104"/>
      <c r="M30" s="99" t="s">
        <v>121</v>
      </c>
      <c r="N30" s="104" t="str">
        <f>IF(K30="","",K30&amp;COUNTIF($K$4:K30,K30))</f>
        <v/>
      </c>
      <c r="O30" s="104" t="str">
        <f>IF(D30="NA","NA",D30&amp;COUNTIF($D$4:D30,D30))</f>
        <v>NA</v>
      </c>
      <c r="P30" s="104" t="str">
        <f>IF(E30="NA","NA",E30&amp;COUNTIF($E$4:E30,E30))</f>
        <v>E61031</v>
      </c>
      <c r="Q30" s="104" t="str">
        <f t="shared" si="1"/>
        <v>Bracknell Forest</v>
      </c>
      <c r="R30" s="153" t="s">
        <v>1335</v>
      </c>
      <c r="S30" s="192">
        <f t="shared" si="2"/>
        <v>1.9237684199999998</v>
      </c>
      <c r="T30" s="194">
        <v>0.76200000000000001</v>
      </c>
    </row>
    <row r="31" spans="1:20" x14ac:dyDescent="0.25">
      <c r="A31" s="98">
        <v>28</v>
      </c>
      <c r="B31" s="99" t="s">
        <v>124</v>
      </c>
      <c r="C31" s="100" t="s">
        <v>123</v>
      </c>
      <c r="D31" s="101" t="s">
        <v>36</v>
      </c>
      <c r="E31" s="101" t="s">
        <v>125</v>
      </c>
      <c r="F31" s="101">
        <v>0.49</v>
      </c>
      <c r="G31" s="102">
        <v>0</v>
      </c>
      <c r="H31" s="7" t="s">
        <v>837</v>
      </c>
      <c r="I31" s="7" t="s">
        <v>830</v>
      </c>
      <c r="J31" s="103">
        <v>9.0675299999999996</v>
      </c>
      <c r="K31" s="104" t="s">
        <v>126</v>
      </c>
      <c r="L31" s="104"/>
      <c r="M31" s="99" t="s">
        <v>124</v>
      </c>
      <c r="N31" s="104" t="str">
        <f>IF(K31="","",K31&amp;COUNTIF($K$4:K31,K31))</f>
        <v>Leeds City Region Business Rates Pool1</v>
      </c>
      <c r="O31" s="104" t="str">
        <f>IF(D31="NA","NA",D31&amp;COUNTIF($D$4:D31,D31))</f>
        <v>NA</v>
      </c>
      <c r="P31" s="104" t="str">
        <f>IF(E31="NA","NA",E31&amp;COUNTIF($E$4:E31,E31))</f>
        <v>E61471</v>
      </c>
      <c r="Q31" s="104" t="str">
        <f t="shared" si="1"/>
        <v>Bradford</v>
      </c>
      <c r="R31" s="153" t="s">
        <v>1335</v>
      </c>
      <c r="S31" s="192">
        <f t="shared" si="2"/>
        <v>4.4430896999999998</v>
      </c>
      <c r="T31" s="194">
        <v>0.67700000000000005</v>
      </c>
    </row>
    <row r="32" spans="1:20" x14ac:dyDescent="0.25">
      <c r="A32" s="98">
        <v>29</v>
      </c>
      <c r="B32" s="99" t="s">
        <v>128</v>
      </c>
      <c r="C32" s="100" t="s">
        <v>127</v>
      </c>
      <c r="D32" s="101" t="s">
        <v>79</v>
      </c>
      <c r="E32" s="101" t="s">
        <v>80</v>
      </c>
      <c r="F32" s="101">
        <v>0.4</v>
      </c>
      <c r="G32" s="102">
        <v>0</v>
      </c>
      <c r="H32" s="7" t="s">
        <v>830</v>
      </c>
      <c r="I32" s="7" t="s">
        <v>830</v>
      </c>
      <c r="J32" s="103">
        <v>0.95699999999999996</v>
      </c>
      <c r="K32" s="104" t="s">
        <v>129</v>
      </c>
      <c r="L32" s="104"/>
      <c r="M32" s="99" t="s">
        <v>128</v>
      </c>
      <c r="N32" s="104" t="str">
        <f>IF(K32="","",K32&amp;COUNTIF($K$4:K32,K32))</f>
        <v>Essex Business Rates Pool1</v>
      </c>
      <c r="O32" s="104" t="str">
        <f>IF(D32="NA","NA",D32&amp;COUNTIF($D$4:D32,D32))</f>
        <v>E15212</v>
      </c>
      <c r="P32" s="104" t="str">
        <f>IF(E32="NA","NA",E32&amp;COUNTIF($E$4:E32,E32))</f>
        <v>E61152</v>
      </c>
      <c r="Q32" s="104" t="str">
        <f t="shared" si="1"/>
        <v>Braintree</v>
      </c>
      <c r="R32" s="153" t="s">
        <v>1335</v>
      </c>
      <c r="S32" s="192">
        <f t="shared" si="2"/>
        <v>0.38280000000000003</v>
      </c>
      <c r="T32" s="194">
        <v>0.70399999999999996</v>
      </c>
    </row>
    <row r="33" spans="1:20" x14ac:dyDescent="0.25">
      <c r="A33" s="98">
        <v>30</v>
      </c>
      <c r="B33" s="99" t="s">
        <v>131</v>
      </c>
      <c r="C33" s="100" t="s">
        <v>130</v>
      </c>
      <c r="D33" s="101" t="s">
        <v>132</v>
      </c>
      <c r="E33" s="101" t="s">
        <v>36</v>
      </c>
      <c r="F33" s="101">
        <v>0.4</v>
      </c>
      <c r="G33" s="102">
        <v>0</v>
      </c>
      <c r="H33" s="7" t="s">
        <v>830</v>
      </c>
      <c r="I33" s="7" t="s">
        <v>830</v>
      </c>
      <c r="J33" s="103">
        <v>1.2646170000000001</v>
      </c>
      <c r="K33" s="104" t="s">
        <v>133</v>
      </c>
      <c r="L33" s="104"/>
      <c r="M33" s="99" t="s">
        <v>131</v>
      </c>
      <c r="N33" s="104" t="str">
        <f>IF(K33="","",K33&amp;COUNTIF($K$4:K33,K33))</f>
        <v>Norfolk Business Rates Pool1</v>
      </c>
      <c r="O33" s="104" t="str">
        <f>IF(D33="NA","NA",D33&amp;COUNTIF($D$4:D33,D33))</f>
        <v>E26201</v>
      </c>
      <c r="P33" s="104" t="str">
        <f>IF(E33="NA","NA",E33&amp;COUNTIF($E$4:E33,E33))</f>
        <v>NA</v>
      </c>
      <c r="Q33" s="104" t="str">
        <f t="shared" si="1"/>
        <v>Breckland</v>
      </c>
      <c r="R33" s="153" t="s">
        <v>1335</v>
      </c>
      <c r="S33" s="192">
        <f t="shared" si="2"/>
        <v>0.50584680000000004</v>
      </c>
      <c r="T33" s="194">
        <v>0.69199999999999995</v>
      </c>
    </row>
    <row r="34" spans="1:20" x14ac:dyDescent="0.25">
      <c r="A34" s="98">
        <v>31</v>
      </c>
      <c r="B34" s="99" t="s">
        <v>135</v>
      </c>
      <c r="C34" s="100" t="s">
        <v>134</v>
      </c>
      <c r="D34" s="101" t="s">
        <v>68</v>
      </c>
      <c r="E34" s="101" t="s">
        <v>36</v>
      </c>
      <c r="F34" s="101">
        <v>0.3</v>
      </c>
      <c r="G34" s="102">
        <v>0</v>
      </c>
      <c r="H34" s="7" t="s">
        <v>837</v>
      </c>
      <c r="I34" s="7" t="s">
        <v>830</v>
      </c>
      <c r="J34" s="103">
        <v>4.4823339999999998</v>
      </c>
      <c r="K34" s="104"/>
      <c r="L34" s="104"/>
      <c r="M34" s="99" t="s">
        <v>135</v>
      </c>
      <c r="N34" s="104" t="str">
        <f>IF(K34="","",K34&amp;COUNTIF($K$4:K34,K34))</f>
        <v/>
      </c>
      <c r="O34" s="104" t="str">
        <f>IF(D34="NA","NA",D34&amp;COUNTIF($D$4:D34,D34))</f>
        <v>E51004</v>
      </c>
      <c r="P34" s="104" t="str">
        <f>IF(E34="NA","NA",E34&amp;COUNTIF($E$4:E34,E34))</f>
        <v>NA</v>
      </c>
      <c r="Q34" s="104" t="str">
        <f t="shared" si="1"/>
        <v>Brent</v>
      </c>
      <c r="R34" s="153" t="s">
        <v>1335</v>
      </c>
      <c r="S34" s="192">
        <f t="shared" si="2"/>
        <v>1.3447001999999999</v>
      </c>
      <c r="T34" s="194">
        <v>0.8</v>
      </c>
    </row>
    <row r="35" spans="1:20" x14ac:dyDescent="0.25">
      <c r="A35" s="98">
        <v>32</v>
      </c>
      <c r="B35" s="99" t="s">
        <v>137</v>
      </c>
      <c r="C35" s="100" t="s">
        <v>136</v>
      </c>
      <c r="D35" s="101" t="s">
        <v>79</v>
      </c>
      <c r="E35" s="101" t="s">
        <v>80</v>
      </c>
      <c r="F35" s="101">
        <v>0.4</v>
      </c>
      <c r="G35" s="102">
        <v>0</v>
      </c>
      <c r="H35" s="7" t="s">
        <v>830</v>
      </c>
      <c r="I35" s="7" t="s">
        <v>830</v>
      </c>
      <c r="J35" s="103">
        <v>1.506013</v>
      </c>
      <c r="K35" s="104" t="s">
        <v>129</v>
      </c>
      <c r="L35" s="104"/>
      <c r="M35" s="99" t="s">
        <v>137</v>
      </c>
      <c r="N35" s="104" t="str">
        <f>IF(K35="","",K35&amp;COUNTIF($K$4:K35,K35))</f>
        <v>Essex Business Rates Pool2</v>
      </c>
      <c r="O35" s="104" t="str">
        <f>IF(D35="NA","NA",D35&amp;COUNTIF($D$4:D35,D35))</f>
        <v>E15213</v>
      </c>
      <c r="P35" s="104" t="str">
        <f>IF(E35="NA","NA",E35&amp;COUNTIF($E$4:E35,E35))</f>
        <v>E61153</v>
      </c>
      <c r="Q35" s="104" t="str">
        <f t="shared" si="1"/>
        <v>Brentwood</v>
      </c>
      <c r="R35" s="153" t="s">
        <v>1335</v>
      </c>
      <c r="S35" s="192">
        <f t="shared" si="2"/>
        <v>0.60240520000000009</v>
      </c>
      <c r="T35" s="194">
        <v>0.755</v>
      </c>
    </row>
    <row r="36" spans="1:20" x14ac:dyDescent="0.25">
      <c r="A36" s="98">
        <v>33</v>
      </c>
      <c r="B36" s="99" t="s">
        <v>139</v>
      </c>
      <c r="C36" s="100" t="s">
        <v>138</v>
      </c>
      <c r="D36" s="101" t="s">
        <v>36</v>
      </c>
      <c r="E36" s="101" t="s">
        <v>140</v>
      </c>
      <c r="F36" s="101">
        <v>0.49</v>
      </c>
      <c r="G36" s="102">
        <v>0</v>
      </c>
      <c r="H36" s="7" t="s">
        <v>830</v>
      </c>
      <c r="I36" s="7" t="s">
        <v>830</v>
      </c>
      <c r="J36" s="103">
        <v>3.593648</v>
      </c>
      <c r="K36" s="104"/>
      <c r="L36" s="104"/>
      <c r="M36" s="99" t="s">
        <v>139</v>
      </c>
      <c r="N36" s="104" t="str">
        <f>IF(K36="","",K36&amp;COUNTIF($K$4:K36,K36))</f>
        <v/>
      </c>
      <c r="O36" s="104" t="str">
        <f>IF(D36="NA","NA",D36&amp;COUNTIF($D$4:D36,D36))</f>
        <v>NA</v>
      </c>
      <c r="P36" s="104" t="str">
        <f>IF(E36="NA","NA",E36&amp;COUNTIF($E$4:E36,E36))</f>
        <v>E61141</v>
      </c>
      <c r="Q36" s="104" t="str">
        <f t="shared" si="1"/>
        <v>Brighton &amp; Hove</v>
      </c>
      <c r="R36" s="153" t="s">
        <v>1335</v>
      </c>
      <c r="S36" s="192">
        <f t="shared" si="2"/>
        <v>1.76088752</v>
      </c>
      <c r="T36" s="194">
        <v>0.72399999999999998</v>
      </c>
    </row>
    <row r="37" spans="1:20" x14ac:dyDescent="0.25">
      <c r="A37" s="98">
        <v>34</v>
      </c>
      <c r="B37" s="99" t="s">
        <v>142</v>
      </c>
      <c r="C37" s="100" t="s">
        <v>141</v>
      </c>
      <c r="D37" s="101" t="s">
        <v>36</v>
      </c>
      <c r="E37" s="101" t="s">
        <v>89</v>
      </c>
      <c r="F37" s="101">
        <v>0.49</v>
      </c>
      <c r="G37" s="102">
        <v>0</v>
      </c>
      <c r="H37" s="7" t="s">
        <v>830</v>
      </c>
      <c r="I37" s="7" t="s">
        <v>830</v>
      </c>
      <c r="J37" s="103">
        <v>10.24</v>
      </c>
      <c r="K37" s="104"/>
      <c r="L37" s="153" t="s">
        <v>1272</v>
      </c>
      <c r="M37" s="99" t="s">
        <v>142</v>
      </c>
      <c r="N37" s="104" t="str">
        <f>IF(K37="","",K37&amp;COUNTIF($K$4:K37,K37))</f>
        <v/>
      </c>
      <c r="O37" s="104" t="str">
        <f>IF(D37="NA","NA",D37&amp;COUNTIF($D$4:D37,D37))</f>
        <v>NA</v>
      </c>
      <c r="P37" s="104" t="str">
        <f>IF(E37="NA","NA",E37&amp;COUNTIF($E$4:E37,E37))</f>
        <v>E61012</v>
      </c>
      <c r="Q37" s="104" t="str">
        <f t="shared" si="1"/>
        <v>Bristol</v>
      </c>
      <c r="R37" s="153" t="s">
        <v>1335</v>
      </c>
      <c r="S37" s="192">
        <f t="shared" si="2"/>
        <v>5.0175999999999998</v>
      </c>
      <c r="T37" s="194">
        <v>0.71599999999999997</v>
      </c>
    </row>
    <row r="38" spans="1:20" x14ac:dyDescent="0.25">
      <c r="A38" s="98">
        <v>35</v>
      </c>
      <c r="B38" s="99" t="s">
        <v>144</v>
      </c>
      <c r="C38" s="100" t="s">
        <v>143</v>
      </c>
      <c r="D38" s="101" t="s">
        <v>132</v>
      </c>
      <c r="E38" s="101" t="s">
        <v>36</v>
      </c>
      <c r="F38" s="101">
        <v>0.4</v>
      </c>
      <c r="G38" s="102">
        <v>0</v>
      </c>
      <c r="H38" s="7" t="s">
        <v>830</v>
      </c>
      <c r="I38" s="7" t="s">
        <v>830</v>
      </c>
      <c r="J38" s="103">
        <v>0.59721400000000002</v>
      </c>
      <c r="K38" s="104" t="s">
        <v>133</v>
      </c>
      <c r="L38" s="104"/>
      <c r="M38" s="99" t="s">
        <v>144</v>
      </c>
      <c r="N38" s="104" t="str">
        <f>IF(K38="","",K38&amp;COUNTIF($K$4:K38,K38))</f>
        <v>Norfolk Business Rates Pool2</v>
      </c>
      <c r="O38" s="104" t="str">
        <f>IF(D38="NA","NA",D38&amp;COUNTIF($D$4:D38,D38))</f>
        <v>E26202</v>
      </c>
      <c r="P38" s="104" t="str">
        <f>IF(E38="NA","NA",E38&amp;COUNTIF($E$4:E38,E38))</f>
        <v>NA</v>
      </c>
      <c r="Q38" s="104" t="str">
        <f t="shared" si="1"/>
        <v>Broadland</v>
      </c>
      <c r="R38" s="153" t="s">
        <v>1335</v>
      </c>
      <c r="S38" s="192">
        <f t="shared" si="2"/>
        <v>0.23888560000000003</v>
      </c>
      <c r="T38" s="194">
        <v>0.66800000000000004</v>
      </c>
    </row>
    <row r="39" spans="1:20" x14ac:dyDescent="0.25">
      <c r="A39" s="98">
        <v>36</v>
      </c>
      <c r="B39" s="99" t="s">
        <v>146</v>
      </c>
      <c r="C39" s="100" t="s">
        <v>145</v>
      </c>
      <c r="D39" s="101" t="s">
        <v>68</v>
      </c>
      <c r="E39" s="101" t="s">
        <v>36</v>
      </c>
      <c r="F39" s="101">
        <v>0.3</v>
      </c>
      <c r="G39" s="102">
        <v>0</v>
      </c>
      <c r="H39" s="7" t="s">
        <v>830</v>
      </c>
      <c r="I39" s="7" t="s">
        <v>830</v>
      </c>
      <c r="J39" s="103">
        <v>0.36552200000000001</v>
      </c>
      <c r="K39" s="104"/>
      <c r="L39" s="104"/>
      <c r="M39" s="99" t="s">
        <v>146</v>
      </c>
      <c r="N39" s="104" t="str">
        <f>IF(K39="","",K39&amp;COUNTIF($K$4:K39,K39))</f>
        <v/>
      </c>
      <c r="O39" s="104" t="str">
        <f>IF(D39="NA","NA",D39&amp;COUNTIF($D$4:D39,D39))</f>
        <v>E51005</v>
      </c>
      <c r="P39" s="104" t="str">
        <f>IF(E39="NA","NA",E39&amp;COUNTIF($E$4:E39,E39))</f>
        <v>NA</v>
      </c>
      <c r="Q39" s="104" t="str">
        <f t="shared" si="1"/>
        <v>Bromley</v>
      </c>
      <c r="R39" s="153" t="s">
        <v>1335</v>
      </c>
      <c r="S39" s="192">
        <f t="shared" si="2"/>
        <v>0.10965660000000001</v>
      </c>
      <c r="T39" s="194">
        <v>0.77200000000000002</v>
      </c>
    </row>
    <row r="40" spans="1:20" x14ac:dyDescent="0.25">
      <c r="A40" s="98">
        <v>37</v>
      </c>
      <c r="B40" s="99" t="s">
        <v>148</v>
      </c>
      <c r="C40" s="100" t="s">
        <v>147</v>
      </c>
      <c r="D40" s="101" t="s">
        <v>149</v>
      </c>
      <c r="E40" s="101" t="s">
        <v>150</v>
      </c>
      <c r="F40" s="101">
        <v>0.4</v>
      </c>
      <c r="G40" s="102">
        <v>0</v>
      </c>
      <c r="H40" s="7" t="s">
        <v>837</v>
      </c>
      <c r="I40" s="7" t="s">
        <v>830</v>
      </c>
      <c r="J40" s="103">
        <v>0.65103599999999995</v>
      </c>
      <c r="K40" s="104" t="s">
        <v>859</v>
      </c>
      <c r="L40" s="104"/>
      <c r="M40" s="99" t="s">
        <v>148</v>
      </c>
      <c r="N40" s="104" t="str">
        <f>IF(K40="","",K40&amp;COUNTIF($K$4:K40,K40))</f>
        <v>Greater Birmingham &amp; Solihull Business Rates Pool2</v>
      </c>
      <c r="O40" s="104" t="str">
        <f>IF(D40="NA","NA",D40&amp;COUNTIF($D$4:D40,D40))</f>
        <v>E18211</v>
      </c>
      <c r="P40" s="104" t="str">
        <f>IF(E40="NA","NA",E40&amp;COUNTIF($E$4:E40,E40))</f>
        <v>E61181</v>
      </c>
      <c r="Q40" s="104" t="str">
        <f t="shared" si="1"/>
        <v>Bromsgrove</v>
      </c>
      <c r="R40" s="153" t="s">
        <v>1335</v>
      </c>
      <c r="S40" s="192">
        <f t="shared" si="2"/>
        <v>0.26041439999999999</v>
      </c>
      <c r="T40" s="194">
        <v>0.69399999999999995</v>
      </c>
    </row>
    <row r="41" spans="1:20" x14ac:dyDescent="0.25">
      <c r="A41" s="98">
        <v>38</v>
      </c>
      <c r="B41" s="99" t="s">
        <v>152</v>
      </c>
      <c r="C41" s="100" t="s">
        <v>151</v>
      </c>
      <c r="D41" s="101" t="s">
        <v>153</v>
      </c>
      <c r="E41" s="101" t="s">
        <v>36</v>
      </c>
      <c r="F41" s="101">
        <v>0.4</v>
      </c>
      <c r="G41" s="102">
        <v>0</v>
      </c>
      <c r="H41" s="7" t="s">
        <v>830</v>
      </c>
      <c r="I41" s="7" t="s">
        <v>830</v>
      </c>
      <c r="J41" s="103">
        <v>1.268562</v>
      </c>
      <c r="K41" s="104"/>
      <c r="L41" s="104"/>
      <c r="M41" s="99" t="s">
        <v>152</v>
      </c>
      <c r="N41" s="104" t="str">
        <f>IF(K41="","",K41&amp;COUNTIF($K$4:K41,K41))</f>
        <v/>
      </c>
      <c r="O41" s="104" t="str">
        <f>IF(D41="NA","NA",D41&amp;COUNTIF($D$4:D41,D41))</f>
        <v>E19201</v>
      </c>
      <c r="P41" s="104" t="str">
        <f>IF(E41="NA","NA",E41&amp;COUNTIF($E$4:E41,E41))</f>
        <v>NA</v>
      </c>
      <c r="Q41" s="104" t="str">
        <f t="shared" si="1"/>
        <v>Broxbourne</v>
      </c>
      <c r="R41" s="153" t="s">
        <v>1335</v>
      </c>
      <c r="S41" s="192">
        <f t="shared" si="2"/>
        <v>0.50742480000000001</v>
      </c>
      <c r="T41" s="194">
        <v>0.78200000000000003</v>
      </c>
    </row>
    <row r="42" spans="1:20" x14ac:dyDescent="0.25">
      <c r="A42" s="98">
        <v>39</v>
      </c>
      <c r="B42" s="99" t="s">
        <v>155</v>
      </c>
      <c r="C42" s="100" t="s">
        <v>154</v>
      </c>
      <c r="D42" s="101" t="s">
        <v>50</v>
      </c>
      <c r="E42" s="101" t="s">
        <v>51</v>
      </c>
      <c r="F42" s="101">
        <v>0.4</v>
      </c>
      <c r="G42" s="102">
        <v>0</v>
      </c>
      <c r="H42" s="7" t="s">
        <v>837</v>
      </c>
      <c r="I42" s="7" t="s">
        <v>830</v>
      </c>
      <c r="J42" s="103">
        <v>0.82424399999999998</v>
      </c>
      <c r="K42" s="104" t="s">
        <v>835</v>
      </c>
      <c r="L42" s="104"/>
      <c r="M42" s="99" t="s">
        <v>155</v>
      </c>
      <c r="N42" s="104" t="str">
        <f>IF(K42="","",K42&amp;COUNTIF($K$4:K42,K42))</f>
        <v>Nottingham Business Rates Pool3</v>
      </c>
      <c r="O42" s="104" t="str">
        <f>IF(D42="NA","NA",D42&amp;COUNTIF($D$4:D42,D42))</f>
        <v>E30213</v>
      </c>
      <c r="P42" s="104" t="str">
        <f>IF(E42="NA","NA",E42&amp;COUNTIF($E$4:E42,E42))</f>
        <v>E61303</v>
      </c>
      <c r="Q42" s="104" t="str">
        <f t="shared" si="1"/>
        <v>Broxtowe</v>
      </c>
      <c r="R42" s="153" t="s">
        <v>1335</v>
      </c>
      <c r="S42" s="192">
        <f t="shared" si="2"/>
        <v>0.32969760000000004</v>
      </c>
      <c r="T42" s="194">
        <v>0.69299999999999995</v>
      </c>
    </row>
    <row r="43" spans="1:20" x14ac:dyDescent="0.25">
      <c r="A43" s="98">
        <v>40</v>
      </c>
      <c r="B43" s="99" t="s">
        <v>157</v>
      </c>
      <c r="C43" s="100" t="s">
        <v>156</v>
      </c>
      <c r="D43" s="101" t="s">
        <v>158</v>
      </c>
      <c r="E43" s="101" t="s">
        <v>106</v>
      </c>
      <c r="F43" s="101">
        <v>0.4</v>
      </c>
      <c r="G43" s="102">
        <v>0</v>
      </c>
      <c r="H43" s="7" t="s">
        <v>830</v>
      </c>
      <c r="I43" s="7" t="s">
        <v>830</v>
      </c>
      <c r="J43" s="103">
        <v>1.3305579999999999</v>
      </c>
      <c r="K43" s="104"/>
      <c r="L43" s="104"/>
      <c r="M43" s="99" t="s">
        <v>157</v>
      </c>
      <c r="N43" s="104" t="str">
        <f>IF(K43="","",K43&amp;COUNTIF($K$4:K43,K43))</f>
        <v/>
      </c>
      <c r="O43" s="104" t="str">
        <f>IF(D43="NA","NA",D43&amp;COUNTIF($D$4:D43,D43))</f>
        <v>E23211</v>
      </c>
      <c r="P43" s="104" t="str">
        <f>IF(E43="NA","NA",E43&amp;COUNTIF($E$4:E43,E43))</f>
        <v>E61233</v>
      </c>
      <c r="Q43" s="104" t="str">
        <f t="shared" si="1"/>
        <v>Burnley</v>
      </c>
      <c r="R43" s="153" t="s">
        <v>1335</v>
      </c>
      <c r="S43" s="192">
        <f t="shared" si="2"/>
        <v>0.53222320000000001</v>
      </c>
      <c r="T43" s="194">
        <v>0.64500000000000002</v>
      </c>
    </row>
    <row r="44" spans="1:20" x14ac:dyDescent="0.25">
      <c r="A44" s="98">
        <v>41</v>
      </c>
      <c r="B44" s="99" t="s">
        <v>160</v>
      </c>
      <c r="C44" s="100" t="s">
        <v>159</v>
      </c>
      <c r="D44" s="101" t="s">
        <v>36</v>
      </c>
      <c r="E44" s="101" t="s">
        <v>113</v>
      </c>
      <c r="F44" s="101">
        <v>0.49</v>
      </c>
      <c r="G44" s="102">
        <v>0</v>
      </c>
      <c r="H44" s="7" t="s">
        <v>830</v>
      </c>
      <c r="I44" s="7" t="s">
        <v>830</v>
      </c>
      <c r="J44" s="103">
        <v>0</v>
      </c>
      <c r="K44" s="104" t="s">
        <v>865</v>
      </c>
      <c r="L44" s="153" t="s">
        <v>1272</v>
      </c>
      <c r="M44" s="99" t="s">
        <v>160</v>
      </c>
      <c r="N44" s="104" t="str">
        <f>IF(K44="","",K44&amp;COUNTIF($K$4:K44,K44))</f>
        <v>Greater Manchester &amp; Cheshire Business Rates Pool2</v>
      </c>
      <c r="O44" s="104" t="str">
        <f>IF(D44="NA","NA",D44&amp;COUNTIF($D$4:D44,D44))</f>
        <v>NA</v>
      </c>
      <c r="P44" s="104" t="str">
        <f>IF(E44="NA","NA",E44&amp;COUNTIF($E$4:E44,E44))</f>
        <v>E61422</v>
      </c>
      <c r="Q44" s="104" t="str">
        <f t="shared" si="1"/>
        <v>Bury</v>
      </c>
      <c r="R44" s="153" t="s">
        <v>1335</v>
      </c>
      <c r="S44" s="192">
        <f t="shared" si="2"/>
        <v>0</v>
      </c>
      <c r="T44" s="194">
        <v>0.68799999999999994</v>
      </c>
    </row>
    <row r="45" spans="1:20" x14ac:dyDescent="0.25">
      <c r="A45" s="98">
        <v>42</v>
      </c>
      <c r="B45" s="99" t="s">
        <v>162</v>
      </c>
      <c r="C45" s="100" t="s">
        <v>161</v>
      </c>
      <c r="D45" s="101" t="s">
        <v>36</v>
      </c>
      <c r="E45" s="101" t="s">
        <v>125</v>
      </c>
      <c r="F45" s="101">
        <v>0.49</v>
      </c>
      <c r="G45" s="102">
        <v>0</v>
      </c>
      <c r="H45" s="7" t="s">
        <v>830</v>
      </c>
      <c r="I45" s="7" t="s">
        <v>830</v>
      </c>
      <c r="J45" s="103">
        <v>1.6602840000000001</v>
      </c>
      <c r="K45" s="104" t="s">
        <v>126</v>
      </c>
      <c r="L45" s="104"/>
      <c r="M45" s="99" t="s">
        <v>162</v>
      </c>
      <c r="N45" s="104" t="str">
        <f>IF(K45="","",K45&amp;COUNTIF($K$4:K45,K45))</f>
        <v>Leeds City Region Business Rates Pool2</v>
      </c>
      <c r="O45" s="104" t="str">
        <f>IF(D45="NA","NA",D45&amp;COUNTIF($D$4:D45,D45))</f>
        <v>NA</v>
      </c>
      <c r="P45" s="104" t="str">
        <f>IF(E45="NA","NA",E45&amp;COUNTIF($E$4:E45,E45))</f>
        <v>E61472</v>
      </c>
      <c r="Q45" s="104" t="str">
        <f t="shared" si="1"/>
        <v>Calderdale</v>
      </c>
      <c r="R45" s="153" t="s">
        <v>1335</v>
      </c>
      <c r="S45" s="192">
        <f t="shared" si="2"/>
        <v>0.81353916000000004</v>
      </c>
      <c r="T45" s="194">
        <v>0.66300000000000003</v>
      </c>
    </row>
    <row r="46" spans="1:20" x14ac:dyDescent="0.25">
      <c r="A46" s="98">
        <v>43</v>
      </c>
      <c r="B46" s="99" t="s">
        <v>164</v>
      </c>
      <c r="C46" s="100" t="s">
        <v>163</v>
      </c>
      <c r="D46" s="101" t="s">
        <v>165</v>
      </c>
      <c r="E46" s="101" t="s">
        <v>166</v>
      </c>
      <c r="F46" s="101">
        <v>0.4</v>
      </c>
      <c r="G46" s="102">
        <v>0</v>
      </c>
      <c r="H46" s="7" t="s">
        <v>830</v>
      </c>
      <c r="I46" s="7" t="s">
        <v>830</v>
      </c>
      <c r="J46" s="103">
        <v>5.7840860000000003</v>
      </c>
      <c r="K46" s="104"/>
      <c r="L46" s="104"/>
      <c r="M46" s="99" t="s">
        <v>164</v>
      </c>
      <c r="N46" s="104" t="str">
        <f>IF(K46="","",K46&amp;COUNTIF($K$4:K46,K46))</f>
        <v/>
      </c>
      <c r="O46" s="104" t="str">
        <f>IF(D46="NA","NA",D46&amp;COUNTIF($D$4:D46,D46))</f>
        <v>E05211</v>
      </c>
      <c r="P46" s="104" t="str">
        <f>IF(E46="NA","NA",E46&amp;COUNTIF($E$4:E46,E46))</f>
        <v>E61051</v>
      </c>
      <c r="Q46" s="104" t="str">
        <f t="shared" si="1"/>
        <v>Cambridge</v>
      </c>
      <c r="R46" s="153" t="s">
        <v>1335</v>
      </c>
      <c r="S46" s="192">
        <f t="shared" si="2"/>
        <v>2.3136344000000002</v>
      </c>
      <c r="T46" s="194">
        <v>0.77800000000000002</v>
      </c>
    </row>
    <row r="47" spans="1:20" x14ac:dyDescent="0.25">
      <c r="A47" s="98">
        <v>44</v>
      </c>
      <c r="B47" s="99" t="s">
        <v>168</v>
      </c>
      <c r="C47" s="100" t="s">
        <v>167</v>
      </c>
      <c r="D47" s="101" t="s">
        <v>68</v>
      </c>
      <c r="E47" s="101" t="s">
        <v>36</v>
      </c>
      <c r="F47" s="101">
        <v>0.3</v>
      </c>
      <c r="G47" s="102">
        <v>0</v>
      </c>
      <c r="H47" s="7" t="s">
        <v>830</v>
      </c>
      <c r="I47" s="7" t="s">
        <v>830</v>
      </c>
      <c r="J47" s="103">
        <v>19.928250999999999</v>
      </c>
      <c r="K47" s="104"/>
      <c r="L47" s="104"/>
      <c r="M47" s="99" t="s">
        <v>168</v>
      </c>
      <c r="N47" s="104" t="str">
        <f>IF(K47="","",K47&amp;COUNTIF($K$4:K47,K47))</f>
        <v/>
      </c>
      <c r="O47" s="104" t="str">
        <f>IF(D47="NA","NA",D47&amp;COUNTIF($D$4:D47,D47))</f>
        <v>E51006</v>
      </c>
      <c r="P47" s="104" t="str">
        <f>IF(E47="NA","NA",E47&amp;COUNTIF($E$4:E47,E47))</f>
        <v>NA</v>
      </c>
      <c r="Q47" s="104" t="str">
        <f t="shared" si="1"/>
        <v>Camden</v>
      </c>
      <c r="R47" s="153" t="s">
        <v>1335</v>
      </c>
      <c r="S47" s="192">
        <f t="shared" si="2"/>
        <v>5.9784752999999995</v>
      </c>
      <c r="T47" s="194">
        <v>0.76600000000000001</v>
      </c>
    </row>
    <row r="48" spans="1:20" x14ac:dyDescent="0.25">
      <c r="A48" s="98">
        <v>45</v>
      </c>
      <c r="B48" s="99" t="s">
        <v>170</v>
      </c>
      <c r="C48" s="100" t="s">
        <v>169</v>
      </c>
      <c r="D48" s="101" t="s">
        <v>171</v>
      </c>
      <c r="E48" s="101" t="s">
        <v>172</v>
      </c>
      <c r="F48" s="101">
        <v>0.4</v>
      </c>
      <c r="G48" s="102">
        <v>0</v>
      </c>
      <c r="H48" s="7" t="s">
        <v>830</v>
      </c>
      <c r="I48" s="7" t="s">
        <v>830</v>
      </c>
      <c r="J48" s="103">
        <v>1.235503</v>
      </c>
      <c r="K48" s="104" t="s">
        <v>859</v>
      </c>
      <c r="L48" s="104"/>
      <c r="M48" s="99" t="s">
        <v>170</v>
      </c>
      <c r="N48" s="104" t="str">
        <f>IF(K48="","",K48&amp;COUNTIF($K$4:K48,K48))</f>
        <v>Greater Birmingham &amp; Solihull Business Rates Pool3</v>
      </c>
      <c r="O48" s="104" t="str">
        <f>IF(D48="NA","NA",D48&amp;COUNTIF($D$4:D48,D48))</f>
        <v>E34211</v>
      </c>
      <c r="P48" s="104" t="str">
        <f>IF(E48="NA","NA",E48&amp;COUNTIF($E$4:E48,E48))</f>
        <v>E61341</v>
      </c>
      <c r="Q48" s="104" t="str">
        <f t="shared" si="1"/>
        <v>Cannock Chase</v>
      </c>
      <c r="R48" s="153" t="s">
        <v>1335</v>
      </c>
      <c r="S48" s="192">
        <f t="shared" si="2"/>
        <v>0.49420120000000001</v>
      </c>
      <c r="T48" s="194">
        <v>0.70599999999999996</v>
      </c>
    </row>
    <row r="49" spans="1:20" x14ac:dyDescent="0.25">
      <c r="A49" s="98">
        <v>46</v>
      </c>
      <c r="B49" s="99" t="s">
        <v>174</v>
      </c>
      <c r="C49" s="100" t="s">
        <v>173</v>
      </c>
      <c r="D49" s="101" t="s">
        <v>54</v>
      </c>
      <c r="E49" s="101" t="s">
        <v>55</v>
      </c>
      <c r="F49" s="101">
        <v>0.4</v>
      </c>
      <c r="G49" s="102">
        <v>0</v>
      </c>
      <c r="H49" s="7" t="s">
        <v>830</v>
      </c>
      <c r="I49" s="7" t="s">
        <v>830</v>
      </c>
      <c r="J49" s="103">
        <v>0.68477500000000002</v>
      </c>
      <c r="K49" s="104" t="s">
        <v>56</v>
      </c>
      <c r="L49" s="104"/>
      <c r="M49" s="99" t="s">
        <v>174</v>
      </c>
      <c r="N49" s="104" t="str">
        <f>IF(K49="","",K49&amp;COUNTIF($K$4:K49,K49))</f>
        <v>Kent Business Rates Pool2</v>
      </c>
      <c r="O49" s="104" t="str">
        <f>IF(D49="NA","NA",D49&amp;COUNTIF($D$4:D49,D49))</f>
        <v>E22212</v>
      </c>
      <c r="P49" s="104" t="str">
        <f>IF(E49="NA","NA",E49&amp;COUNTIF($E$4:E49,E49))</f>
        <v>E61222</v>
      </c>
      <c r="Q49" s="104" t="str">
        <f t="shared" si="1"/>
        <v>Canterbury</v>
      </c>
      <c r="R49" s="153" t="s">
        <v>1335</v>
      </c>
      <c r="S49" s="192">
        <f t="shared" si="2"/>
        <v>0.27391000000000004</v>
      </c>
      <c r="T49" s="194">
        <v>0.7</v>
      </c>
    </row>
    <row r="50" spans="1:20" x14ac:dyDescent="0.25">
      <c r="A50" s="98">
        <v>47</v>
      </c>
      <c r="B50" s="99" t="s">
        <v>176</v>
      </c>
      <c r="C50" s="100" t="s">
        <v>175</v>
      </c>
      <c r="D50" s="101" t="s">
        <v>40</v>
      </c>
      <c r="E50" s="101" t="s">
        <v>36</v>
      </c>
      <c r="F50" s="101">
        <v>0.4</v>
      </c>
      <c r="G50" s="102">
        <v>0</v>
      </c>
      <c r="H50" s="7" t="s">
        <v>830</v>
      </c>
      <c r="I50" s="7" t="s">
        <v>830</v>
      </c>
      <c r="J50" s="103">
        <v>1.4113640000000001</v>
      </c>
      <c r="K50" s="104" t="s">
        <v>41</v>
      </c>
      <c r="L50" s="104"/>
      <c r="M50" s="99" t="s">
        <v>176</v>
      </c>
      <c r="N50" s="104" t="str">
        <f>IF(K50="","",K50&amp;COUNTIF($K$4:K50,K50))</f>
        <v>Cumbria Business Rates Pool3</v>
      </c>
      <c r="O50" s="104" t="str">
        <f>IF(D50="NA","NA",D50&amp;COUNTIF($D$4:D50,D50))</f>
        <v>E09203</v>
      </c>
      <c r="P50" s="104" t="str">
        <f>IF(E50="NA","NA",E50&amp;COUNTIF($E$4:E50,E50))</f>
        <v>NA</v>
      </c>
      <c r="Q50" s="104" t="str">
        <f t="shared" si="1"/>
        <v>Carlisle</v>
      </c>
      <c r="R50" s="153" t="s">
        <v>1335</v>
      </c>
      <c r="S50" s="192">
        <f t="shared" si="2"/>
        <v>0.56454560000000009</v>
      </c>
      <c r="T50" s="194">
        <v>0.68700000000000006</v>
      </c>
    </row>
    <row r="51" spans="1:20" x14ac:dyDescent="0.25">
      <c r="A51" s="98">
        <v>48</v>
      </c>
      <c r="B51" s="99" t="s">
        <v>178</v>
      </c>
      <c r="C51" s="100" t="s">
        <v>177</v>
      </c>
      <c r="D51" s="101" t="s">
        <v>79</v>
      </c>
      <c r="E51" s="101" t="s">
        <v>80</v>
      </c>
      <c r="F51" s="101">
        <v>0.4</v>
      </c>
      <c r="G51" s="102">
        <v>0</v>
      </c>
      <c r="H51" s="7" t="s">
        <v>837</v>
      </c>
      <c r="I51" s="7" t="s">
        <v>830</v>
      </c>
      <c r="J51" s="103">
        <v>0.27439799999999998</v>
      </c>
      <c r="K51" s="104" t="s">
        <v>129</v>
      </c>
      <c r="L51" s="104"/>
      <c r="M51" s="99" t="s">
        <v>178</v>
      </c>
      <c r="N51" s="104" t="str">
        <f>IF(K51="","",K51&amp;COUNTIF($K$4:K51,K51))</f>
        <v>Essex Business Rates Pool3</v>
      </c>
      <c r="O51" s="104" t="str">
        <f>IF(D51="NA","NA",D51&amp;COUNTIF($D$4:D51,D51))</f>
        <v>E15214</v>
      </c>
      <c r="P51" s="104" t="str">
        <f>IF(E51="NA","NA",E51&amp;COUNTIF($E$4:E51,E51))</f>
        <v>E61154</v>
      </c>
      <c r="Q51" s="104" t="str">
        <f t="shared" si="1"/>
        <v>Castle Point</v>
      </c>
      <c r="R51" s="153" t="s">
        <v>1335</v>
      </c>
      <c r="S51" s="192">
        <f t="shared" si="2"/>
        <v>0.1097592</v>
      </c>
      <c r="T51" s="194">
        <v>0.71</v>
      </c>
    </row>
    <row r="52" spans="1:20" x14ac:dyDescent="0.25">
      <c r="A52" s="98">
        <v>49</v>
      </c>
      <c r="B52" s="105" t="s">
        <v>180</v>
      </c>
      <c r="C52" s="106" t="s">
        <v>179</v>
      </c>
      <c r="D52" s="101" t="s">
        <v>36</v>
      </c>
      <c r="E52" s="101" t="s">
        <v>93</v>
      </c>
      <c r="F52" s="101">
        <v>0.49</v>
      </c>
      <c r="G52" s="102">
        <v>0</v>
      </c>
      <c r="H52" s="7" t="s">
        <v>830</v>
      </c>
      <c r="I52" s="7" t="s">
        <v>830</v>
      </c>
      <c r="J52" s="103">
        <v>2.981617</v>
      </c>
      <c r="K52" s="104"/>
      <c r="L52" s="104"/>
      <c r="M52" s="105" t="s">
        <v>180</v>
      </c>
      <c r="N52" s="104" t="str">
        <f>IF(K52="","",K52&amp;COUNTIF($K$4:K52,K52))</f>
        <v/>
      </c>
      <c r="O52" s="104" t="str">
        <f>IF(D52="NA","NA",D52&amp;COUNTIF($D$4:D52,D52))</f>
        <v>NA</v>
      </c>
      <c r="P52" s="104" t="str">
        <f>IF(E52="NA","NA",E52&amp;COUNTIF($E$4:E52,E52))</f>
        <v>E61022</v>
      </c>
      <c r="Q52" s="104" t="str">
        <f t="shared" si="1"/>
        <v>Central Bedfordshire UA</v>
      </c>
      <c r="R52" s="153" t="s">
        <v>1335</v>
      </c>
      <c r="S52" s="192">
        <f t="shared" si="2"/>
        <v>1.4609923300000001</v>
      </c>
      <c r="T52" s="194">
        <v>0.72299999999999998</v>
      </c>
    </row>
    <row r="53" spans="1:20" x14ac:dyDescent="0.25">
      <c r="A53" s="98">
        <v>50</v>
      </c>
      <c r="B53" s="99" t="s">
        <v>182</v>
      </c>
      <c r="C53" s="100" t="s">
        <v>181</v>
      </c>
      <c r="D53" s="101" t="s">
        <v>101</v>
      </c>
      <c r="E53" s="101" t="s">
        <v>102</v>
      </c>
      <c r="F53" s="101">
        <v>0.4</v>
      </c>
      <c r="G53" s="102">
        <v>0</v>
      </c>
      <c r="H53" s="7" t="s">
        <v>830</v>
      </c>
      <c r="I53" s="7" t="s">
        <v>830</v>
      </c>
      <c r="J53" s="103">
        <v>1.0104660000000001</v>
      </c>
      <c r="K53" s="104" t="s">
        <v>103</v>
      </c>
      <c r="L53" s="104"/>
      <c r="M53" s="99" t="s">
        <v>182</v>
      </c>
      <c r="N53" s="104" t="str">
        <f>IF(K53="","",K53&amp;COUNTIF($K$4:K53,K53))</f>
        <v>Leicestershire Business Rates Pool2</v>
      </c>
      <c r="O53" s="104" t="str">
        <f>IF(D53="NA","NA",D53&amp;COUNTIF($D$4:D53,D53))</f>
        <v>E24212</v>
      </c>
      <c r="P53" s="104" t="str">
        <f>IF(E53="NA","NA",E53&amp;COUNTIF($E$4:E53,E53))</f>
        <v>E61242</v>
      </c>
      <c r="Q53" s="104" t="str">
        <f t="shared" si="1"/>
        <v>Charnwood</v>
      </c>
      <c r="R53" s="153" t="s">
        <v>1335</v>
      </c>
      <c r="S53" s="192">
        <f t="shared" si="2"/>
        <v>0.40418640000000006</v>
      </c>
      <c r="T53" s="194">
        <v>0.72</v>
      </c>
    </row>
    <row r="54" spans="1:20" x14ac:dyDescent="0.25">
      <c r="A54" s="98">
        <v>51</v>
      </c>
      <c r="B54" s="99" t="s">
        <v>184</v>
      </c>
      <c r="C54" s="100" t="s">
        <v>183</v>
      </c>
      <c r="D54" s="101" t="s">
        <v>79</v>
      </c>
      <c r="E54" s="101" t="s">
        <v>80</v>
      </c>
      <c r="F54" s="101">
        <v>0.4</v>
      </c>
      <c r="G54" s="102">
        <v>0</v>
      </c>
      <c r="H54" s="7" t="s">
        <v>830</v>
      </c>
      <c r="I54" s="7" t="s">
        <v>830</v>
      </c>
      <c r="J54" s="103">
        <v>1.835806</v>
      </c>
      <c r="K54" s="104"/>
      <c r="L54" s="104"/>
      <c r="M54" s="99" t="s">
        <v>184</v>
      </c>
      <c r="N54" s="104" t="str">
        <f>IF(K54="","",K54&amp;COUNTIF($K$4:K54,K54))</f>
        <v/>
      </c>
      <c r="O54" s="104" t="str">
        <f>IF(D54="NA","NA",D54&amp;COUNTIF($D$4:D54,D54))</f>
        <v>E15215</v>
      </c>
      <c r="P54" s="104" t="str">
        <f>IF(E54="NA","NA",E54&amp;COUNTIF($E$4:E54,E54))</f>
        <v>E61155</v>
      </c>
      <c r="Q54" s="104" t="str">
        <f t="shared" si="1"/>
        <v>Chelmsford</v>
      </c>
      <c r="R54" s="153" t="s">
        <v>1335</v>
      </c>
      <c r="S54" s="192">
        <f t="shared" si="2"/>
        <v>0.73432240000000004</v>
      </c>
      <c r="T54" s="194">
        <v>0.73599999999999999</v>
      </c>
    </row>
    <row r="55" spans="1:20" x14ac:dyDescent="0.25">
      <c r="A55" s="98">
        <v>52</v>
      </c>
      <c r="B55" s="99" t="s">
        <v>186</v>
      </c>
      <c r="C55" s="100" t="s">
        <v>185</v>
      </c>
      <c r="D55" s="107" t="s">
        <v>187</v>
      </c>
      <c r="E55" s="107" t="s">
        <v>36</v>
      </c>
      <c r="F55" s="101">
        <v>0.4</v>
      </c>
      <c r="G55" s="102">
        <v>0</v>
      </c>
      <c r="H55" s="7" t="s">
        <v>830</v>
      </c>
      <c r="I55" s="7" t="s">
        <v>830</v>
      </c>
      <c r="J55" s="103">
        <v>0.64500000000000002</v>
      </c>
      <c r="K55" s="104" t="s">
        <v>188</v>
      </c>
      <c r="L55" s="104"/>
      <c r="M55" s="99" t="s">
        <v>186</v>
      </c>
      <c r="N55" s="104" t="str">
        <f>IF(K55="","",K55&amp;COUNTIF($K$4:K55,K55))</f>
        <v>Gloucestershire Business Rates Pool1</v>
      </c>
      <c r="O55" s="104" t="str">
        <f>IF(D55="NA","NA",D55&amp;COUNTIF($D$4:D55,D55))</f>
        <v>E16201</v>
      </c>
      <c r="P55" s="104" t="str">
        <f>IF(E55="NA","NA",E55&amp;COUNTIF($E$4:E55,E55))</f>
        <v>NA</v>
      </c>
      <c r="Q55" s="104" t="str">
        <f t="shared" si="1"/>
        <v>Cheltenham</v>
      </c>
      <c r="R55" s="153" t="s">
        <v>1335</v>
      </c>
      <c r="S55" s="192">
        <f t="shared" si="2"/>
        <v>0.25800000000000001</v>
      </c>
      <c r="T55" s="194">
        <v>0.70699999999999996</v>
      </c>
    </row>
    <row r="56" spans="1:20" x14ac:dyDescent="0.25">
      <c r="A56" s="98">
        <v>53</v>
      </c>
      <c r="B56" s="99" t="s">
        <v>190</v>
      </c>
      <c r="C56" s="100" t="s">
        <v>189</v>
      </c>
      <c r="D56" s="101" t="s">
        <v>191</v>
      </c>
      <c r="E56" s="101" t="s">
        <v>36</v>
      </c>
      <c r="F56" s="101">
        <v>0.4</v>
      </c>
      <c r="G56" s="102">
        <v>0</v>
      </c>
      <c r="H56" s="7" t="s">
        <v>830</v>
      </c>
      <c r="I56" s="7" t="s">
        <v>830</v>
      </c>
      <c r="J56" s="103">
        <v>2.5186280000000001</v>
      </c>
      <c r="K56" s="104" t="s">
        <v>903</v>
      </c>
      <c r="L56" s="104"/>
      <c r="M56" s="99" t="s">
        <v>190</v>
      </c>
      <c r="N56" s="104" t="str">
        <f>IF(K56="","",K56&amp;COUNTIF($K$4:K56,K56))</f>
        <v>North Oxfordshire Business Rates Pool1</v>
      </c>
      <c r="O56" s="104" t="str">
        <f>IF(D56="NA","NA",D56&amp;COUNTIF($D$4:D56,D56))</f>
        <v>E31201</v>
      </c>
      <c r="P56" s="104" t="str">
        <f>IF(E56="NA","NA",E56&amp;COUNTIF($E$4:E56,E56))</f>
        <v>NA</v>
      </c>
      <c r="Q56" s="104" t="str">
        <f t="shared" si="1"/>
        <v>Cherwell</v>
      </c>
      <c r="R56" s="153" t="s">
        <v>1335</v>
      </c>
      <c r="S56" s="192">
        <f t="shared" si="2"/>
        <v>1.0074512</v>
      </c>
      <c r="T56" s="194">
        <v>0.748</v>
      </c>
    </row>
    <row r="57" spans="1:20" x14ac:dyDescent="0.25">
      <c r="A57" s="98">
        <v>54</v>
      </c>
      <c r="B57" s="99" t="s">
        <v>193</v>
      </c>
      <c r="C57" s="100" t="s">
        <v>192</v>
      </c>
      <c r="D57" s="101" t="s">
        <v>36</v>
      </c>
      <c r="E57" s="101" t="s">
        <v>194</v>
      </c>
      <c r="F57" s="101">
        <v>0.49</v>
      </c>
      <c r="G57" s="102">
        <v>0</v>
      </c>
      <c r="H57" s="7" t="s">
        <v>830</v>
      </c>
      <c r="I57" s="7" t="s">
        <v>830</v>
      </c>
      <c r="J57" s="103">
        <v>4.9018480000000002</v>
      </c>
      <c r="K57" s="104" t="s">
        <v>865</v>
      </c>
      <c r="L57" s="104"/>
      <c r="M57" s="99" t="s">
        <v>193</v>
      </c>
      <c r="N57" s="104" t="str">
        <f>IF(K57="","",K57&amp;COUNTIF($K$4:K57,K57))</f>
        <v>Greater Manchester &amp; Cheshire Business Rates Pool3</v>
      </c>
      <c r="O57" s="104" t="str">
        <f>IF(D57="NA","NA",D57&amp;COUNTIF($D$4:D57,D57))</f>
        <v>NA</v>
      </c>
      <c r="P57" s="104" t="str">
        <f>IF(E57="NA","NA",E57&amp;COUNTIF($E$4:E57,E57))</f>
        <v>E61061</v>
      </c>
      <c r="Q57" s="104" t="str">
        <f t="shared" si="1"/>
        <v>Cheshire East UA</v>
      </c>
      <c r="R57" s="153" t="s">
        <v>1335</v>
      </c>
      <c r="S57" s="192">
        <f t="shared" si="2"/>
        <v>2.4019055200000001</v>
      </c>
      <c r="T57" s="194">
        <v>0.69599999999999995</v>
      </c>
    </row>
    <row r="58" spans="1:20" x14ac:dyDescent="0.25">
      <c r="A58" s="98">
        <v>55</v>
      </c>
      <c r="B58" s="99" t="s">
        <v>195</v>
      </c>
      <c r="C58" s="100" t="s">
        <v>1264</v>
      </c>
      <c r="D58" s="101" t="s">
        <v>36</v>
      </c>
      <c r="E58" s="101" t="s">
        <v>194</v>
      </c>
      <c r="F58" s="101">
        <v>0.49</v>
      </c>
      <c r="G58" s="102">
        <v>0</v>
      </c>
      <c r="H58" s="7" t="s">
        <v>837</v>
      </c>
      <c r="I58" s="7" t="s">
        <v>830</v>
      </c>
      <c r="J58" s="103">
        <v>6.4887940000000004</v>
      </c>
      <c r="K58" s="104" t="s">
        <v>865</v>
      </c>
      <c r="L58" s="104"/>
      <c r="M58" s="99" t="s">
        <v>195</v>
      </c>
      <c r="N58" s="104" t="str">
        <f>IF(K58="","",K58&amp;COUNTIF($K$4:K58,K58))</f>
        <v>Greater Manchester &amp; Cheshire Business Rates Pool4</v>
      </c>
      <c r="O58" s="104" t="str">
        <f>IF(D58="NA","NA",D58&amp;COUNTIF($D$4:D58,D58))</f>
        <v>NA</v>
      </c>
      <c r="P58" s="104" t="str">
        <f>IF(E58="NA","NA",E58&amp;COUNTIF($E$4:E58,E58))</f>
        <v>E61062</v>
      </c>
      <c r="Q58" s="104" t="str">
        <f t="shared" si="1"/>
        <v>Cheshire West and Chester UA</v>
      </c>
      <c r="R58" s="153" t="s">
        <v>1335</v>
      </c>
      <c r="S58" s="192">
        <f t="shared" si="2"/>
        <v>3.17950906</v>
      </c>
      <c r="T58" s="194">
        <v>0.70699999999999996</v>
      </c>
    </row>
    <row r="59" spans="1:20" x14ac:dyDescent="0.25">
      <c r="A59" s="98">
        <v>56</v>
      </c>
      <c r="B59" s="99" t="s">
        <v>197</v>
      </c>
      <c r="C59" s="100" t="s">
        <v>196</v>
      </c>
      <c r="D59" s="101" t="s">
        <v>44</v>
      </c>
      <c r="E59" s="101" t="s">
        <v>45</v>
      </c>
      <c r="F59" s="101">
        <v>0.4</v>
      </c>
      <c r="G59" s="102">
        <v>0</v>
      </c>
      <c r="H59" s="7" t="s">
        <v>830</v>
      </c>
      <c r="I59" s="7" t="s">
        <v>830</v>
      </c>
      <c r="J59" s="103">
        <v>1.3875710000000001</v>
      </c>
      <c r="K59" s="104" t="s">
        <v>1</v>
      </c>
      <c r="L59" s="104"/>
      <c r="M59" s="99" t="s">
        <v>197</v>
      </c>
      <c r="N59" s="104" t="str">
        <f>IF(K59="","",K59&amp;COUNTIF($K$4:K59,K59))</f>
        <v>Derbyshire Business Rates Pool3</v>
      </c>
      <c r="O59" s="104" t="str">
        <f>IF(D59="NA","NA",D59&amp;COUNTIF($D$4:D59,D59))</f>
        <v>E10213</v>
      </c>
      <c r="P59" s="104" t="str">
        <f>IF(E59="NA","NA",E59&amp;COUNTIF($E$4:E59,E59))</f>
        <v>E61103</v>
      </c>
      <c r="Q59" s="104" t="str">
        <f t="shared" si="1"/>
        <v>Chesterfield</v>
      </c>
      <c r="R59" s="153" t="s">
        <v>1335</v>
      </c>
      <c r="S59" s="192">
        <f t="shared" si="2"/>
        <v>0.55502840000000009</v>
      </c>
      <c r="T59" s="194">
        <v>0.69799999999999995</v>
      </c>
    </row>
    <row r="60" spans="1:20" x14ac:dyDescent="0.25">
      <c r="A60" s="98">
        <v>57</v>
      </c>
      <c r="B60" s="99" t="s">
        <v>199</v>
      </c>
      <c r="C60" s="100" t="s">
        <v>198</v>
      </c>
      <c r="D60" s="101" t="s">
        <v>35</v>
      </c>
      <c r="E60" s="101" t="s">
        <v>36</v>
      </c>
      <c r="F60" s="101">
        <v>0.4</v>
      </c>
      <c r="G60" s="102">
        <v>0</v>
      </c>
      <c r="H60" s="7" t="s">
        <v>830</v>
      </c>
      <c r="I60" s="7" t="s">
        <v>830</v>
      </c>
      <c r="J60" s="103">
        <v>1.8585160000000001</v>
      </c>
      <c r="K60" s="104" t="s">
        <v>37</v>
      </c>
      <c r="L60" s="104"/>
      <c r="M60" s="99" t="s">
        <v>199</v>
      </c>
      <c r="N60" s="104" t="str">
        <f>IF(K60="","",K60&amp;COUNTIF($K$4:K60,K60))</f>
        <v>West Sussex Business Rates Pool3</v>
      </c>
      <c r="O60" s="104" t="str">
        <f>IF(D60="NA","NA",D60&amp;COUNTIF($D$4:D60,D60))</f>
        <v>E38203</v>
      </c>
      <c r="P60" s="104" t="str">
        <f>IF(E60="NA","NA",E60&amp;COUNTIF($E$4:E60,E60))</f>
        <v>NA</v>
      </c>
      <c r="Q60" s="104" t="str">
        <f t="shared" si="1"/>
        <v>Chichester</v>
      </c>
      <c r="R60" s="153" t="s">
        <v>1335</v>
      </c>
      <c r="S60" s="192">
        <f t="shared" si="2"/>
        <v>0.74340640000000002</v>
      </c>
      <c r="T60" s="194">
        <v>0.70299999999999996</v>
      </c>
    </row>
    <row r="61" spans="1:20" x14ac:dyDescent="0.25">
      <c r="A61" s="98">
        <v>58</v>
      </c>
      <c r="B61" s="99" t="s">
        <v>201</v>
      </c>
      <c r="C61" s="100" t="s">
        <v>200</v>
      </c>
      <c r="D61" s="101" t="s">
        <v>59</v>
      </c>
      <c r="E61" s="101" t="s">
        <v>60</v>
      </c>
      <c r="F61" s="101">
        <v>0.4</v>
      </c>
      <c r="G61" s="102">
        <v>0</v>
      </c>
      <c r="H61" s="7" t="s">
        <v>830</v>
      </c>
      <c r="I61" s="7" t="s">
        <v>830</v>
      </c>
      <c r="J61" s="103">
        <v>1.070721</v>
      </c>
      <c r="K61" s="104" t="s">
        <v>841</v>
      </c>
      <c r="L61" s="104"/>
      <c r="M61" s="99" t="s">
        <v>201</v>
      </c>
      <c r="N61" s="104" t="str">
        <f>IF(K61="","",K61&amp;COUNTIF($K$4:K61,K61))</f>
        <v>Buckinghamshire Business Rates Pool2</v>
      </c>
      <c r="O61" s="104" t="str">
        <f>IF(D61="NA","NA",D61&amp;COUNTIF($D$4:D61,D61))</f>
        <v>E04212</v>
      </c>
      <c r="P61" s="104" t="str">
        <f>IF(E61="NA","NA",E61&amp;COUNTIF($E$4:E61,E61))</f>
        <v>E61042</v>
      </c>
      <c r="Q61" s="104" t="str">
        <f t="shared" si="1"/>
        <v>Chiltern</v>
      </c>
      <c r="R61" s="153" t="s">
        <v>1335</v>
      </c>
      <c r="S61" s="192">
        <f t="shared" si="2"/>
        <v>0.42828840000000001</v>
      </c>
      <c r="T61" s="194">
        <v>0.73799999999999999</v>
      </c>
    </row>
    <row r="62" spans="1:20" x14ac:dyDescent="0.25">
      <c r="A62" s="98">
        <v>59</v>
      </c>
      <c r="B62" s="99" t="s">
        <v>203</v>
      </c>
      <c r="C62" s="100" t="s">
        <v>202</v>
      </c>
      <c r="D62" s="101" t="s">
        <v>158</v>
      </c>
      <c r="E62" s="101" t="s">
        <v>106</v>
      </c>
      <c r="F62" s="101">
        <v>0.4</v>
      </c>
      <c r="G62" s="102">
        <v>0</v>
      </c>
      <c r="H62" s="7" t="s">
        <v>830</v>
      </c>
      <c r="I62" s="7" t="s">
        <v>830</v>
      </c>
      <c r="J62" s="103">
        <v>0.9</v>
      </c>
      <c r="K62" s="104" t="s">
        <v>914</v>
      </c>
      <c r="L62" s="104"/>
      <c r="M62" s="99" t="s">
        <v>203</v>
      </c>
      <c r="N62" s="104" t="str">
        <f>IF(K62="","",K62&amp;COUNTIF($K$4:K62,K62))</f>
        <v>Lancashire Business Rates Pool1</v>
      </c>
      <c r="O62" s="104" t="str">
        <f>IF(D62="NA","NA",D62&amp;COUNTIF($D$4:D62,D62))</f>
        <v>E23212</v>
      </c>
      <c r="P62" s="104" t="str">
        <f>IF(E62="NA","NA",E62&amp;COUNTIF($E$4:E62,E62))</f>
        <v>E61234</v>
      </c>
      <c r="Q62" s="104" t="str">
        <f t="shared" si="1"/>
        <v>Chorley</v>
      </c>
      <c r="R62" s="153" t="s">
        <v>1335</v>
      </c>
      <c r="S62" s="192">
        <f t="shared" si="2"/>
        <v>0.36000000000000004</v>
      </c>
      <c r="T62" s="194">
        <v>0.66600000000000004</v>
      </c>
    </row>
    <row r="63" spans="1:20" x14ac:dyDescent="0.25">
      <c r="A63" s="98">
        <v>60</v>
      </c>
      <c r="B63" s="99" t="s">
        <v>205</v>
      </c>
      <c r="C63" s="100" t="s">
        <v>204</v>
      </c>
      <c r="D63" s="101" t="s">
        <v>206</v>
      </c>
      <c r="E63" s="101" t="s">
        <v>868</v>
      </c>
      <c r="F63" s="101">
        <v>0.4</v>
      </c>
      <c r="G63" s="102">
        <v>0</v>
      </c>
      <c r="H63" s="7" t="s">
        <v>830</v>
      </c>
      <c r="I63" s="7" t="s">
        <v>830</v>
      </c>
      <c r="J63" s="103">
        <v>0.63622000000000001</v>
      </c>
      <c r="K63" s="104"/>
      <c r="L63" s="104"/>
      <c r="M63" s="99" t="s">
        <v>205</v>
      </c>
      <c r="N63" s="104" t="str">
        <f>IF(K63="","",K63&amp;COUNTIF($K$4:K63,K63))</f>
        <v/>
      </c>
      <c r="O63" s="104" t="str">
        <f>IF(D63="NA","NA",D63&amp;COUNTIF($D$4:D63,D63))</f>
        <v>E12211</v>
      </c>
      <c r="P63" s="104" t="str">
        <f>IF(E63="NA","NA",E63&amp;COUNTIF($E$4:E63,E63))</f>
        <v>E61622</v>
      </c>
      <c r="Q63" s="104" t="str">
        <f t="shared" si="1"/>
        <v>Christchurch</v>
      </c>
      <c r="R63" s="153" t="s">
        <v>1335</v>
      </c>
      <c r="S63" s="192">
        <f t="shared" si="2"/>
        <v>0.25448799999999999</v>
      </c>
      <c r="T63" s="194">
        <v>0.72099999999999997</v>
      </c>
    </row>
    <row r="64" spans="1:20" x14ac:dyDescent="0.25">
      <c r="A64" s="98">
        <v>61</v>
      </c>
      <c r="B64" s="99" t="s">
        <v>208</v>
      </c>
      <c r="C64" s="100" t="s">
        <v>207</v>
      </c>
      <c r="D64" s="101" t="s">
        <v>68</v>
      </c>
      <c r="E64" s="101" t="s">
        <v>36</v>
      </c>
      <c r="F64" s="101">
        <v>0.3</v>
      </c>
      <c r="G64" s="102">
        <v>0</v>
      </c>
      <c r="H64" s="7" t="s">
        <v>830</v>
      </c>
      <c r="I64" s="7" t="s">
        <v>830</v>
      </c>
      <c r="J64" s="103">
        <v>80.741101</v>
      </c>
      <c r="K64" s="104"/>
      <c r="L64" s="104"/>
      <c r="M64" s="99" t="s">
        <v>208</v>
      </c>
      <c r="N64" s="104" t="str">
        <f>IF(K64="","",K64&amp;COUNTIF($K$4:K64,K64))</f>
        <v/>
      </c>
      <c r="O64" s="104" t="str">
        <f>IF(D64="NA","NA",D64&amp;COUNTIF($D$4:D64,D64))</f>
        <v>E51007</v>
      </c>
      <c r="P64" s="104" t="str">
        <f>IF(E64="NA","NA",E64&amp;COUNTIF($E$4:E64,E64))</f>
        <v>NA</v>
      </c>
      <c r="Q64" s="104" t="str">
        <f t="shared" si="1"/>
        <v>City of London</v>
      </c>
      <c r="R64" s="153" t="s">
        <v>1335</v>
      </c>
      <c r="S64" s="192">
        <f t="shared" si="2"/>
        <v>24.222330299999999</v>
      </c>
      <c r="T64" s="194">
        <v>0.70899999999999996</v>
      </c>
    </row>
    <row r="65" spans="1:20" x14ac:dyDescent="0.25">
      <c r="A65" s="98">
        <v>62</v>
      </c>
      <c r="B65" s="99" t="s">
        <v>210</v>
      </c>
      <c r="C65" s="100" t="s">
        <v>209</v>
      </c>
      <c r="D65" s="101" t="s">
        <v>79</v>
      </c>
      <c r="E65" s="101" t="s">
        <v>80</v>
      </c>
      <c r="F65" s="101">
        <v>0.4</v>
      </c>
      <c r="G65" s="102">
        <v>0</v>
      </c>
      <c r="H65" s="7" t="s">
        <v>830</v>
      </c>
      <c r="I65" s="7" t="s">
        <v>830</v>
      </c>
      <c r="J65" s="103">
        <v>1.2364299999999999</v>
      </c>
      <c r="K65" s="104" t="s">
        <v>129</v>
      </c>
      <c r="L65" s="104"/>
      <c r="M65" s="99" t="s">
        <v>210</v>
      </c>
      <c r="N65" s="104" t="str">
        <f>IF(K65="","",K65&amp;COUNTIF($K$4:K65,K65))</f>
        <v>Essex Business Rates Pool4</v>
      </c>
      <c r="O65" s="104" t="str">
        <f>IF(D65="NA","NA",D65&amp;COUNTIF($D$4:D65,D65))</f>
        <v>E15216</v>
      </c>
      <c r="P65" s="104" t="str">
        <f>IF(E65="NA","NA",E65&amp;COUNTIF($E$4:E65,E65))</f>
        <v>E61156</v>
      </c>
      <c r="Q65" s="104" t="str">
        <f t="shared" si="1"/>
        <v>Colchester</v>
      </c>
      <c r="R65" s="153" t="s">
        <v>1335</v>
      </c>
      <c r="S65" s="192">
        <f t="shared" si="2"/>
        <v>0.49457200000000001</v>
      </c>
      <c r="T65" s="194">
        <v>0.72799999999999998</v>
      </c>
    </row>
    <row r="66" spans="1:20" x14ac:dyDescent="0.25">
      <c r="A66" s="98">
        <v>63</v>
      </c>
      <c r="B66" s="99" t="s">
        <v>212</v>
      </c>
      <c r="C66" s="100" t="s">
        <v>211</v>
      </c>
      <c r="D66" s="101" t="s">
        <v>40</v>
      </c>
      <c r="E66" s="101" t="s">
        <v>36</v>
      </c>
      <c r="F66" s="101">
        <v>0.4</v>
      </c>
      <c r="G66" s="102">
        <v>0</v>
      </c>
      <c r="H66" s="7" t="s">
        <v>830</v>
      </c>
      <c r="I66" s="7" t="s">
        <v>830</v>
      </c>
      <c r="J66" s="103">
        <v>15.773367</v>
      </c>
      <c r="K66" s="104"/>
      <c r="L66" s="104"/>
      <c r="M66" s="99" t="s">
        <v>212</v>
      </c>
      <c r="N66" s="104" t="str">
        <f>IF(K66="","",K66&amp;COUNTIF($K$4:K66,K66))</f>
        <v/>
      </c>
      <c r="O66" s="104" t="str">
        <f>IF(D66="NA","NA",D66&amp;COUNTIF($D$4:D66,D66))</f>
        <v>E09204</v>
      </c>
      <c r="P66" s="104" t="str">
        <f>IF(E66="NA","NA",E66&amp;COUNTIF($E$4:E66,E66))</f>
        <v>NA</v>
      </c>
      <c r="Q66" s="104" t="str">
        <f t="shared" si="1"/>
        <v>Copeland</v>
      </c>
      <c r="R66" s="153" t="s">
        <v>1335</v>
      </c>
      <c r="S66" s="192">
        <f t="shared" si="2"/>
        <v>6.3093468000000001</v>
      </c>
      <c r="T66" s="194">
        <v>0.65900000000000003</v>
      </c>
    </row>
    <row r="67" spans="1:20" x14ac:dyDescent="0.25">
      <c r="A67" s="98">
        <v>64</v>
      </c>
      <c r="B67" s="99" t="s">
        <v>214</v>
      </c>
      <c r="C67" s="100" t="s">
        <v>213</v>
      </c>
      <c r="D67" s="101" t="s">
        <v>215</v>
      </c>
      <c r="E67" s="101" t="s">
        <v>36</v>
      </c>
      <c r="F67" s="101">
        <v>0.4</v>
      </c>
      <c r="G67" s="102">
        <v>0</v>
      </c>
      <c r="H67" s="7" t="s">
        <v>830</v>
      </c>
      <c r="I67" s="7" t="s">
        <v>837</v>
      </c>
      <c r="J67" s="103">
        <v>1.1567639999999999</v>
      </c>
      <c r="K67" s="104" t="s">
        <v>216</v>
      </c>
      <c r="L67" s="104"/>
      <c r="M67" s="99" t="s">
        <v>214</v>
      </c>
      <c r="N67" s="104" t="str">
        <f>IF(K67="","",K67&amp;COUNTIF($K$4:K67,K67))</f>
        <v>Northamptonshire Business Rates Pool1</v>
      </c>
      <c r="O67" s="104" t="str">
        <f>IF(D67="NA","NA",D67&amp;COUNTIF($D$4:D67,D67))</f>
        <v>E28201</v>
      </c>
      <c r="P67" s="104" t="str">
        <f>IF(E67="NA","NA",E67&amp;COUNTIF($E$4:E67,E67))</f>
        <v>NA</v>
      </c>
      <c r="Q67" s="104" t="str">
        <f t="shared" si="1"/>
        <v>Corby</v>
      </c>
      <c r="R67" s="153" t="s">
        <v>1335</v>
      </c>
      <c r="S67" s="192">
        <f t="shared" si="2"/>
        <v>0.46270559999999999</v>
      </c>
      <c r="T67" s="194">
        <v>0.69399999999999995</v>
      </c>
    </row>
    <row r="68" spans="1:20" x14ac:dyDescent="0.25">
      <c r="A68" s="98">
        <v>65</v>
      </c>
      <c r="B68" s="99" t="s">
        <v>218</v>
      </c>
      <c r="C68" s="100" t="s">
        <v>217</v>
      </c>
      <c r="D68" s="101" t="s">
        <v>36</v>
      </c>
      <c r="E68" s="101" t="s">
        <v>36</v>
      </c>
      <c r="F68" s="101">
        <v>0.5</v>
      </c>
      <c r="G68" s="102">
        <v>0</v>
      </c>
      <c r="H68" s="7" t="s">
        <v>830</v>
      </c>
      <c r="I68" s="7" t="s">
        <v>830</v>
      </c>
      <c r="J68" s="103">
        <v>6.2539999999999996</v>
      </c>
      <c r="K68" s="104"/>
      <c r="L68" s="153" t="s">
        <v>1272</v>
      </c>
      <c r="M68" s="99" t="s">
        <v>218</v>
      </c>
      <c r="N68" s="104" t="str">
        <f>IF(K68="","",K68&amp;COUNTIF($K$4:K68,K68))</f>
        <v/>
      </c>
      <c r="O68" s="104" t="str">
        <f>IF(D68="NA","NA",D68&amp;COUNTIF($D$4:D68,D68))</f>
        <v>NA</v>
      </c>
      <c r="P68" s="104" t="str">
        <f>IF(E68="NA","NA",E68&amp;COUNTIF($E$4:E68,E68))</f>
        <v>NA</v>
      </c>
      <c r="Q68" s="104" t="str">
        <f t="shared" si="1"/>
        <v>Cornwall UA</v>
      </c>
      <c r="R68" s="153" t="s">
        <v>1335</v>
      </c>
      <c r="S68" s="192">
        <f t="shared" si="2"/>
        <v>3.1269999999999998</v>
      </c>
      <c r="T68" s="194">
        <v>0.65400000000000003</v>
      </c>
    </row>
    <row r="69" spans="1:20" x14ac:dyDescent="0.25">
      <c r="A69" s="98">
        <v>66</v>
      </c>
      <c r="B69" s="99" t="s">
        <v>220</v>
      </c>
      <c r="C69" s="100" t="s">
        <v>219</v>
      </c>
      <c r="D69" s="107" t="s">
        <v>187</v>
      </c>
      <c r="E69" s="107" t="s">
        <v>36</v>
      </c>
      <c r="F69" s="101">
        <v>0.4</v>
      </c>
      <c r="G69" s="102">
        <v>0</v>
      </c>
      <c r="H69" s="7" t="s">
        <v>830</v>
      </c>
      <c r="I69" s="7" t="s">
        <v>830</v>
      </c>
      <c r="J69" s="103">
        <v>0.88045499999999999</v>
      </c>
      <c r="K69" s="104" t="s">
        <v>188</v>
      </c>
      <c r="L69" s="104"/>
      <c r="M69" s="99" t="s">
        <v>220</v>
      </c>
      <c r="N69" s="104" t="str">
        <f>IF(K69="","",K69&amp;COUNTIF($K$4:K69,K69))</f>
        <v>Gloucestershire Business Rates Pool2</v>
      </c>
      <c r="O69" s="104" t="str">
        <f>IF(D69="NA","NA",D69&amp;COUNTIF($D$4:D69,D69))</f>
        <v>E16202</v>
      </c>
      <c r="P69" s="104" t="str">
        <f>IF(E69="NA","NA",E69&amp;COUNTIF($E$4:E69,E69))</f>
        <v>NA</v>
      </c>
      <c r="Q69" s="104" t="str">
        <f t="shared" ref="Q69:Q132" si="3">C69</f>
        <v>Cotswold</v>
      </c>
      <c r="R69" s="153" t="s">
        <v>1335</v>
      </c>
      <c r="S69" s="192">
        <f t="shared" ref="S69:S132" si="4">J69*F69</f>
        <v>0.352182</v>
      </c>
      <c r="T69" s="194">
        <v>0.70299999999999996</v>
      </c>
    </row>
    <row r="70" spans="1:20" x14ac:dyDescent="0.25">
      <c r="A70" s="98">
        <v>67</v>
      </c>
      <c r="B70" s="99" t="s">
        <v>222</v>
      </c>
      <c r="C70" s="100" t="s">
        <v>221</v>
      </c>
      <c r="D70" s="101" t="s">
        <v>36</v>
      </c>
      <c r="E70" s="101" t="s">
        <v>98</v>
      </c>
      <c r="F70" s="101">
        <v>0.49</v>
      </c>
      <c r="G70" s="102">
        <v>0</v>
      </c>
      <c r="H70" s="7" t="s">
        <v>837</v>
      </c>
      <c r="I70" s="7" t="s">
        <v>830</v>
      </c>
      <c r="J70" s="103">
        <v>4.5282400000000003</v>
      </c>
      <c r="K70" s="104" t="s">
        <v>223</v>
      </c>
      <c r="L70" s="153" t="s">
        <v>1272</v>
      </c>
      <c r="M70" s="99" t="s">
        <v>222</v>
      </c>
      <c r="N70" s="104" t="str">
        <f>IF(K70="","",K70&amp;COUNTIF($K$4:K70,K70))</f>
        <v>Coventry &amp; Warwickshire Business Rates Pool1</v>
      </c>
      <c r="O70" s="104" t="str">
        <f>IF(D70="NA","NA",D70&amp;COUNTIF($D$4:D70,D70))</f>
        <v>NA</v>
      </c>
      <c r="P70" s="104" t="str">
        <f>IF(E70="NA","NA",E70&amp;COUNTIF($E$4:E70,E70))</f>
        <v>E61462</v>
      </c>
      <c r="Q70" s="104" t="str">
        <f t="shared" si="3"/>
        <v>Coventry</v>
      </c>
      <c r="R70" s="153" t="s">
        <v>1335</v>
      </c>
      <c r="S70" s="192">
        <f t="shared" si="4"/>
        <v>2.2188376000000001</v>
      </c>
      <c r="T70" s="194">
        <v>0.69899999999999995</v>
      </c>
    </row>
    <row r="71" spans="1:20" x14ac:dyDescent="0.25">
      <c r="A71" s="98">
        <v>68</v>
      </c>
      <c r="B71" s="99" t="s">
        <v>225</v>
      </c>
      <c r="C71" s="100" t="s">
        <v>224</v>
      </c>
      <c r="D71" s="101" t="s">
        <v>226</v>
      </c>
      <c r="E71" s="101" t="s">
        <v>227</v>
      </c>
      <c r="F71" s="101">
        <v>0.4</v>
      </c>
      <c r="G71" s="102">
        <v>0</v>
      </c>
      <c r="H71" s="7" t="s">
        <v>830</v>
      </c>
      <c r="I71" s="7" t="s">
        <v>830</v>
      </c>
      <c r="J71" s="103">
        <v>0.88100000000000001</v>
      </c>
      <c r="K71" s="104" t="s">
        <v>817</v>
      </c>
      <c r="L71" s="104"/>
      <c r="M71" s="99" t="s">
        <v>225</v>
      </c>
      <c r="N71" s="104" t="str">
        <f>IF(K71="","",K71&amp;COUNTIF($K$4:K71,K71))</f>
        <v>North Yorkshire Business Rates Pool1</v>
      </c>
      <c r="O71" s="104" t="str">
        <f>IF(D71="NA","NA",D71&amp;COUNTIF($D$4:D71,D71))</f>
        <v>E27211</v>
      </c>
      <c r="P71" s="104" t="str">
        <f>IF(E71="NA","NA",E71&amp;COUNTIF($E$4:E71,E71))</f>
        <v>E61271</v>
      </c>
      <c r="Q71" s="104" t="str">
        <f t="shared" si="3"/>
        <v>Craven</v>
      </c>
      <c r="R71" s="153" t="s">
        <v>1335</v>
      </c>
      <c r="S71" s="192">
        <f t="shared" si="4"/>
        <v>0.35240000000000005</v>
      </c>
      <c r="T71" s="194">
        <v>0.66</v>
      </c>
    </row>
    <row r="72" spans="1:20" x14ac:dyDescent="0.25">
      <c r="A72" s="98">
        <v>69</v>
      </c>
      <c r="B72" s="99" t="s">
        <v>230</v>
      </c>
      <c r="C72" s="100" t="s">
        <v>229</v>
      </c>
      <c r="D72" s="101" t="s">
        <v>35</v>
      </c>
      <c r="E72" s="101" t="s">
        <v>36</v>
      </c>
      <c r="F72" s="101">
        <v>0.4</v>
      </c>
      <c r="G72" s="102">
        <v>0</v>
      </c>
      <c r="H72" s="7" t="s">
        <v>830</v>
      </c>
      <c r="I72" s="7" t="s">
        <v>830</v>
      </c>
      <c r="J72" s="103">
        <v>3.8700860000000001</v>
      </c>
      <c r="K72" s="104"/>
      <c r="L72" s="104"/>
      <c r="M72" s="99" t="s">
        <v>230</v>
      </c>
      <c r="N72" s="104" t="str">
        <f>IF(K72="","",K72&amp;COUNTIF($K$4:K72,K72))</f>
        <v/>
      </c>
      <c r="O72" s="104" t="str">
        <f>IF(D72="NA","NA",D72&amp;COUNTIF($D$4:D72,D72))</f>
        <v>E38204</v>
      </c>
      <c r="P72" s="104" t="str">
        <f>IF(E72="NA","NA",E72&amp;COUNTIF($E$4:E72,E72))</f>
        <v>NA</v>
      </c>
      <c r="Q72" s="104" t="str">
        <f t="shared" si="3"/>
        <v>Crawley</v>
      </c>
      <c r="R72" s="153" t="s">
        <v>1335</v>
      </c>
      <c r="S72" s="192">
        <f t="shared" si="4"/>
        <v>1.5480344000000001</v>
      </c>
      <c r="T72" s="194">
        <v>0.78600000000000003</v>
      </c>
    </row>
    <row r="73" spans="1:20" x14ac:dyDescent="0.25">
      <c r="A73" s="98">
        <v>70</v>
      </c>
      <c r="B73" s="99" t="s">
        <v>232</v>
      </c>
      <c r="C73" s="100" t="s">
        <v>231</v>
      </c>
      <c r="D73" s="101" t="s">
        <v>68</v>
      </c>
      <c r="E73" s="101" t="s">
        <v>36</v>
      </c>
      <c r="F73" s="101">
        <v>0.3</v>
      </c>
      <c r="G73" s="102">
        <v>0</v>
      </c>
      <c r="H73" s="7" t="s">
        <v>830</v>
      </c>
      <c r="I73" s="7" t="s">
        <v>830</v>
      </c>
      <c r="J73" s="103">
        <v>3.5127959999999998</v>
      </c>
      <c r="K73" s="104" t="s">
        <v>929</v>
      </c>
      <c r="L73" s="104"/>
      <c r="M73" s="99" t="s">
        <v>232</v>
      </c>
      <c r="N73" s="104" t="str">
        <f>IF(K73="","",K73&amp;COUNTIF($K$4:K73,K73))</f>
        <v>Surrey-Croydon Business Rates Pool1</v>
      </c>
      <c r="O73" s="104" t="str">
        <f>IF(D73="NA","NA",D73&amp;COUNTIF($D$4:D73,D73))</f>
        <v>E51008</v>
      </c>
      <c r="P73" s="104" t="str">
        <f>IF(E73="NA","NA",E73&amp;COUNTIF($E$4:E73,E73))</f>
        <v>NA</v>
      </c>
      <c r="Q73" s="104" t="str">
        <f t="shared" si="3"/>
        <v>Croydon</v>
      </c>
      <c r="R73" s="153" t="s">
        <v>1335</v>
      </c>
      <c r="S73" s="192">
        <f t="shared" si="4"/>
        <v>1.0538387999999999</v>
      </c>
      <c r="T73" s="194">
        <v>0.76</v>
      </c>
    </row>
    <row r="74" spans="1:20" x14ac:dyDescent="0.25">
      <c r="A74" s="98">
        <v>71</v>
      </c>
      <c r="B74" s="99" t="s">
        <v>234</v>
      </c>
      <c r="C74" s="100" t="s">
        <v>233</v>
      </c>
      <c r="D74" s="101" t="s">
        <v>153</v>
      </c>
      <c r="E74" s="101" t="s">
        <v>36</v>
      </c>
      <c r="F74" s="101">
        <v>0.4</v>
      </c>
      <c r="G74" s="102">
        <v>0</v>
      </c>
      <c r="H74" s="7" t="s">
        <v>830</v>
      </c>
      <c r="I74" s="7" t="s">
        <v>830</v>
      </c>
      <c r="J74" s="103">
        <v>3.6405508700000002</v>
      </c>
      <c r="K74" s="104"/>
      <c r="L74" s="104"/>
      <c r="M74" s="99" t="s">
        <v>234</v>
      </c>
      <c r="N74" s="104" t="str">
        <f>IF(K74="","",K74&amp;COUNTIF($K$4:K74,K74))</f>
        <v/>
      </c>
      <c r="O74" s="104" t="str">
        <f>IF(D74="NA","NA",D74&amp;COUNTIF($D$4:D74,D74))</f>
        <v>E19202</v>
      </c>
      <c r="P74" s="104" t="str">
        <f>IF(E74="NA","NA",E74&amp;COUNTIF($E$4:E74,E74))</f>
        <v>NA</v>
      </c>
      <c r="Q74" s="104" t="str">
        <f t="shared" si="3"/>
        <v>Dacorum</v>
      </c>
      <c r="R74" s="153" t="s">
        <v>1335</v>
      </c>
      <c r="S74" s="192">
        <f t="shared" si="4"/>
        <v>1.4562203480000002</v>
      </c>
      <c r="T74" s="194">
        <v>0.74399999999999999</v>
      </c>
    </row>
    <row r="75" spans="1:20" x14ac:dyDescent="0.25">
      <c r="A75" s="98">
        <v>72</v>
      </c>
      <c r="B75" s="99" t="s">
        <v>236</v>
      </c>
      <c r="C75" s="100" t="s">
        <v>235</v>
      </c>
      <c r="D75" s="101" t="s">
        <v>36</v>
      </c>
      <c r="E75" s="101" t="s">
        <v>237</v>
      </c>
      <c r="F75" s="101">
        <v>0.49</v>
      </c>
      <c r="G75" s="102">
        <v>0</v>
      </c>
      <c r="H75" s="7" t="s">
        <v>830</v>
      </c>
      <c r="I75" s="7" t="s">
        <v>830</v>
      </c>
      <c r="J75" s="103">
        <v>1.011919</v>
      </c>
      <c r="K75" s="104"/>
      <c r="L75" s="104"/>
      <c r="M75" s="99" t="s">
        <v>236</v>
      </c>
      <c r="N75" s="104" t="str">
        <f>IF(K75="","",K75&amp;COUNTIF($K$4:K75,K75))</f>
        <v/>
      </c>
      <c r="O75" s="104" t="str">
        <f>IF(D75="NA","NA",D75&amp;COUNTIF($D$4:D75,D75))</f>
        <v>NA</v>
      </c>
      <c r="P75" s="104" t="str">
        <f>IF(E75="NA","NA",E75&amp;COUNTIF($E$4:E75,E75))</f>
        <v>E61131</v>
      </c>
      <c r="Q75" s="104" t="str">
        <f t="shared" si="3"/>
        <v>Darlington</v>
      </c>
      <c r="R75" s="153" t="s">
        <v>1335</v>
      </c>
      <c r="S75" s="192">
        <f t="shared" si="4"/>
        <v>0.49584031000000001</v>
      </c>
      <c r="T75" s="194">
        <v>0.68200000000000005</v>
      </c>
    </row>
    <row r="76" spans="1:20" x14ac:dyDescent="0.25">
      <c r="A76" s="98">
        <v>73</v>
      </c>
      <c r="B76" s="99" t="s">
        <v>239</v>
      </c>
      <c r="C76" s="100" t="s">
        <v>238</v>
      </c>
      <c r="D76" s="101" t="s">
        <v>54</v>
      </c>
      <c r="E76" s="101" t="s">
        <v>55</v>
      </c>
      <c r="F76" s="101">
        <v>0.4</v>
      </c>
      <c r="G76" s="102">
        <v>0</v>
      </c>
      <c r="H76" s="7" t="s">
        <v>830</v>
      </c>
      <c r="I76" s="7" t="s">
        <v>830</v>
      </c>
      <c r="J76" s="103">
        <v>4.785107</v>
      </c>
      <c r="K76" s="104" t="s">
        <v>56</v>
      </c>
      <c r="L76" s="104"/>
      <c r="M76" s="99" t="s">
        <v>239</v>
      </c>
      <c r="N76" s="104" t="str">
        <f>IF(K76="","",K76&amp;COUNTIF($K$4:K76,K76))</f>
        <v>Kent Business Rates Pool3</v>
      </c>
      <c r="O76" s="104" t="str">
        <f>IF(D76="NA","NA",D76&amp;COUNTIF($D$4:D76,D76))</f>
        <v>E22213</v>
      </c>
      <c r="P76" s="104" t="str">
        <f>IF(E76="NA","NA",E76&amp;COUNTIF($E$4:E76,E76))</f>
        <v>E61223</v>
      </c>
      <c r="Q76" s="104" t="str">
        <f t="shared" si="3"/>
        <v>Dartford</v>
      </c>
      <c r="R76" s="153" t="s">
        <v>1335</v>
      </c>
      <c r="S76" s="192">
        <f t="shared" si="4"/>
        <v>1.9140428</v>
      </c>
      <c r="T76" s="194">
        <v>0.71599999999999997</v>
      </c>
    </row>
    <row r="77" spans="1:20" x14ac:dyDescent="0.25">
      <c r="A77" s="98">
        <v>74</v>
      </c>
      <c r="B77" s="99" t="s">
        <v>241</v>
      </c>
      <c r="C77" s="100" t="s">
        <v>240</v>
      </c>
      <c r="D77" s="101" t="s">
        <v>215</v>
      </c>
      <c r="E77" s="101" t="s">
        <v>36</v>
      </c>
      <c r="F77" s="101">
        <v>0.4</v>
      </c>
      <c r="G77" s="102">
        <v>0</v>
      </c>
      <c r="H77" s="7" t="s">
        <v>837</v>
      </c>
      <c r="I77" s="7" t="s">
        <v>830</v>
      </c>
      <c r="J77" s="103">
        <v>1.128512</v>
      </c>
      <c r="K77" s="104" t="s">
        <v>216</v>
      </c>
      <c r="L77" s="104"/>
      <c r="M77" s="99" t="s">
        <v>241</v>
      </c>
      <c r="N77" s="104" t="str">
        <f>IF(K77="","",K77&amp;COUNTIF($K$4:K77,K77))</f>
        <v>Northamptonshire Business Rates Pool2</v>
      </c>
      <c r="O77" s="104" t="str">
        <f>IF(D77="NA","NA",D77&amp;COUNTIF($D$4:D77,D77))</f>
        <v>E28202</v>
      </c>
      <c r="P77" s="104" t="str">
        <f>IF(E77="NA","NA",E77&amp;COUNTIF($E$4:E77,E77))</f>
        <v>NA</v>
      </c>
      <c r="Q77" s="104" t="str">
        <f t="shared" si="3"/>
        <v>Daventry</v>
      </c>
      <c r="R77" s="153" t="s">
        <v>1335</v>
      </c>
      <c r="S77" s="192">
        <f t="shared" si="4"/>
        <v>0.45140479999999999</v>
      </c>
      <c r="T77" s="194">
        <v>0.69699999999999995</v>
      </c>
    </row>
    <row r="78" spans="1:20" x14ac:dyDescent="0.25">
      <c r="A78" s="98">
        <v>75</v>
      </c>
      <c r="B78" s="99" t="s">
        <v>243</v>
      </c>
      <c r="C78" s="100" t="s">
        <v>242</v>
      </c>
      <c r="D78" s="101" t="s">
        <v>36</v>
      </c>
      <c r="E78" s="101" t="s">
        <v>45</v>
      </c>
      <c r="F78" s="101">
        <v>0.49</v>
      </c>
      <c r="G78" s="102">
        <v>0</v>
      </c>
      <c r="H78" s="7" t="s">
        <v>830</v>
      </c>
      <c r="I78" s="7" t="s">
        <v>830</v>
      </c>
      <c r="J78" s="103">
        <v>5.1646580000000002</v>
      </c>
      <c r="K78" s="104" t="s">
        <v>1</v>
      </c>
      <c r="L78" s="104"/>
      <c r="M78" s="99" t="s">
        <v>243</v>
      </c>
      <c r="N78" s="104" t="str">
        <f>IF(K78="","",K78&amp;COUNTIF($K$4:K78,K78))</f>
        <v>Derbyshire Business Rates Pool4</v>
      </c>
      <c r="O78" s="104" t="str">
        <f>IF(D78="NA","NA",D78&amp;COUNTIF($D$4:D78,D78))</f>
        <v>NA</v>
      </c>
      <c r="P78" s="104" t="str">
        <f>IF(E78="NA","NA",E78&amp;COUNTIF($E$4:E78,E78))</f>
        <v>E61104</v>
      </c>
      <c r="Q78" s="104" t="str">
        <f t="shared" si="3"/>
        <v>Derby</v>
      </c>
      <c r="R78" s="153" t="s">
        <v>1335</v>
      </c>
      <c r="S78" s="192">
        <f t="shared" si="4"/>
        <v>2.5306824200000002</v>
      </c>
      <c r="T78" s="194">
        <v>0.70699999999999996</v>
      </c>
    </row>
    <row r="79" spans="1:20" x14ac:dyDescent="0.25">
      <c r="A79" s="98">
        <v>76</v>
      </c>
      <c r="B79" s="99" t="s">
        <v>245</v>
      </c>
      <c r="C79" s="100" t="s">
        <v>244</v>
      </c>
      <c r="D79" s="101" t="s">
        <v>44</v>
      </c>
      <c r="E79" s="101" t="s">
        <v>45</v>
      </c>
      <c r="F79" s="101">
        <v>0.4</v>
      </c>
      <c r="G79" s="102">
        <v>0</v>
      </c>
      <c r="H79" s="7" t="s">
        <v>830</v>
      </c>
      <c r="I79" s="7" t="s">
        <v>830</v>
      </c>
      <c r="J79" s="103">
        <v>0.38955499999999998</v>
      </c>
      <c r="K79" s="104" t="s">
        <v>1</v>
      </c>
      <c r="L79" s="104"/>
      <c r="M79" s="99" t="s">
        <v>245</v>
      </c>
      <c r="N79" s="104" t="str">
        <f>IF(K79="","",K79&amp;COUNTIF($K$4:K79,K79))</f>
        <v>Derbyshire Business Rates Pool5</v>
      </c>
      <c r="O79" s="104" t="str">
        <f>IF(D79="NA","NA",D79&amp;COUNTIF($D$4:D79,D79))</f>
        <v>E10214</v>
      </c>
      <c r="P79" s="104" t="str">
        <f>IF(E79="NA","NA",E79&amp;COUNTIF($E$4:E79,E79))</f>
        <v>E61105</v>
      </c>
      <c r="Q79" s="104" t="str">
        <f t="shared" si="3"/>
        <v>Derbyshire Dales</v>
      </c>
      <c r="R79" s="153" t="s">
        <v>1335</v>
      </c>
      <c r="S79" s="192">
        <f t="shared" si="4"/>
        <v>0.15582200000000002</v>
      </c>
      <c r="T79" s="194">
        <v>0.67400000000000004</v>
      </c>
    </row>
    <row r="80" spans="1:20" x14ac:dyDescent="0.25">
      <c r="A80" s="98">
        <v>77</v>
      </c>
      <c r="B80" s="99" t="s">
        <v>247</v>
      </c>
      <c r="C80" s="100" t="s">
        <v>246</v>
      </c>
      <c r="D80" s="101" t="s">
        <v>36</v>
      </c>
      <c r="E80" s="101" t="s">
        <v>74</v>
      </c>
      <c r="F80" s="101">
        <v>0.49</v>
      </c>
      <c r="G80" s="102">
        <v>0</v>
      </c>
      <c r="H80" s="7" t="s">
        <v>830</v>
      </c>
      <c r="I80" s="7" t="s">
        <v>830</v>
      </c>
      <c r="J80" s="103">
        <v>4.7002709999999999</v>
      </c>
      <c r="K80" s="104"/>
      <c r="L80" s="104"/>
      <c r="M80" s="99" t="s">
        <v>247</v>
      </c>
      <c r="N80" s="104" t="str">
        <f>IF(K80="","",K80&amp;COUNTIF($K$4:K80,K80))</f>
        <v/>
      </c>
      <c r="O80" s="104" t="str">
        <f>IF(D80="NA","NA",D80&amp;COUNTIF($D$4:D80,D80))</f>
        <v>NA</v>
      </c>
      <c r="P80" s="104" t="str">
        <f>IF(E80="NA","NA",E80&amp;COUNTIF($E$4:E80,E80))</f>
        <v>E61442</v>
      </c>
      <c r="Q80" s="104" t="str">
        <f t="shared" si="3"/>
        <v>Doncaster</v>
      </c>
      <c r="R80" s="153" t="s">
        <v>1335</v>
      </c>
      <c r="S80" s="192">
        <f t="shared" si="4"/>
        <v>2.3031327899999998</v>
      </c>
      <c r="T80" s="194">
        <v>0.67300000000000004</v>
      </c>
    </row>
    <row r="81" spans="1:20" x14ac:dyDescent="0.25">
      <c r="A81" s="98">
        <v>78</v>
      </c>
      <c r="B81" s="99" t="s">
        <v>249</v>
      </c>
      <c r="C81" s="100" t="s">
        <v>248</v>
      </c>
      <c r="D81" s="101" t="s">
        <v>54</v>
      </c>
      <c r="E81" s="101" t="s">
        <v>55</v>
      </c>
      <c r="F81" s="101">
        <v>0.4</v>
      </c>
      <c r="G81" s="102">
        <v>0</v>
      </c>
      <c r="H81" s="7" t="s">
        <v>830</v>
      </c>
      <c r="I81" s="7" t="s">
        <v>830</v>
      </c>
      <c r="J81" s="103">
        <v>2.2050000000000001</v>
      </c>
      <c r="K81" s="104"/>
      <c r="L81" s="104"/>
      <c r="M81" s="99" t="s">
        <v>249</v>
      </c>
      <c r="N81" s="104" t="str">
        <f>IF(K81="","",K81&amp;COUNTIF($K$4:K81,K81))</f>
        <v/>
      </c>
      <c r="O81" s="104" t="str">
        <f>IF(D81="NA","NA",D81&amp;COUNTIF($D$4:D81,D81))</f>
        <v>E22214</v>
      </c>
      <c r="P81" s="104" t="str">
        <f>IF(E81="NA","NA",E81&amp;COUNTIF($E$4:E81,E81))</f>
        <v>E61224</v>
      </c>
      <c r="Q81" s="104" t="str">
        <f t="shared" si="3"/>
        <v>Dover</v>
      </c>
      <c r="R81" s="153" t="s">
        <v>1335</v>
      </c>
      <c r="S81" s="192">
        <f t="shared" si="4"/>
        <v>0.88200000000000012</v>
      </c>
      <c r="T81" s="194">
        <v>0.66800000000000004</v>
      </c>
    </row>
    <row r="82" spans="1:20" x14ac:dyDescent="0.25">
      <c r="A82" s="98">
        <v>79</v>
      </c>
      <c r="B82" s="99" t="s">
        <v>251</v>
      </c>
      <c r="C82" s="100" t="s">
        <v>250</v>
      </c>
      <c r="D82" s="101" t="s">
        <v>36</v>
      </c>
      <c r="E82" s="101" t="s">
        <v>98</v>
      </c>
      <c r="F82" s="101">
        <v>0.49</v>
      </c>
      <c r="G82" s="102">
        <v>0</v>
      </c>
      <c r="H82" s="7" t="s">
        <v>837</v>
      </c>
      <c r="I82" s="7" t="s">
        <v>830</v>
      </c>
      <c r="J82" s="103">
        <v>5</v>
      </c>
      <c r="K82" s="104"/>
      <c r="L82" s="153" t="s">
        <v>1272</v>
      </c>
      <c r="M82" s="99" t="s">
        <v>251</v>
      </c>
      <c r="N82" s="104" t="str">
        <f>IF(K82="","",K82&amp;COUNTIF($K$4:K82,K82))</f>
        <v/>
      </c>
      <c r="O82" s="104" t="str">
        <f>IF(D82="NA","NA",D82&amp;COUNTIF($D$4:D82,D82))</f>
        <v>NA</v>
      </c>
      <c r="P82" s="104" t="str">
        <f>IF(E82="NA","NA",E82&amp;COUNTIF($E$4:E82,E82))</f>
        <v>E61463</v>
      </c>
      <c r="Q82" s="104" t="str">
        <f t="shared" si="3"/>
        <v>Dudley</v>
      </c>
      <c r="R82" s="153" t="s">
        <v>1335</v>
      </c>
      <c r="S82" s="192">
        <f t="shared" si="4"/>
        <v>2.4500000000000002</v>
      </c>
      <c r="T82" s="194">
        <v>0.67800000000000005</v>
      </c>
    </row>
    <row r="83" spans="1:20" x14ac:dyDescent="0.25">
      <c r="A83" s="98">
        <v>80</v>
      </c>
      <c r="B83" s="99" t="s">
        <v>253</v>
      </c>
      <c r="C83" s="100" t="s">
        <v>252</v>
      </c>
      <c r="D83" s="101" t="s">
        <v>36</v>
      </c>
      <c r="E83" s="101" t="s">
        <v>237</v>
      </c>
      <c r="F83" s="101">
        <v>0.49</v>
      </c>
      <c r="G83" s="102">
        <v>0</v>
      </c>
      <c r="H83" s="7" t="s">
        <v>830</v>
      </c>
      <c r="I83" s="7" t="s">
        <v>830</v>
      </c>
      <c r="J83" s="103">
        <v>3.567418</v>
      </c>
      <c r="K83" s="104"/>
      <c r="L83" s="104"/>
      <c r="M83" s="99" t="s">
        <v>253</v>
      </c>
      <c r="N83" s="104" t="str">
        <f>IF(K83="","",K83&amp;COUNTIF($K$4:K83,K83))</f>
        <v/>
      </c>
      <c r="O83" s="104" t="str">
        <f>IF(D83="NA","NA",D83&amp;COUNTIF($D$4:D83,D83))</f>
        <v>NA</v>
      </c>
      <c r="P83" s="104" t="str">
        <f>IF(E83="NA","NA",E83&amp;COUNTIF($E$4:E83,E83))</f>
        <v>E61132</v>
      </c>
      <c r="Q83" s="104" t="str">
        <f t="shared" si="3"/>
        <v>Durham UA</v>
      </c>
      <c r="R83" s="153" t="s">
        <v>1335</v>
      </c>
      <c r="S83" s="192">
        <f t="shared" si="4"/>
        <v>1.74803482</v>
      </c>
      <c r="T83" s="194">
        <v>0.66300000000000003</v>
      </c>
    </row>
    <row r="84" spans="1:20" x14ac:dyDescent="0.25">
      <c r="A84" s="98">
        <v>81</v>
      </c>
      <c r="B84" s="99" t="s">
        <v>255</v>
      </c>
      <c r="C84" s="100" t="s">
        <v>254</v>
      </c>
      <c r="D84" s="101" t="s">
        <v>68</v>
      </c>
      <c r="E84" s="101" t="s">
        <v>36</v>
      </c>
      <c r="F84" s="101">
        <v>0.3</v>
      </c>
      <c r="G84" s="102">
        <v>0</v>
      </c>
      <c r="H84" s="7" t="s">
        <v>830</v>
      </c>
      <c r="I84" s="7" t="s">
        <v>830</v>
      </c>
      <c r="J84" s="103">
        <v>17.733028000000001</v>
      </c>
      <c r="K84" s="104"/>
      <c r="L84" s="104"/>
      <c r="M84" s="99" t="s">
        <v>255</v>
      </c>
      <c r="N84" s="104" t="str">
        <f>IF(K84="","",K84&amp;COUNTIF($K$4:K84,K84))</f>
        <v/>
      </c>
      <c r="O84" s="104" t="str">
        <f>IF(D84="NA","NA",D84&amp;COUNTIF($D$4:D84,D84))</f>
        <v>E51009</v>
      </c>
      <c r="P84" s="104" t="str">
        <f>IF(E84="NA","NA",E84&amp;COUNTIF($E$4:E84,E84))</f>
        <v>NA</v>
      </c>
      <c r="Q84" s="104" t="str">
        <f t="shared" si="3"/>
        <v>Ealing</v>
      </c>
      <c r="R84" s="153" t="s">
        <v>1335</v>
      </c>
      <c r="S84" s="192">
        <f t="shared" si="4"/>
        <v>5.3199084000000001</v>
      </c>
      <c r="T84" s="194">
        <v>0.78300000000000003</v>
      </c>
    </row>
    <row r="85" spans="1:20" x14ac:dyDescent="0.25">
      <c r="A85" s="98">
        <v>82</v>
      </c>
      <c r="B85" s="99" t="s">
        <v>257</v>
      </c>
      <c r="C85" s="100" t="s">
        <v>256</v>
      </c>
      <c r="D85" s="101" t="s">
        <v>165</v>
      </c>
      <c r="E85" s="101" t="s">
        <v>166</v>
      </c>
      <c r="F85" s="101">
        <v>0.4</v>
      </c>
      <c r="G85" s="102">
        <v>0</v>
      </c>
      <c r="H85" s="7" t="s">
        <v>830</v>
      </c>
      <c r="I85" s="7" t="s">
        <v>830</v>
      </c>
      <c r="J85" s="103">
        <v>0.70246799999999998</v>
      </c>
      <c r="K85" s="104"/>
      <c r="L85" s="104"/>
      <c r="M85" s="99" t="s">
        <v>257</v>
      </c>
      <c r="N85" s="104" t="str">
        <f>IF(K85="","",K85&amp;COUNTIF($K$4:K85,K85))</f>
        <v/>
      </c>
      <c r="O85" s="104" t="str">
        <f>IF(D85="NA","NA",D85&amp;COUNTIF($D$4:D85,D85))</f>
        <v>E05212</v>
      </c>
      <c r="P85" s="104" t="str">
        <f>IF(E85="NA","NA",E85&amp;COUNTIF($E$4:E85,E85))</f>
        <v>E61052</v>
      </c>
      <c r="Q85" s="104" t="str">
        <f t="shared" si="3"/>
        <v>East Cambridgeshire</v>
      </c>
      <c r="R85" s="153" t="s">
        <v>1335</v>
      </c>
      <c r="S85" s="192">
        <f t="shared" si="4"/>
        <v>0.28098719999999999</v>
      </c>
      <c r="T85" s="194">
        <v>0.72299999999999998</v>
      </c>
    </row>
    <row r="86" spans="1:20" x14ac:dyDescent="0.25">
      <c r="A86" s="98">
        <v>83</v>
      </c>
      <c r="B86" s="99" t="s">
        <v>259</v>
      </c>
      <c r="C86" s="100" t="s">
        <v>258</v>
      </c>
      <c r="D86" s="101" t="s">
        <v>260</v>
      </c>
      <c r="E86" s="101" t="s">
        <v>261</v>
      </c>
      <c r="F86" s="101">
        <v>0.4</v>
      </c>
      <c r="G86" s="102">
        <v>0</v>
      </c>
      <c r="H86" s="7" t="s">
        <v>837</v>
      </c>
      <c r="I86" s="7" t="s">
        <v>830</v>
      </c>
      <c r="J86" s="103">
        <v>1.1785079999999999</v>
      </c>
      <c r="K86" s="104" t="s">
        <v>262</v>
      </c>
      <c r="L86" s="104"/>
      <c r="M86" s="99" t="s">
        <v>259</v>
      </c>
      <c r="N86" s="104" t="str">
        <f>IF(K86="","",K86&amp;COUNTIF($K$4:K86,K86))</f>
        <v>Devon Business Rates Pool1</v>
      </c>
      <c r="O86" s="104" t="str">
        <f>IF(D86="NA","NA",D86&amp;COUNTIF($D$4:D86,D86))</f>
        <v>E11211</v>
      </c>
      <c r="P86" s="104" t="str">
        <f>IF(E86="NA","NA",E86&amp;COUNTIF($E$4:E86,E86))</f>
        <v>E61611</v>
      </c>
      <c r="Q86" s="104" t="str">
        <f t="shared" si="3"/>
        <v>East Devon</v>
      </c>
      <c r="R86" s="153" t="s">
        <v>1335</v>
      </c>
      <c r="S86" s="192">
        <f t="shared" si="4"/>
        <v>0.47140319999999997</v>
      </c>
      <c r="T86" s="194">
        <v>0.67700000000000005</v>
      </c>
    </row>
    <row r="87" spans="1:20" x14ac:dyDescent="0.25">
      <c r="A87" s="98">
        <v>84</v>
      </c>
      <c r="B87" s="99" t="s">
        <v>264</v>
      </c>
      <c r="C87" s="100" t="s">
        <v>263</v>
      </c>
      <c r="D87" s="101" t="s">
        <v>206</v>
      </c>
      <c r="E87" s="101" t="s">
        <v>868</v>
      </c>
      <c r="F87" s="101">
        <v>0.4</v>
      </c>
      <c r="G87" s="102">
        <v>0</v>
      </c>
      <c r="H87" s="7" t="s">
        <v>830</v>
      </c>
      <c r="I87" s="7" t="s">
        <v>830</v>
      </c>
      <c r="J87" s="103">
        <v>0.85077400000000003</v>
      </c>
      <c r="K87" s="104"/>
      <c r="L87" s="104"/>
      <c r="M87" s="99" t="s">
        <v>264</v>
      </c>
      <c r="N87" s="104" t="str">
        <f>IF(K87="","",K87&amp;COUNTIF($K$4:K87,K87))</f>
        <v/>
      </c>
      <c r="O87" s="104" t="str">
        <f>IF(D87="NA","NA",D87&amp;COUNTIF($D$4:D87,D87))</f>
        <v>E12212</v>
      </c>
      <c r="P87" s="104" t="str">
        <f>IF(E87="NA","NA",E87&amp;COUNTIF($E$4:E87,E87))</f>
        <v>E61623</v>
      </c>
      <c r="Q87" s="104" t="str">
        <f t="shared" si="3"/>
        <v>East Dorset</v>
      </c>
      <c r="R87" s="153" t="s">
        <v>1335</v>
      </c>
      <c r="S87" s="192">
        <f t="shared" si="4"/>
        <v>0.34030960000000005</v>
      </c>
      <c r="T87" s="194">
        <v>0.72799999999999998</v>
      </c>
    </row>
    <row r="88" spans="1:20" x14ac:dyDescent="0.25">
      <c r="A88" s="98">
        <v>85</v>
      </c>
      <c r="B88" s="99" t="s">
        <v>266</v>
      </c>
      <c r="C88" s="100" t="s">
        <v>265</v>
      </c>
      <c r="D88" s="101" t="s">
        <v>83</v>
      </c>
      <c r="E88" s="101" t="s">
        <v>84</v>
      </c>
      <c r="F88" s="101">
        <v>0.4</v>
      </c>
      <c r="G88" s="102">
        <v>0</v>
      </c>
      <c r="H88" s="7" t="s">
        <v>830</v>
      </c>
      <c r="I88" s="7" t="s">
        <v>830</v>
      </c>
      <c r="J88" s="103">
        <v>1.026985</v>
      </c>
      <c r="K88" s="104"/>
      <c r="L88" s="104"/>
      <c r="M88" s="99" t="s">
        <v>266</v>
      </c>
      <c r="N88" s="104" t="str">
        <f>IF(K88="","",K88&amp;COUNTIF($K$4:K88,K88))</f>
        <v/>
      </c>
      <c r="O88" s="104" t="str">
        <f>IF(D88="NA","NA",D88&amp;COUNTIF($D$4:D88,D88))</f>
        <v>E17212</v>
      </c>
      <c r="P88" s="104" t="str">
        <f>IF(E88="NA","NA",E88&amp;COUNTIF($E$4:E88,E88))</f>
        <v>E61172</v>
      </c>
      <c r="Q88" s="104" t="str">
        <f t="shared" si="3"/>
        <v>East Hampshire</v>
      </c>
      <c r="R88" s="153" t="s">
        <v>1335</v>
      </c>
      <c r="S88" s="192">
        <f t="shared" si="4"/>
        <v>0.41079400000000005</v>
      </c>
      <c r="T88" s="194">
        <v>0.72799999999999998</v>
      </c>
    </row>
    <row r="89" spans="1:20" x14ac:dyDescent="0.25">
      <c r="A89" s="98">
        <v>86</v>
      </c>
      <c r="B89" s="99" t="s">
        <v>268</v>
      </c>
      <c r="C89" s="100" t="s">
        <v>267</v>
      </c>
      <c r="D89" s="101" t="s">
        <v>153</v>
      </c>
      <c r="E89" s="101" t="s">
        <v>36</v>
      </c>
      <c r="F89" s="101">
        <v>0.4</v>
      </c>
      <c r="G89" s="102">
        <v>0</v>
      </c>
      <c r="H89" s="7" t="s">
        <v>837</v>
      </c>
      <c r="I89" s="7" t="s">
        <v>830</v>
      </c>
      <c r="J89" s="103">
        <v>1.859264</v>
      </c>
      <c r="K89" s="104"/>
      <c r="L89" s="104"/>
      <c r="M89" s="99" t="s">
        <v>268</v>
      </c>
      <c r="N89" s="104" t="str">
        <f>IF(K89="","",K89&amp;COUNTIF($K$4:K89,K89))</f>
        <v/>
      </c>
      <c r="O89" s="104" t="str">
        <f>IF(D89="NA","NA",D89&amp;COUNTIF($D$4:D89,D89))</f>
        <v>E19203</v>
      </c>
      <c r="P89" s="104" t="str">
        <f>IF(E89="NA","NA",E89&amp;COUNTIF($E$4:E89,E89))</f>
        <v>NA</v>
      </c>
      <c r="Q89" s="104" t="str">
        <f t="shared" si="3"/>
        <v>East Hertfordshire</v>
      </c>
      <c r="R89" s="153" t="s">
        <v>1335</v>
      </c>
      <c r="S89" s="192">
        <f t="shared" si="4"/>
        <v>0.74370560000000008</v>
      </c>
      <c r="T89" s="194">
        <v>0.73499999999999999</v>
      </c>
    </row>
    <row r="90" spans="1:20" x14ac:dyDescent="0.25">
      <c r="A90" s="98">
        <v>87</v>
      </c>
      <c r="B90" s="99" t="s">
        <v>270</v>
      </c>
      <c r="C90" s="100" t="s">
        <v>269</v>
      </c>
      <c r="D90" s="101" t="s">
        <v>116</v>
      </c>
      <c r="E90" s="101" t="s">
        <v>36</v>
      </c>
      <c r="F90" s="101">
        <v>0.4</v>
      </c>
      <c r="G90" s="102">
        <v>0</v>
      </c>
      <c r="H90" s="7" t="s">
        <v>830</v>
      </c>
      <c r="I90" s="7" t="s">
        <v>830</v>
      </c>
      <c r="J90" s="103">
        <v>1.0835589999999999</v>
      </c>
      <c r="K90" s="104" t="s">
        <v>117</v>
      </c>
      <c r="L90" s="104"/>
      <c r="M90" s="99" t="s">
        <v>270</v>
      </c>
      <c r="N90" s="104" t="str">
        <f>IF(K90="","",K90&amp;COUNTIF($K$4:K90,K90))</f>
        <v>Lincolnshire Business Rates Pool2</v>
      </c>
      <c r="O90" s="104" t="str">
        <f>IF(D90="NA","NA",D90&amp;COUNTIF($D$4:D90,D90))</f>
        <v>E25202</v>
      </c>
      <c r="P90" s="104" t="str">
        <f>IF(E90="NA","NA",E90&amp;COUNTIF($E$4:E90,E90))</f>
        <v>NA</v>
      </c>
      <c r="Q90" s="104" t="str">
        <f t="shared" si="3"/>
        <v>East Lindsey</v>
      </c>
      <c r="R90" s="153" t="s">
        <v>1335</v>
      </c>
      <c r="S90" s="192">
        <f t="shared" si="4"/>
        <v>0.43342360000000002</v>
      </c>
      <c r="T90" s="194">
        <v>0.65900000000000003</v>
      </c>
    </row>
    <row r="91" spans="1:20" x14ac:dyDescent="0.25">
      <c r="A91" s="98">
        <v>88</v>
      </c>
      <c r="B91" s="99" t="s">
        <v>272</v>
      </c>
      <c r="C91" s="100" t="s">
        <v>271</v>
      </c>
      <c r="D91" s="101" t="s">
        <v>215</v>
      </c>
      <c r="E91" s="101" t="s">
        <v>36</v>
      </c>
      <c r="F91" s="101">
        <v>0.4</v>
      </c>
      <c r="G91" s="102">
        <v>0</v>
      </c>
      <c r="H91" s="7" t="s">
        <v>837</v>
      </c>
      <c r="I91" s="7" t="s">
        <v>830</v>
      </c>
      <c r="J91" s="103">
        <v>0.40972700000000001</v>
      </c>
      <c r="K91" s="104" t="s">
        <v>216</v>
      </c>
      <c r="L91" s="104"/>
      <c r="M91" s="99" t="s">
        <v>272</v>
      </c>
      <c r="N91" s="104" t="str">
        <f>IF(K91="","",K91&amp;COUNTIF($K$4:K91,K91))</f>
        <v>Northamptonshire Business Rates Pool3</v>
      </c>
      <c r="O91" s="104" t="str">
        <f>IF(D91="NA","NA",D91&amp;COUNTIF($D$4:D91,D91))</f>
        <v>E28203</v>
      </c>
      <c r="P91" s="104" t="str">
        <f>IF(E91="NA","NA",E91&amp;COUNTIF($E$4:E91,E91))</f>
        <v>NA</v>
      </c>
      <c r="Q91" s="104" t="str">
        <f t="shared" si="3"/>
        <v>East Northamptonshire</v>
      </c>
      <c r="R91" s="153" t="s">
        <v>1335</v>
      </c>
      <c r="S91" s="192">
        <f t="shared" si="4"/>
        <v>0.1638908</v>
      </c>
      <c r="T91" s="194">
        <v>0.67400000000000004</v>
      </c>
    </row>
    <row r="92" spans="1:20" x14ac:dyDescent="0.25">
      <c r="A92" s="98">
        <v>89</v>
      </c>
      <c r="B92" s="99" t="s">
        <v>274</v>
      </c>
      <c r="C92" s="100" t="s">
        <v>273</v>
      </c>
      <c r="D92" s="101" t="s">
        <v>36</v>
      </c>
      <c r="E92" s="101" t="s">
        <v>275</v>
      </c>
      <c r="F92" s="101">
        <v>0.49</v>
      </c>
      <c r="G92" s="102">
        <v>0</v>
      </c>
      <c r="H92" s="7" t="s">
        <v>837</v>
      </c>
      <c r="I92" s="7" t="s">
        <v>830</v>
      </c>
      <c r="J92" s="103">
        <v>1.7130369999999999</v>
      </c>
      <c r="K92" s="104"/>
      <c r="L92" s="104"/>
      <c r="M92" s="99" t="s">
        <v>274</v>
      </c>
      <c r="N92" s="104" t="str">
        <f>IF(K92="","",K92&amp;COUNTIF($K$4:K92,K92))</f>
        <v/>
      </c>
      <c r="O92" s="104" t="str">
        <f>IF(D92="NA","NA",D92&amp;COUNTIF($D$4:D92,D92))</f>
        <v>NA</v>
      </c>
      <c r="P92" s="104" t="str">
        <f>IF(E92="NA","NA",E92&amp;COUNTIF($E$4:E92,E92))</f>
        <v>E61201</v>
      </c>
      <c r="Q92" s="104" t="str">
        <f t="shared" si="3"/>
        <v>East Riding of Yorkshire</v>
      </c>
      <c r="R92" s="153" t="s">
        <v>1335</v>
      </c>
      <c r="S92" s="192">
        <f t="shared" si="4"/>
        <v>0.8393881299999999</v>
      </c>
      <c r="T92" s="194">
        <v>0.67300000000000004</v>
      </c>
    </row>
    <row r="93" spans="1:20" x14ac:dyDescent="0.25">
      <c r="A93" s="98">
        <v>90</v>
      </c>
      <c r="B93" s="99" t="s">
        <v>277</v>
      </c>
      <c r="C93" s="100" t="s">
        <v>276</v>
      </c>
      <c r="D93" s="101" t="s">
        <v>171</v>
      </c>
      <c r="E93" s="101" t="s">
        <v>172</v>
      </c>
      <c r="F93" s="101">
        <v>0.4</v>
      </c>
      <c r="G93" s="102">
        <v>0</v>
      </c>
      <c r="H93" s="7" t="s">
        <v>830</v>
      </c>
      <c r="I93" s="7" t="s">
        <v>837</v>
      </c>
      <c r="J93" s="103">
        <v>2.5057649999999998</v>
      </c>
      <c r="K93" s="104" t="s">
        <v>859</v>
      </c>
      <c r="L93" s="104"/>
      <c r="M93" s="99" t="s">
        <v>277</v>
      </c>
      <c r="N93" s="104" t="str">
        <f>IF(K93="","",K93&amp;COUNTIF($K$4:K93,K93))</f>
        <v>Greater Birmingham &amp; Solihull Business Rates Pool4</v>
      </c>
      <c r="O93" s="104" t="str">
        <f>IF(D93="NA","NA",D93&amp;COUNTIF($D$4:D93,D93))</f>
        <v>E34212</v>
      </c>
      <c r="P93" s="104" t="str">
        <f>IF(E93="NA","NA",E93&amp;COUNTIF($E$4:E93,E93))</f>
        <v>E61342</v>
      </c>
      <c r="Q93" s="104" t="str">
        <f t="shared" si="3"/>
        <v>East Staffordshire</v>
      </c>
      <c r="R93" s="153" t="s">
        <v>1335</v>
      </c>
      <c r="S93" s="192">
        <f t="shared" si="4"/>
        <v>1.0023059999999999</v>
      </c>
      <c r="T93" s="194">
        <v>0.70599999999999996</v>
      </c>
    </row>
    <row r="94" spans="1:20" x14ac:dyDescent="0.25">
      <c r="A94" s="98">
        <v>91</v>
      </c>
      <c r="B94" s="99" t="s">
        <v>279</v>
      </c>
      <c r="C94" s="100" t="s">
        <v>278</v>
      </c>
      <c r="D94" s="101" t="s">
        <v>280</v>
      </c>
      <c r="E94" s="101" t="s">
        <v>140</v>
      </c>
      <c r="F94" s="101">
        <v>0.4</v>
      </c>
      <c r="G94" s="102">
        <v>0</v>
      </c>
      <c r="H94" s="7" t="s">
        <v>830</v>
      </c>
      <c r="I94" s="7" t="s">
        <v>830</v>
      </c>
      <c r="J94" s="103">
        <v>1.1584669999999999</v>
      </c>
      <c r="K94" s="104"/>
      <c r="L94" s="104"/>
      <c r="M94" s="99" t="s">
        <v>279</v>
      </c>
      <c r="N94" s="104" t="str">
        <f>IF(K94="","",K94&amp;COUNTIF($K$4:K94,K94))</f>
        <v/>
      </c>
      <c r="O94" s="104" t="str">
        <f>IF(D94="NA","NA",D94&amp;COUNTIF($D$4:D94,D94))</f>
        <v>E14211</v>
      </c>
      <c r="P94" s="104" t="str">
        <f>IF(E94="NA","NA",E94&amp;COUNTIF($E$4:E94,E94))</f>
        <v>E61142</v>
      </c>
      <c r="Q94" s="104" t="str">
        <f t="shared" si="3"/>
        <v>Eastbourne</v>
      </c>
      <c r="R94" s="153" t="s">
        <v>1335</v>
      </c>
      <c r="S94" s="192">
        <f t="shared" si="4"/>
        <v>0.46338679999999999</v>
      </c>
      <c r="T94" s="194">
        <v>0.71799999999999997</v>
      </c>
    </row>
    <row r="95" spans="1:20" x14ac:dyDescent="0.25">
      <c r="A95" s="98">
        <v>92</v>
      </c>
      <c r="B95" s="99" t="s">
        <v>282</v>
      </c>
      <c r="C95" s="100" t="s">
        <v>281</v>
      </c>
      <c r="D95" s="101" t="s">
        <v>83</v>
      </c>
      <c r="E95" s="101" t="s">
        <v>84</v>
      </c>
      <c r="F95" s="101">
        <v>0.4</v>
      </c>
      <c r="G95" s="102">
        <v>0</v>
      </c>
      <c r="H95" s="7" t="s">
        <v>830</v>
      </c>
      <c r="I95" s="7" t="s">
        <v>830</v>
      </c>
      <c r="J95" s="103">
        <v>2.117</v>
      </c>
      <c r="K95" s="104"/>
      <c r="L95" s="104"/>
      <c r="M95" s="99" t="s">
        <v>282</v>
      </c>
      <c r="N95" s="104" t="str">
        <f>IF(K95="","",K95&amp;COUNTIF($K$4:K95,K95))</f>
        <v/>
      </c>
      <c r="O95" s="104" t="str">
        <f>IF(D95="NA","NA",D95&amp;COUNTIF($D$4:D95,D95))</f>
        <v>E17213</v>
      </c>
      <c r="P95" s="104" t="str">
        <f>IF(E95="NA","NA",E95&amp;COUNTIF($E$4:E95,E95))</f>
        <v>E61173</v>
      </c>
      <c r="Q95" s="104" t="str">
        <f t="shared" si="3"/>
        <v>Eastleigh</v>
      </c>
      <c r="R95" s="153" t="s">
        <v>1335</v>
      </c>
      <c r="S95" s="192">
        <f t="shared" si="4"/>
        <v>0.8468</v>
      </c>
      <c r="T95" s="194">
        <v>0.75</v>
      </c>
    </row>
    <row r="96" spans="1:20" x14ac:dyDescent="0.25">
      <c r="A96" s="98">
        <v>93</v>
      </c>
      <c r="B96" s="99" t="s">
        <v>284</v>
      </c>
      <c r="C96" s="100" t="s">
        <v>283</v>
      </c>
      <c r="D96" s="101" t="s">
        <v>40</v>
      </c>
      <c r="E96" s="101" t="s">
        <v>36</v>
      </c>
      <c r="F96" s="101">
        <v>0.4</v>
      </c>
      <c r="G96" s="102">
        <v>0</v>
      </c>
      <c r="H96" s="7" t="s">
        <v>830</v>
      </c>
      <c r="I96" s="7" t="s">
        <v>830</v>
      </c>
      <c r="J96" s="103">
        <v>0.28601700000000002</v>
      </c>
      <c r="K96" s="104" t="s">
        <v>41</v>
      </c>
      <c r="L96" s="104"/>
      <c r="M96" s="99" t="s">
        <v>284</v>
      </c>
      <c r="N96" s="104" t="str">
        <f>IF(K96="","",K96&amp;COUNTIF($K$4:K96,K96))</f>
        <v>Cumbria Business Rates Pool4</v>
      </c>
      <c r="O96" s="104" t="str">
        <f>IF(D96="NA","NA",D96&amp;COUNTIF($D$4:D96,D96))</f>
        <v>E09205</v>
      </c>
      <c r="P96" s="104" t="str">
        <f>IF(E96="NA","NA",E96&amp;COUNTIF($E$4:E96,E96))</f>
        <v>NA</v>
      </c>
      <c r="Q96" s="104" t="str">
        <f t="shared" si="3"/>
        <v>Eden</v>
      </c>
      <c r="R96" s="153" t="s">
        <v>1335</v>
      </c>
      <c r="S96" s="192">
        <f t="shared" si="4"/>
        <v>0.11440680000000002</v>
      </c>
      <c r="T96" s="194">
        <v>0.64700000000000002</v>
      </c>
    </row>
    <row r="97" spans="1:20" x14ac:dyDescent="0.25">
      <c r="A97" s="98">
        <v>94</v>
      </c>
      <c r="B97" s="99" t="s">
        <v>286</v>
      </c>
      <c r="C97" s="100" t="s">
        <v>285</v>
      </c>
      <c r="D97" s="101" t="s">
        <v>287</v>
      </c>
      <c r="E97" s="101" t="s">
        <v>36</v>
      </c>
      <c r="F97" s="101">
        <v>0.4</v>
      </c>
      <c r="G97" s="102">
        <v>0</v>
      </c>
      <c r="H97" s="7" t="s">
        <v>830</v>
      </c>
      <c r="I97" s="7" t="s">
        <v>830</v>
      </c>
      <c r="J97" s="103">
        <v>0.820156</v>
      </c>
      <c r="K97" s="104" t="s">
        <v>929</v>
      </c>
      <c r="L97" s="104"/>
      <c r="M97" s="99" t="s">
        <v>286</v>
      </c>
      <c r="N97" s="104" t="str">
        <f>IF(K97="","",K97&amp;COUNTIF($K$4:K97,K97))</f>
        <v>Surrey-Croydon Business Rates Pool2</v>
      </c>
      <c r="O97" s="104" t="str">
        <f>IF(D97="NA","NA",D97&amp;COUNTIF($D$4:D97,D97))</f>
        <v>E36201</v>
      </c>
      <c r="P97" s="104" t="str">
        <f>IF(E97="NA","NA",E97&amp;COUNTIF($E$4:E97,E97))</f>
        <v>NA</v>
      </c>
      <c r="Q97" s="104" t="str">
        <f t="shared" si="3"/>
        <v>Elmbridge</v>
      </c>
      <c r="R97" s="153" t="s">
        <v>1335</v>
      </c>
      <c r="S97" s="192">
        <f t="shared" si="4"/>
        <v>0.32806240000000003</v>
      </c>
      <c r="T97" s="194">
        <v>0.78200000000000003</v>
      </c>
    </row>
    <row r="98" spans="1:20" x14ac:dyDescent="0.25">
      <c r="A98" s="98">
        <v>95</v>
      </c>
      <c r="B98" s="99" t="s">
        <v>289</v>
      </c>
      <c r="C98" s="100" t="s">
        <v>288</v>
      </c>
      <c r="D98" s="101" t="s">
        <v>68</v>
      </c>
      <c r="E98" s="101" t="s">
        <v>36</v>
      </c>
      <c r="F98" s="101">
        <v>0.3</v>
      </c>
      <c r="G98" s="102">
        <v>0</v>
      </c>
      <c r="H98" s="7" t="s">
        <v>830</v>
      </c>
      <c r="I98" s="7" t="s">
        <v>830</v>
      </c>
      <c r="J98" s="103">
        <v>2.01275629</v>
      </c>
      <c r="K98" s="104"/>
      <c r="L98" s="104"/>
      <c r="M98" s="99" t="s">
        <v>289</v>
      </c>
      <c r="N98" s="104" t="str">
        <f>IF(K98="","",K98&amp;COUNTIF($K$4:K98,K98))</f>
        <v/>
      </c>
      <c r="O98" s="104" t="str">
        <f>IF(D98="NA","NA",D98&amp;COUNTIF($D$4:D98,D98))</f>
        <v>E510010</v>
      </c>
      <c r="P98" s="104" t="str">
        <f>IF(E98="NA","NA",E98&amp;COUNTIF($E$4:E98,E98))</f>
        <v>NA</v>
      </c>
      <c r="Q98" s="104" t="str">
        <f t="shared" si="3"/>
        <v>Enfield</v>
      </c>
      <c r="R98" s="153" t="s">
        <v>1335</v>
      </c>
      <c r="S98" s="192">
        <f t="shared" si="4"/>
        <v>0.60382688699999998</v>
      </c>
      <c r="T98" s="194">
        <v>0.77200000000000002</v>
      </c>
    </row>
    <row r="99" spans="1:20" x14ac:dyDescent="0.25">
      <c r="A99" s="98">
        <v>96</v>
      </c>
      <c r="B99" s="99" t="s">
        <v>291</v>
      </c>
      <c r="C99" s="100" t="s">
        <v>290</v>
      </c>
      <c r="D99" s="101" t="s">
        <v>79</v>
      </c>
      <c r="E99" s="101" t="s">
        <v>80</v>
      </c>
      <c r="F99" s="101">
        <v>0.4</v>
      </c>
      <c r="G99" s="102">
        <v>0</v>
      </c>
      <c r="H99" s="7" t="s">
        <v>830</v>
      </c>
      <c r="I99" s="7" t="s">
        <v>830</v>
      </c>
      <c r="J99" s="103">
        <v>1.084632</v>
      </c>
      <c r="K99" s="104" t="s">
        <v>129</v>
      </c>
      <c r="L99" s="104"/>
      <c r="M99" s="99" t="s">
        <v>291</v>
      </c>
      <c r="N99" s="104" t="str">
        <f>IF(K99="","",K99&amp;COUNTIF($K$4:K99,K99))</f>
        <v>Essex Business Rates Pool5</v>
      </c>
      <c r="O99" s="104" t="str">
        <f>IF(D99="NA","NA",D99&amp;COUNTIF($D$4:D99,D99))</f>
        <v>E15217</v>
      </c>
      <c r="P99" s="104" t="str">
        <f>IF(E99="NA","NA",E99&amp;COUNTIF($E$4:E99,E99))</f>
        <v>E61157</v>
      </c>
      <c r="Q99" s="104" t="str">
        <f t="shared" si="3"/>
        <v>Epping Forest</v>
      </c>
      <c r="R99" s="153" t="s">
        <v>1335</v>
      </c>
      <c r="S99" s="192">
        <f t="shared" si="4"/>
        <v>0.43385280000000004</v>
      </c>
      <c r="T99" s="194">
        <v>0.747</v>
      </c>
    </row>
    <row r="100" spans="1:20" x14ac:dyDescent="0.25">
      <c r="A100" s="98">
        <v>97</v>
      </c>
      <c r="B100" s="99" t="s">
        <v>293</v>
      </c>
      <c r="C100" s="100" t="s">
        <v>292</v>
      </c>
      <c r="D100" s="101" t="s">
        <v>287</v>
      </c>
      <c r="E100" s="101" t="s">
        <v>36</v>
      </c>
      <c r="F100" s="101">
        <v>0.4</v>
      </c>
      <c r="G100" s="102">
        <v>0</v>
      </c>
      <c r="H100" s="7" t="s">
        <v>830</v>
      </c>
      <c r="I100" s="7" t="s">
        <v>830</v>
      </c>
      <c r="J100" s="103">
        <v>1.053245</v>
      </c>
      <c r="K100" s="104"/>
      <c r="L100" s="104"/>
      <c r="M100" s="99" t="s">
        <v>293</v>
      </c>
      <c r="N100" s="104" t="str">
        <f>IF(K100="","",K100&amp;COUNTIF($K$4:K100,K100))</f>
        <v/>
      </c>
      <c r="O100" s="104" t="str">
        <f>IF(D100="NA","NA",D100&amp;COUNTIF($D$4:D100,D100))</f>
        <v>E36202</v>
      </c>
      <c r="P100" s="104" t="str">
        <f>IF(E100="NA","NA",E100&amp;COUNTIF($E$4:E100,E100))</f>
        <v>NA</v>
      </c>
      <c r="Q100" s="104" t="str">
        <f t="shared" si="3"/>
        <v>Epsom &amp; Ewell</v>
      </c>
      <c r="R100" s="153" t="s">
        <v>1335</v>
      </c>
      <c r="S100" s="192">
        <f t="shared" si="4"/>
        <v>0.42129800000000001</v>
      </c>
      <c r="T100" s="194">
        <v>0.76900000000000002</v>
      </c>
    </row>
    <row r="101" spans="1:20" x14ac:dyDescent="0.25">
      <c r="A101" s="98">
        <v>98</v>
      </c>
      <c r="B101" s="99" t="s">
        <v>295</v>
      </c>
      <c r="C101" s="100" t="s">
        <v>294</v>
      </c>
      <c r="D101" s="101" t="s">
        <v>44</v>
      </c>
      <c r="E101" s="101" t="s">
        <v>45</v>
      </c>
      <c r="F101" s="101">
        <v>0.4</v>
      </c>
      <c r="G101" s="102">
        <v>0</v>
      </c>
      <c r="H101" s="7" t="s">
        <v>830</v>
      </c>
      <c r="I101" s="7" t="s">
        <v>830</v>
      </c>
      <c r="J101" s="103">
        <v>0.30499999999999999</v>
      </c>
      <c r="K101" s="104" t="s">
        <v>1</v>
      </c>
      <c r="L101" s="104"/>
      <c r="M101" s="99" t="s">
        <v>295</v>
      </c>
      <c r="N101" s="104" t="str">
        <f>IF(K101="","",K101&amp;COUNTIF($K$4:K101,K101))</f>
        <v>Derbyshire Business Rates Pool6</v>
      </c>
      <c r="O101" s="104" t="str">
        <f>IF(D101="NA","NA",D101&amp;COUNTIF($D$4:D101,D101))</f>
        <v>E10215</v>
      </c>
      <c r="P101" s="104" t="str">
        <f>IF(E101="NA","NA",E101&amp;COUNTIF($E$4:E101,E101))</f>
        <v>E61106</v>
      </c>
      <c r="Q101" s="104" t="str">
        <f t="shared" si="3"/>
        <v>Erewash</v>
      </c>
      <c r="R101" s="153" t="s">
        <v>1335</v>
      </c>
      <c r="S101" s="192">
        <f t="shared" si="4"/>
        <v>0.122</v>
      </c>
      <c r="T101" s="194">
        <v>0.69199999999999995</v>
      </c>
    </row>
    <row r="102" spans="1:20" x14ac:dyDescent="0.25">
      <c r="A102" s="98">
        <v>99</v>
      </c>
      <c r="B102" s="99" t="s">
        <v>297</v>
      </c>
      <c r="C102" s="100" t="s">
        <v>296</v>
      </c>
      <c r="D102" s="101" t="s">
        <v>260</v>
      </c>
      <c r="E102" s="101" t="s">
        <v>261</v>
      </c>
      <c r="F102" s="101">
        <v>0.4</v>
      </c>
      <c r="G102" s="102">
        <v>0</v>
      </c>
      <c r="H102" s="7" t="s">
        <v>830</v>
      </c>
      <c r="I102" s="7" t="s">
        <v>830</v>
      </c>
      <c r="J102" s="103">
        <v>2.8154409999999999</v>
      </c>
      <c r="K102" s="104" t="s">
        <v>262</v>
      </c>
      <c r="L102" s="104"/>
      <c r="M102" s="99" t="s">
        <v>297</v>
      </c>
      <c r="N102" s="104" t="str">
        <f>IF(K102="","",K102&amp;COUNTIF($K$4:K102,K102))</f>
        <v>Devon Business Rates Pool2</v>
      </c>
      <c r="O102" s="104" t="str">
        <f>IF(D102="NA","NA",D102&amp;COUNTIF($D$4:D102,D102))</f>
        <v>E11212</v>
      </c>
      <c r="P102" s="104" t="str">
        <f>IF(E102="NA","NA",E102&amp;COUNTIF($E$4:E102,E102))</f>
        <v>E61612</v>
      </c>
      <c r="Q102" s="104" t="str">
        <f t="shared" si="3"/>
        <v>Exeter</v>
      </c>
      <c r="R102" s="153" t="s">
        <v>1335</v>
      </c>
      <c r="S102" s="192">
        <f t="shared" si="4"/>
        <v>1.1261764000000001</v>
      </c>
      <c r="T102" s="194">
        <v>0.73699999999999999</v>
      </c>
    </row>
    <row r="103" spans="1:20" x14ac:dyDescent="0.25">
      <c r="A103" s="98">
        <v>100</v>
      </c>
      <c r="B103" s="99" t="s">
        <v>299</v>
      </c>
      <c r="C103" s="100" t="s">
        <v>298</v>
      </c>
      <c r="D103" s="101" t="s">
        <v>83</v>
      </c>
      <c r="E103" s="101" t="s">
        <v>84</v>
      </c>
      <c r="F103" s="101">
        <v>0.4</v>
      </c>
      <c r="G103" s="102">
        <v>0</v>
      </c>
      <c r="H103" s="7" t="s">
        <v>830</v>
      </c>
      <c r="I103" s="7" t="s">
        <v>830</v>
      </c>
      <c r="J103" s="103">
        <v>2.49817008</v>
      </c>
      <c r="K103" s="104"/>
      <c r="L103" s="104"/>
      <c r="M103" s="99" t="s">
        <v>299</v>
      </c>
      <c r="N103" s="104" t="str">
        <f>IF(K103="","",K103&amp;COUNTIF($K$4:K103,K103))</f>
        <v/>
      </c>
      <c r="O103" s="104" t="str">
        <f>IF(D103="NA","NA",D103&amp;COUNTIF($D$4:D103,D103))</f>
        <v>E17214</v>
      </c>
      <c r="P103" s="104" t="str">
        <f>IF(E103="NA","NA",E103&amp;COUNTIF($E$4:E103,E103))</f>
        <v>E61174</v>
      </c>
      <c r="Q103" s="104" t="str">
        <f t="shared" si="3"/>
        <v>Fareham</v>
      </c>
      <c r="R103" s="153" t="s">
        <v>1335</v>
      </c>
      <c r="S103" s="192">
        <f t="shared" si="4"/>
        <v>0.99926803200000003</v>
      </c>
      <c r="T103" s="194">
        <v>0.74199999999999999</v>
      </c>
    </row>
    <row r="104" spans="1:20" x14ac:dyDescent="0.25">
      <c r="A104" s="98">
        <v>101</v>
      </c>
      <c r="B104" s="99" t="s">
        <v>301</v>
      </c>
      <c r="C104" s="100" t="s">
        <v>300</v>
      </c>
      <c r="D104" s="101" t="s">
        <v>165</v>
      </c>
      <c r="E104" s="101" t="s">
        <v>166</v>
      </c>
      <c r="F104" s="101">
        <v>0.4</v>
      </c>
      <c r="G104" s="102">
        <v>0</v>
      </c>
      <c r="H104" s="7" t="s">
        <v>830</v>
      </c>
      <c r="I104" s="7" t="s">
        <v>830</v>
      </c>
      <c r="J104" s="103">
        <v>0.71867199999999998</v>
      </c>
      <c r="K104" s="104"/>
      <c r="L104" s="104"/>
      <c r="M104" s="99" t="s">
        <v>301</v>
      </c>
      <c r="N104" s="104" t="str">
        <f>IF(K104="","",K104&amp;COUNTIF($K$4:K104,K104))</f>
        <v/>
      </c>
      <c r="O104" s="104" t="str">
        <f>IF(D104="NA","NA",D104&amp;COUNTIF($D$4:D104,D104))</f>
        <v>E05213</v>
      </c>
      <c r="P104" s="104" t="str">
        <f>IF(E104="NA","NA",E104&amp;COUNTIF($E$4:E104,E104))</f>
        <v>E61053</v>
      </c>
      <c r="Q104" s="104" t="str">
        <f t="shared" si="3"/>
        <v>Fenland</v>
      </c>
      <c r="R104" s="153" t="s">
        <v>1335</v>
      </c>
      <c r="S104" s="192">
        <f t="shared" si="4"/>
        <v>0.28746880000000002</v>
      </c>
      <c r="T104" s="194">
        <v>0.68100000000000005</v>
      </c>
    </row>
    <row r="105" spans="1:20" x14ac:dyDescent="0.25">
      <c r="A105" s="98">
        <v>102</v>
      </c>
      <c r="B105" s="99" t="s">
        <v>303</v>
      </c>
      <c r="C105" s="100" t="s">
        <v>302</v>
      </c>
      <c r="D105" s="101" t="s">
        <v>64</v>
      </c>
      <c r="E105" s="101" t="s">
        <v>36</v>
      </c>
      <c r="F105" s="101">
        <v>0.4</v>
      </c>
      <c r="G105" s="102">
        <v>0</v>
      </c>
      <c r="H105" s="7" t="s">
        <v>830</v>
      </c>
      <c r="I105" s="7" t="s">
        <v>830</v>
      </c>
      <c r="J105" s="103">
        <v>0.21065400000000001</v>
      </c>
      <c r="K105" s="104" t="s">
        <v>65</v>
      </c>
      <c r="L105" s="104"/>
      <c r="M105" s="99" t="s">
        <v>303</v>
      </c>
      <c r="N105" s="104" t="str">
        <f>IF(K105="","",K105&amp;COUNTIF($K$4:K105,K105))</f>
        <v>Suffolk Business Rates Pool2</v>
      </c>
      <c r="O105" s="104" t="str">
        <f>IF(D105="NA","NA",D105&amp;COUNTIF($D$4:D105,D105))</f>
        <v>E35202</v>
      </c>
      <c r="P105" s="104" t="str">
        <f>IF(E105="NA","NA",E105&amp;COUNTIF($E$4:E105,E105))</f>
        <v>NA</v>
      </c>
      <c r="Q105" s="104" t="str">
        <f t="shared" si="3"/>
        <v>Forest Heath</v>
      </c>
      <c r="R105" s="153" t="s">
        <v>1335</v>
      </c>
      <c r="S105" s="192">
        <f t="shared" si="4"/>
        <v>8.4261600000000006E-2</v>
      </c>
      <c r="T105" s="194">
        <v>0.72099999999999997</v>
      </c>
    </row>
    <row r="106" spans="1:20" x14ac:dyDescent="0.25">
      <c r="A106" s="98">
        <v>103</v>
      </c>
      <c r="B106" s="99" t="s">
        <v>305</v>
      </c>
      <c r="C106" s="100" t="s">
        <v>304</v>
      </c>
      <c r="D106" s="107" t="s">
        <v>187</v>
      </c>
      <c r="E106" s="107" t="s">
        <v>36</v>
      </c>
      <c r="F106" s="101">
        <v>0.4</v>
      </c>
      <c r="G106" s="102">
        <v>0</v>
      </c>
      <c r="H106" s="7" t="s">
        <v>830</v>
      </c>
      <c r="I106" s="7" t="s">
        <v>830</v>
      </c>
      <c r="J106" s="103">
        <v>0.126745</v>
      </c>
      <c r="K106" s="104" t="s">
        <v>188</v>
      </c>
      <c r="L106" s="104"/>
      <c r="M106" s="99" t="s">
        <v>305</v>
      </c>
      <c r="N106" s="104" t="str">
        <f>IF(K106="","",K106&amp;COUNTIF($K$4:K106,K106))</f>
        <v>Gloucestershire Business Rates Pool3</v>
      </c>
      <c r="O106" s="104" t="str">
        <f>IF(D106="NA","NA",D106&amp;COUNTIF($D$4:D106,D106))</f>
        <v>E16203</v>
      </c>
      <c r="P106" s="104" t="str">
        <f>IF(E106="NA","NA",E106&amp;COUNTIF($E$4:E106,E106))</f>
        <v>NA</v>
      </c>
      <c r="Q106" s="104" t="str">
        <f t="shared" si="3"/>
        <v>Forest of Dean</v>
      </c>
      <c r="R106" s="153" t="s">
        <v>1335</v>
      </c>
      <c r="S106" s="192">
        <f t="shared" si="4"/>
        <v>5.0698E-2</v>
      </c>
      <c r="T106" s="194">
        <v>0.63200000000000001</v>
      </c>
    </row>
    <row r="107" spans="1:20" x14ac:dyDescent="0.25">
      <c r="A107" s="98">
        <v>104</v>
      </c>
      <c r="B107" s="99" t="s">
        <v>307</v>
      </c>
      <c r="C107" s="100" t="s">
        <v>306</v>
      </c>
      <c r="D107" s="101" t="s">
        <v>158</v>
      </c>
      <c r="E107" s="101" t="s">
        <v>106</v>
      </c>
      <c r="F107" s="101">
        <v>0.4</v>
      </c>
      <c r="G107" s="102">
        <v>0</v>
      </c>
      <c r="H107" s="7" t="s">
        <v>830</v>
      </c>
      <c r="I107" s="7" t="s">
        <v>830</v>
      </c>
      <c r="J107" s="103">
        <v>0.885656</v>
      </c>
      <c r="K107" s="104" t="s">
        <v>914</v>
      </c>
      <c r="L107" s="104"/>
      <c r="M107" s="99" t="s">
        <v>307</v>
      </c>
      <c r="N107" s="104" t="str">
        <f>IF(K107="","",K107&amp;COUNTIF($K$4:K107,K107))</f>
        <v>Lancashire Business Rates Pool2</v>
      </c>
      <c r="O107" s="104" t="str">
        <f>IF(D107="NA","NA",D107&amp;COUNTIF($D$4:D107,D107))</f>
        <v>E23213</v>
      </c>
      <c r="P107" s="104" t="str">
        <f>IF(E107="NA","NA",E107&amp;COUNTIF($E$4:E107,E107))</f>
        <v>E61235</v>
      </c>
      <c r="Q107" s="104" t="str">
        <f t="shared" si="3"/>
        <v>Fylde</v>
      </c>
      <c r="R107" s="153" t="s">
        <v>1335</v>
      </c>
      <c r="S107" s="192">
        <f t="shared" si="4"/>
        <v>0.35426240000000003</v>
      </c>
      <c r="T107" s="194">
        <v>0.67800000000000005</v>
      </c>
    </row>
    <row r="108" spans="1:20" x14ac:dyDescent="0.25">
      <c r="A108" s="98">
        <v>105</v>
      </c>
      <c r="B108" s="99" t="s">
        <v>309</v>
      </c>
      <c r="C108" s="100" t="s">
        <v>308</v>
      </c>
      <c r="D108" s="101" t="s">
        <v>36</v>
      </c>
      <c r="E108" s="101" t="s">
        <v>310</v>
      </c>
      <c r="F108" s="101">
        <v>0.49</v>
      </c>
      <c r="G108" s="102">
        <v>0</v>
      </c>
      <c r="H108" s="7" t="s">
        <v>830</v>
      </c>
      <c r="I108" s="7" t="s">
        <v>830</v>
      </c>
      <c r="J108" s="103">
        <v>2.70208</v>
      </c>
      <c r="K108" s="104"/>
      <c r="L108" s="104"/>
      <c r="M108" s="99" t="s">
        <v>309</v>
      </c>
      <c r="N108" s="104" t="str">
        <f>IF(K108="","",K108&amp;COUNTIF($K$4:K108,K108))</f>
        <v/>
      </c>
      <c r="O108" s="104" t="str">
        <f>IF(D108="NA","NA",D108&amp;COUNTIF($D$4:D108,D108))</f>
        <v>NA</v>
      </c>
      <c r="P108" s="104" t="str">
        <f>IF(E108="NA","NA",E108&amp;COUNTIF($E$4:E108,E108))</f>
        <v>E61451</v>
      </c>
      <c r="Q108" s="104" t="str">
        <f t="shared" si="3"/>
        <v>Gateshead</v>
      </c>
      <c r="R108" s="153" t="s">
        <v>1335</v>
      </c>
      <c r="S108" s="192">
        <f t="shared" si="4"/>
        <v>1.3240192</v>
      </c>
      <c r="T108" s="194">
        <v>0.69399999999999995</v>
      </c>
    </row>
    <row r="109" spans="1:20" x14ac:dyDescent="0.25">
      <c r="A109" s="98">
        <v>106</v>
      </c>
      <c r="B109" s="99" t="s">
        <v>312</v>
      </c>
      <c r="C109" s="100" t="s">
        <v>311</v>
      </c>
      <c r="D109" s="101" t="s">
        <v>50</v>
      </c>
      <c r="E109" s="101" t="s">
        <v>51</v>
      </c>
      <c r="F109" s="101">
        <v>0.4</v>
      </c>
      <c r="G109" s="102">
        <v>0</v>
      </c>
      <c r="H109" s="7" t="s">
        <v>830</v>
      </c>
      <c r="I109" s="7" t="s">
        <v>830</v>
      </c>
      <c r="J109" s="103">
        <v>0.408636</v>
      </c>
      <c r="K109" s="104" t="s">
        <v>835</v>
      </c>
      <c r="L109" s="104"/>
      <c r="M109" s="99" t="s">
        <v>312</v>
      </c>
      <c r="N109" s="104" t="str">
        <f>IF(K109="","",K109&amp;COUNTIF($K$4:K109,K109))</f>
        <v>Nottingham Business Rates Pool4</v>
      </c>
      <c r="O109" s="104" t="str">
        <f>IF(D109="NA","NA",D109&amp;COUNTIF($D$4:D109,D109))</f>
        <v>E30214</v>
      </c>
      <c r="P109" s="104" t="str">
        <f>IF(E109="NA","NA",E109&amp;COUNTIF($E$4:E109,E109))</f>
        <v>E61304</v>
      </c>
      <c r="Q109" s="104" t="str">
        <f t="shared" si="3"/>
        <v>Gedling</v>
      </c>
      <c r="R109" s="153" t="s">
        <v>1335</v>
      </c>
      <c r="S109" s="192">
        <f t="shared" si="4"/>
        <v>0.1634544</v>
      </c>
      <c r="T109" s="194">
        <v>0.70899999999999996</v>
      </c>
    </row>
    <row r="110" spans="1:20" x14ac:dyDescent="0.25">
      <c r="A110" s="98">
        <v>107</v>
      </c>
      <c r="B110" s="99" t="s">
        <v>314</v>
      </c>
      <c r="C110" s="100" t="s">
        <v>313</v>
      </c>
      <c r="D110" s="107" t="s">
        <v>187</v>
      </c>
      <c r="E110" s="107" t="s">
        <v>36</v>
      </c>
      <c r="F110" s="101">
        <v>0.4</v>
      </c>
      <c r="G110" s="102">
        <v>0</v>
      </c>
      <c r="H110" s="7" t="s">
        <v>830</v>
      </c>
      <c r="I110" s="7" t="s">
        <v>830</v>
      </c>
      <c r="J110" s="103">
        <v>0.526814</v>
      </c>
      <c r="K110" s="104" t="s">
        <v>188</v>
      </c>
      <c r="L110" s="104"/>
      <c r="M110" s="99" t="s">
        <v>314</v>
      </c>
      <c r="N110" s="104" t="str">
        <f>IF(K110="","",K110&amp;COUNTIF($K$4:K110,K110))</f>
        <v>Gloucestershire Business Rates Pool4</v>
      </c>
      <c r="O110" s="104" t="str">
        <f>IF(D110="NA","NA",D110&amp;COUNTIF($D$4:D110,D110))</f>
        <v>E16204</v>
      </c>
      <c r="P110" s="104" t="str">
        <f>IF(E110="NA","NA",E110&amp;COUNTIF($E$4:E110,E110))</f>
        <v>NA</v>
      </c>
      <c r="Q110" s="104" t="str">
        <f t="shared" si="3"/>
        <v>Gloucester</v>
      </c>
      <c r="R110" s="153" t="s">
        <v>1335</v>
      </c>
      <c r="S110" s="192">
        <f t="shared" si="4"/>
        <v>0.21072560000000001</v>
      </c>
      <c r="T110" s="194">
        <v>0.70099999999999996</v>
      </c>
    </row>
    <row r="111" spans="1:20" x14ac:dyDescent="0.25">
      <c r="A111" s="98">
        <v>108</v>
      </c>
      <c r="B111" s="99" t="s">
        <v>316</v>
      </c>
      <c r="C111" s="100" t="s">
        <v>315</v>
      </c>
      <c r="D111" s="101" t="s">
        <v>83</v>
      </c>
      <c r="E111" s="101" t="s">
        <v>84</v>
      </c>
      <c r="F111" s="101">
        <v>0.4</v>
      </c>
      <c r="G111" s="102">
        <v>0</v>
      </c>
      <c r="H111" s="7" t="s">
        <v>830</v>
      </c>
      <c r="I111" s="7" t="s">
        <v>830</v>
      </c>
      <c r="J111" s="103">
        <v>2.503809</v>
      </c>
      <c r="K111" s="104"/>
      <c r="L111" s="104"/>
      <c r="M111" s="99" t="s">
        <v>316</v>
      </c>
      <c r="N111" s="104" t="str">
        <f>IF(K111="","",K111&amp;COUNTIF($K$4:K111,K111))</f>
        <v/>
      </c>
      <c r="O111" s="104" t="str">
        <f>IF(D111="NA","NA",D111&amp;COUNTIF($D$4:D111,D111))</f>
        <v>E17215</v>
      </c>
      <c r="P111" s="104" t="str">
        <f>IF(E111="NA","NA",E111&amp;COUNTIF($E$4:E111,E111))</f>
        <v>E61175</v>
      </c>
      <c r="Q111" s="104" t="str">
        <f t="shared" si="3"/>
        <v>Gosport</v>
      </c>
      <c r="R111" s="153" t="s">
        <v>1335</v>
      </c>
      <c r="S111" s="192">
        <f t="shared" si="4"/>
        <v>1.0015236000000001</v>
      </c>
      <c r="T111" s="194">
        <v>0.68799999999999994</v>
      </c>
    </row>
    <row r="112" spans="1:20" x14ac:dyDescent="0.25">
      <c r="A112" s="98">
        <v>109</v>
      </c>
      <c r="B112" s="99" t="s">
        <v>318</v>
      </c>
      <c r="C112" s="100" t="s">
        <v>317</v>
      </c>
      <c r="D112" s="101" t="s">
        <v>54</v>
      </c>
      <c r="E112" s="101" t="s">
        <v>55</v>
      </c>
      <c r="F112" s="101">
        <v>0.4</v>
      </c>
      <c r="G112" s="102">
        <v>0</v>
      </c>
      <c r="H112" s="7" t="s">
        <v>830</v>
      </c>
      <c r="I112" s="7" t="s">
        <v>830</v>
      </c>
      <c r="J112" s="103">
        <v>0.41919899999999999</v>
      </c>
      <c r="K112" s="104" t="s">
        <v>56</v>
      </c>
      <c r="L112" s="104"/>
      <c r="M112" s="99" t="s">
        <v>318</v>
      </c>
      <c r="N112" s="104" t="str">
        <f>IF(K112="","",K112&amp;COUNTIF($K$4:K112,K112))</f>
        <v>Kent Business Rates Pool4</v>
      </c>
      <c r="O112" s="104" t="str">
        <f>IF(D112="NA","NA",D112&amp;COUNTIF($D$4:D112,D112))</f>
        <v>E22215</v>
      </c>
      <c r="P112" s="104" t="str">
        <f>IF(E112="NA","NA",E112&amp;COUNTIF($E$4:E112,E112))</f>
        <v>E61225</v>
      </c>
      <c r="Q112" s="104" t="str">
        <f t="shared" si="3"/>
        <v>Gravesham</v>
      </c>
      <c r="R112" s="153" t="s">
        <v>1335</v>
      </c>
      <c r="S112" s="192">
        <f t="shared" si="4"/>
        <v>0.16767960000000001</v>
      </c>
      <c r="T112" s="194">
        <v>0.72199999999999998</v>
      </c>
    </row>
    <row r="113" spans="1:20" x14ac:dyDescent="0.25">
      <c r="A113" s="98">
        <v>110</v>
      </c>
      <c r="B113" s="99" t="s">
        <v>320</v>
      </c>
      <c r="C113" s="100" t="s">
        <v>319</v>
      </c>
      <c r="D113" s="101" t="s">
        <v>132</v>
      </c>
      <c r="E113" s="101" t="s">
        <v>36</v>
      </c>
      <c r="F113" s="101">
        <v>0.4</v>
      </c>
      <c r="G113" s="102">
        <v>0</v>
      </c>
      <c r="H113" s="7" t="s">
        <v>830</v>
      </c>
      <c r="I113" s="7" t="s">
        <v>830</v>
      </c>
      <c r="J113" s="103">
        <v>9.4629209999999997</v>
      </c>
      <c r="K113" s="104"/>
      <c r="L113" s="104"/>
      <c r="M113" s="99" t="s">
        <v>320</v>
      </c>
      <c r="N113" s="104" t="str">
        <f>IF(K113="","",K113&amp;COUNTIF($K$4:K113,K113))</f>
        <v/>
      </c>
      <c r="O113" s="104" t="str">
        <f>IF(D113="NA","NA",D113&amp;COUNTIF($D$4:D113,D113))</f>
        <v>E26203</v>
      </c>
      <c r="P113" s="104" t="str">
        <f>IF(E113="NA","NA",E113&amp;COUNTIF($E$4:E113,E113))</f>
        <v>NA</v>
      </c>
      <c r="Q113" s="104" t="str">
        <f t="shared" si="3"/>
        <v>Great Yarmouth</v>
      </c>
      <c r="R113" s="153" t="s">
        <v>1335</v>
      </c>
      <c r="S113" s="192">
        <f t="shared" si="4"/>
        <v>3.7851683999999999</v>
      </c>
      <c r="T113" s="194">
        <v>0.67100000000000004</v>
      </c>
    </row>
    <row r="114" spans="1:20" x14ac:dyDescent="0.25">
      <c r="A114" s="98">
        <v>111</v>
      </c>
      <c r="B114" s="99" t="s">
        <v>322</v>
      </c>
      <c r="C114" s="100" t="s">
        <v>321</v>
      </c>
      <c r="D114" s="101" t="s">
        <v>68</v>
      </c>
      <c r="E114" s="101" t="s">
        <v>36</v>
      </c>
      <c r="F114" s="101">
        <v>0.3</v>
      </c>
      <c r="G114" s="102">
        <v>0</v>
      </c>
      <c r="H114" s="7" t="s">
        <v>830</v>
      </c>
      <c r="I114" s="7" t="s">
        <v>830</v>
      </c>
      <c r="J114" s="103">
        <v>2.758</v>
      </c>
      <c r="K114" s="104"/>
      <c r="L114" s="104"/>
      <c r="M114" s="99" t="s">
        <v>322</v>
      </c>
      <c r="N114" s="104" t="str">
        <f>IF(K114="","",K114&amp;COUNTIF($K$4:K114,K114))</f>
        <v/>
      </c>
      <c r="O114" s="104" t="str">
        <f>IF(D114="NA","NA",D114&amp;COUNTIF($D$4:D114,D114))</f>
        <v>E510011</v>
      </c>
      <c r="P114" s="104" t="str">
        <f>IF(E114="NA","NA",E114&amp;COUNTIF($E$4:E114,E114))</f>
        <v>NA</v>
      </c>
      <c r="Q114" s="104" t="str">
        <f t="shared" si="3"/>
        <v>Greenwich</v>
      </c>
      <c r="R114" s="153" t="s">
        <v>1335</v>
      </c>
      <c r="S114" s="192">
        <f t="shared" si="4"/>
        <v>0.82740000000000002</v>
      </c>
      <c r="T114" s="194">
        <v>0.73499999999999999</v>
      </c>
    </row>
    <row r="115" spans="1:20" x14ac:dyDescent="0.25">
      <c r="A115" s="98">
        <v>112</v>
      </c>
      <c r="B115" s="99" t="s">
        <v>324</v>
      </c>
      <c r="C115" s="100" t="s">
        <v>323</v>
      </c>
      <c r="D115" s="101" t="s">
        <v>287</v>
      </c>
      <c r="E115" s="101" t="s">
        <v>36</v>
      </c>
      <c r="F115" s="101">
        <v>0.4</v>
      </c>
      <c r="G115" s="102">
        <v>0</v>
      </c>
      <c r="H115" s="7" t="s">
        <v>837</v>
      </c>
      <c r="I115" s="7" t="s">
        <v>830</v>
      </c>
      <c r="J115" s="103">
        <v>2.8</v>
      </c>
      <c r="K115" s="104" t="s">
        <v>929</v>
      </c>
      <c r="L115" s="104"/>
      <c r="M115" s="99" t="s">
        <v>324</v>
      </c>
      <c r="N115" s="104" t="str">
        <f>IF(K115="","",K115&amp;COUNTIF($K$4:K115,K115))</f>
        <v>Surrey-Croydon Business Rates Pool3</v>
      </c>
      <c r="O115" s="104" t="str">
        <f>IF(D115="NA","NA",D115&amp;COUNTIF($D$4:D115,D115))</f>
        <v>E36203</v>
      </c>
      <c r="P115" s="104" t="str">
        <f>IF(E115="NA","NA",E115&amp;COUNTIF($E$4:E115,E115))</f>
        <v>NA</v>
      </c>
      <c r="Q115" s="104" t="str">
        <f t="shared" si="3"/>
        <v>Guildford</v>
      </c>
      <c r="R115" s="153" t="s">
        <v>1335</v>
      </c>
      <c r="S115" s="192">
        <f t="shared" si="4"/>
        <v>1.1199999999999999</v>
      </c>
      <c r="T115" s="194">
        <v>0.746</v>
      </c>
    </row>
    <row r="116" spans="1:20" x14ac:dyDescent="0.25">
      <c r="A116" s="98">
        <v>113</v>
      </c>
      <c r="B116" s="99" t="s">
        <v>326</v>
      </c>
      <c r="C116" s="100" t="s">
        <v>325</v>
      </c>
      <c r="D116" s="101" t="s">
        <v>68</v>
      </c>
      <c r="E116" s="101" t="s">
        <v>36</v>
      </c>
      <c r="F116" s="101">
        <v>0.3</v>
      </c>
      <c r="G116" s="102">
        <v>0</v>
      </c>
      <c r="H116" s="7" t="s">
        <v>830</v>
      </c>
      <c r="I116" s="7" t="s">
        <v>837</v>
      </c>
      <c r="J116" s="103">
        <v>2.037531</v>
      </c>
      <c r="K116" s="104"/>
      <c r="L116" s="104"/>
      <c r="M116" s="99" t="s">
        <v>326</v>
      </c>
      <c r="N116" s="104" t="str">
        <f>IF(K116="","",K116&amp;COUNTIF($K$4:K116,K116))</f>
        <v/>
      </c>
      <c r="O116" s="104" t="str">
        <f>IF(D116="NA","NA",D116&amp;COUNTIF($D$4:D116,D116))</f>
        <v>E510012</v>
      </c>
      <c r="P116" s="104" t="str">
        <f>IF(E116="NA","NA",E116&amp;COUNTIF($E$4:E116,E116))</f>
        <v>NA</v>
      </c>
      <c r="Q116" s="104" t="str">
        <f t="shared" si="3"/>
        <v>Hackney</v>
      </c>
      <c r="R116" s="153" t="s">
        <v>1335</v>
      </c>
      <c r="S116" s="192">
        <f t="shared" si="4"/>
        <v>0.61125929999999995</v>
      </c>
      <c r="T116" s="194">
        <v>0.78100000000000003</v>
      </c>
    </row>
    <row r="117" spans="1:20" x14ac:dyDescent="0.25">
      <c r="A117" s="98">
        <v>114</v>
      </c>
      <c r="B117" s="99" t="s">
        <v>328</v>
      </c>
      <c r="C117" s="100" t="s">
        <v>327</v>
      </c>
      <c r="D117" s="101" t="s">
        <v>36</v>
      </c>
      <c r="E117" s="101" t="s">
        <v>194</v>
      </c>
      <c r="F117" s="101">
        <v>0.49</v>
      </c>
      <c r="G117" s="102">
        <v>0</v>
      </c>
      <c r="H117" s="7" t="s">
        <v>830</v>
      </c>
      <c r="I117" s="7" t="s">
        <v>830</v>
      </c>
      <c r="J117" s="103">
        <v>3.6198039999999998</v>
      </c>
      <c r="K117" s="104" t="s">
        <v>993</v>
      </c>
      <c r="L117" s="153" t="s">
        <v>1272</v>
      </c>
      <c r="M117" s="99" t="s">
        <v>328</v>
      </c>
      <c r="N117" s="104" t="str">
        <f>IF(K117="","",K117&amp;COUNTIF($K$4:K117,K117))</f>
        <v>Mid Merseyside Business Rates Pool1</v>
      </c>
      <c r="O117" s="104" t="str">
        <f>IF(D117="NA","NA",D117&amp;COUNTIF($D$4:D117,D117))</f>
        <v>NA</v>
      </c>
      <c r="P117" s="104" t="str">
        <f>IF(E117="NA","NA",E117&amp;COUNTIF($E$4:E117,E117))</f>
        <v>E61063</v>
      </c>
      <c r="Q117" s="104" t="str">
        <f t="shared" si="3"/>
        <v>Halton</v>
      </c>
      <c r="R117" s="153" t="s">
        <v>1335</v>
      </c>
      <c r="S117" s="192">
        <f t="shared" si="4"/>
        <v>1.77370396</v>
      </c>
      <c r="T117" s="194">
        <v>0.69899999999999995</v>
      </c>
    </row>
    <row r="118" spans="1:20" x14ac:dyDescent="0.25">
      <c r="A118" s="98">
        <v>115</v>
      </c>
      <c r="B118" s="99" t="s">
        <v>330</v>
      </c>
      <c r="C118" s="100" t="s">
        <v>329</v>
      </c>
      <c r="D118" s="101" t="s">
        <v>226</v>
      </c>
      <c r="E118" s="101" t="s">
        <v>227</v>
      </c>
      <c r="F118" s="101">
        <v>0.4</v>
      </c>
      <c r="G118" s="102">
        <v>0</v>
      </c>
      <c r="H118" s="7" t="s">
        <v>830</v>
      </c>
      <c r="I118" s="7" t="s">
        <v>830</v>
      </c>
      <c r="J118" s="103">
        <v>0.53701399999999999</v>
      </c>
      <c r="K118" s="104" t="s">
        <v>817</v>
      </c>
      <c r="L118" s="104"/>
      <c r="M118" s="99" t="s">
        <v>330</v>
      </c>
      <c r="N118" s="104" t="str">
        <f>IF(K118="","",K118&amp;COUNTIF($K$4:K118,K118))</f>
        <v>North Yorkshire Business Rates Pool2</v>
      </c>
      <c r="O118" s="104" t="str">
        <f>IF(D118="NA","NA",D118&amp;COUNTIF($D$4:D118,D118))</f>
        <v>E27212</v>
      </c>
      <c r="P118" s="104" t="str">
        <f>IF(E118="NA","NA",E118&amp;COUNTIF($E$4:E118,E118))</f>
        <v>E61272</v>
      </c>
      <c r="Q118" s="104" t="str">
        <f t="shared" si="3"/>
        <v>Hambleton</v>
      </c>
      <c r="R118" s="153" t="s">
        <v>1335</v>
      </c>
      <c r="S118" s="192">
        <f t="shared" si="4"/>
        <v>0.21480560000000001</v>
      </c>
      <c r="T118" s="194">
        <v>0.68600000000000005</v>
      </c>
    </row>
    <row r="119" spans="1:20" x14ac:dyDescent="0.25">
      <c r="A119" s="98">
        <v>116</v>
      </c>
      <c r="B119" s="99" t="s">
        <v>332</v>
      </c>
      <c r="C119" s="100" t="s">
        <v>331</v>
      </c>
      <c r="D119" s="101" t="s">
        <v>68</v>
      </c>
      <c r="E119" s="101" t="s">
        <v>36</v>
      </c>
      <c r="F119" s="101">
        <v>0.3</v>
      </c>
      <c r="G119" s="102">
        <v>0</v>
      </c>
      <c r="H119" s="7" t="s">
        <v>830</v>
      </c>
      <c r="I119" s="7" t="s">
        <v>830</v>
      </c>
      <c r="J119" s="103">
        <v>29.375202999999999</v>
      </c>
      <c r="K119" s="104"/>
      <c r="L119" s="104"/>
      <c r="M119" s="99" t="s">
        <v>332</v>
      </c>
      <c r="N119" s="104" t="str">
        <f>IF(K119="","",K119&amp;COUNTIF($K$4:K119,K119))</f>
        <v/>
      </c>
      <c r="O119" s="104" t="str">
        <f>IF(D119="NA","NA",D119&amp;COUNTIF($D$4:D119,D119))</f>
        <v>E510013</v>
      </c>
      <c r="P119" s="104" t="str">
        <f>IF(E119="NA","NA",E119&amp;COUNTIF($E$4:E119,E119))</f>
        <v>NA</v>
      </c>
      <c r="Q119" s="104" t="str">
        <f t="shared" si="3"/>
        <v>Hammersmith and Fulham</v>
      </c>
      <c r="R119" s="153" t="s">
        <v>1335</v>
      </c>
      <c r="S119" s="192">
        <f t="shared" si="4"/>
        <v>8.8125608999999994</v>
      </c>
      <c r="T119" s="194">
        <v>0.78400000000000003</v>
      </c>
    </row>
    <row r="120" spans="1:20" x14ac:dyDescent="0.25">
      <c r="A120" s="98">
        <v>117</v>
      </c>
      <c r="B120" s="99" t="s">
        <v>334</v>
      </c>
      <c r="C120" s="100" t="s">
        <v>333</v>
      </c>
      <c r="D120" s="101" t="s">
        <v>101</v>
      </c>
      <c r="E120" s="101" t="s">
        <v>102</v>
      </c>
      <c r="F120" s="101">
        <v>0.4</v>
      </c>
      <c r="G120" s="102">
        <v>0</v>
      </c>
      <c r="H120" s="7" t="s">
        <v>830</v>
      </c>
      <c r="I120" s="7" t="s">
        <v>830</v>
      </c>
      <c r="J120" s="103">
        <v>0.36576399999999998</v>
      </c>
      <c r="K120" s="104" t="s">
        <v>103</v>
      </c>
      <c r="L120" s="104"/>
      <c r="M120" s="99" t="s">
        <v>334</v>
      </c>
      <c r="N120" s="104" t="str">
        <f>IF(K120="","",K120&amp;COUNTIF($K$4:K120,K120))</f>
        <v>Leicestershire Business Rates Pool3</v>
      </c>
      <c r="O120" s="104" t="str">
        <f>IF(D120="NA","NA",D120&amp;COUNTIF($D$4:D120,D120))</f>
        <v>E24213</v>
      </c>
      <c r="P120" s="104" t="str">
        <f>IF(E120="NA","NA",E120&amp;COUNTIF($E$4:E120,E120))</f>
        <v>E61243</v>
      </c>
      <c r="Q120" s="104" t="str">
        <f t="shared" si="3"/>
        <v>Harborough</v>
      </c>
      <c r="R120" s="153" t="s">
        <v>1335</v>
      </c>
      <c r="S120" s="192">
        <f t="shared" si="4"/>
        <v>0.14630560000000001</v>
      </c>
      <c r="T120" s="194">
        <v>0.72099999999999997</v>
      </c>
    </row>
    <row r="121" spans="1:20" x14ac:dyDescent="0.25">
      <c r="A121" s="98">
        <v>118</v>
      </c>
      <c r="B121" s="99" t="s">
        <v>336</v>
      </c>
      <c r="C121" s="100" t="s">
        <v>335</v>
      </c>
      <c r="D121" s="101" t="s">
        <v>68</v>
      </c>
      <c r="E121" s="101" t="s">
        <v>36</v>
      </c>
      <c r="F121" s="101">
        <v>0.3</v>
      </c>
      <c r="G121" s="102">
        <v>0</v>
      </c>
      <c r="H121" s="7" t="s">
        <v>830</v>
      </c>
      <c r="I121" s="7" t="s">
        <v>830</v>
      </c>
      <c r="J121" s="103">
        <v>1.002921</v>
      </c>
      <c r="K121" s="104"/>
      <c r="L121" s="104"/>
      <c r="M121" s="99" t="s">
        <v>336</v>
      </c>
      <c r="N121" s="104" t="str">
        <f>IF(K121="","",K121&amp;COUNTIF($K$4:K121,K121))</f>
        <v/>
      </c>
      <c r="O121" s="104" t="str">
        <f>IF(D121="NA","NA",D121&amp;COUNTIF($D$4:D121,D121))</f>
        <v>E510014</v>
      </c>
      <c r="P121" s="104" t="str">
        <f>IF(E121="NA","NA",E121&amp;COUNTIF($E$4:E121,E121))</f>
        <v>NA</v>
      </c>
      <c r="Q121" s="104" t="str">
        <f t="shared" si="3"/>
        <v>Haringey</v>
      </c>
      <c r="R121" s="153" t="s">
        <v>1335</v>
      </c>
      <c r="S121" s="192">
        <f t="shared" si="4"/>
        <v>0.30087629999999999</v>
      </c>
      <c r="T121" s="194">
        <v>0.77500000000000002</v>
      </c>
    </row>
    <row r="122" spans="1:20" x14ac:dyDescent="0.25">
      <c r="A122" s="98">
        <v>119</v>
      </c>
      <c r="B122" s="99" t="s">
        <v>338</v>
      </c>
      <c r="C122" s="100" t="s">
        <v>337</v>
      </c>
      <c r="D122" s="101" t="s">
        <v>79</v>
      </c>
      <c r="E122" s="101" t="s">
        <v>80</v>
      </c>
      <c r="F122" s="101">
        <v>0.4</v>
      </c>
      <c r="G122" s="102">
        <v>0</v>
      </c>
      <c r="H122" s="7" t="s">
        <v>830</v>
      </c>
      <c r="I122" s="7" t="s">
        <v>830</v>
      </c>
      <c r="J122" s="103">
        <v>2.4561299999999999</v>
      </c>
      <c r="K122" s="104"/>
      <c r="L122" s="104"/>
      <c r="M122" s="99" t="s">
        <v>338</v>
      </c>
      <c r="N122" s="104" t="str">
        <f>IF(K122="","",K122&amp;COUNTIF($K$4:K122,K122))</f>
        <v/>
      </c>
      <c r="O122" s="104" t="str">
        <f>IF(D122="NA","NA",D122&amp;COUNTIF($D$4:D122,D122))</f>
        <v>E15218</v>
      </c>
      <c r="P122" s="104" t="str">
        <f>IF(E122="NA","NA",E122&amp;COUNTIF($E$4:E122,E122))</f>
        <v>E61158</v>
      </c>
      <c r="Q122" s="104" t="str">
        <f t="shared" si="3"/>
        <v>Harlow</v>
      </c>
      <c r="R122" s="153" t="s">
        <v>1335</v>
      </c>
      <c r="S122" s="192">
        <f t="shared" si="4"/>
        <v>0.98245199999999999</v>
      </c>
      <c r="T122" s="194">
        <v>0.77100000000000002</v>
      </c>
    </row>
    <row r="123" spans="1:20" x14ac:dyDescent="0.25">
      <c r="A123" s="98">
        <v>120</v>
      </c>
      <c r="B123" s="99" t="s">
        <v>340</v>
      </c>
      <c r="C123" s="100" t="s">
        <v>339</v>
      </c>
      <c r="D123" s="101" t="s">
        <v>226</v>
      </c>
      <c r="E123" s="101" t="s">
        <v>227</v>
      </c>
      <c r="F123" s="101">
        <v>0.4</v>
      </c>
      <c r="G123" s="102">
        <v>0</v>
      </c>
      <c r="H123" s="7" t="s">
        <v>830</v>
      </c>
      <c r="I123" s="7" t="s">
        <v>830</v>
      </c>
      <c r="J123" s="103">
        <v>0.99532600000000004</v>
      </c>
      <c r="K123" s="104" t="s">
        <v>126</v>
      </c>
      <c r="L123" s="104"/>
      <c r="M123" s="99" t="s">
        <v>340</v>
      </c>
      <c r="N123" s="104" t="str">
        <f>IF(K123="","",K123&amp;COUNTIF($K$4:K123,K123))</f>
        <v>Leeds City Region Business Rates Pool3</v>
      </c>
      <c r="O123" s="104" t="str">
        <f>IF(D123="NA","NA",D123&amp;COUNTIF($D$4:D123,D123))</f>
        <v>E27213</v>
      </c>
      <c r="P123" s="104" t="str">
        <f>IF(E123="NA","NA",E123&amp;COUNTIF($E$4:E123,E123))</f>
        <v>E61273</v>
      </c>
      <c r="Q123" s="104" t="str">
        <f t="shared" si="3"/>
        <v>Harrogate</v>
      </c>
      <c r="R123" s="153" t="s">
        <v>1335</v>
      </c>
      <c r="S123" s="192">
        <f t="shared" si="4"/>
        <v>0.39813040000000005</v>
      </c>
      <c r="T123" s="194">
        <v>0.69099999999999995</v>
      </c>
    </row>
    <row r="124" spans="1:20" x14ac:dyDescent="0.25">
      <c r="A124" s="98">
        <v>121</v>
      </c>
      <c r="B124" s="99" t="s">
        <v>342</v>
      </c>
      <c r="C124" s="100" t="s">
        <v>341</v>
      </c>
      <c r="D124" s="101" t="s">
        <v>68</v>
      </c>
      <c r="E124" s="101" t="s">
        <v>36</v>
      </c>
      <c r="F124" s="101">
        <v>0.3</v>
      </c>
      <c r="G124" s="102">
        <v>0</v>
      </c>
      <c r="H124" s="7" t="s">
        <v>830</v>
      </c>
      <c r="I124" s="7" t="s">
        <v>830</v>
      </c>
      <c r="J124" s="103">
        <v>0</v>
      </c>
      <c r="K124" s="104"/>
      <c r="L124" s="104"/>
      <c r="M124" s="99" t="s">
        <v>342</v>
      </c>
      <c r="N124" s="104" t="str">
        <f>IF(K124="","",K124&amp;COUNTIF($K$4:K124,K124))</f>
        <v/>
      </c>
      <c r="O124" s="104" t="str">
        <f>IF(D124="NA","NA",D124&amp;COUNTIF($D$4:D124,D124))</f>
        <v>E510015</v>
      </c>
      <c r="P124" s="104" t="str">
        <f>IF(E124="NA","NA",E124&amp;COUNTIF($E$4:E124,E124))</f>
        <v>NA</v>
      </c>
      <c r="Q124" s="104" t="str">
        <f t="shared" si="3"/>
        <v>Harrow</v>
      </c>
      <c r="R124" s="153" t="s">
        <v>1335</v>
      </c>
      <c r="S124" s="192">
        <f t="shared" si="4"/>
        <v>0</v>
      </c>
      <c r="T124" s="194">
        <v>0.77800000000000002</v>
      </c>
    </row>
    <row r="125" spans="1:20" x14ac:dyDescent="0.25">
      <c r="A125" s="98">
        <v>122</v>
      </c>
      <c r="B125" s="99" t="s">
        <v>344</v>
      </c>
      <c r="C125" s="100" t="s">
        <v>343</v>
      </c>
      <c r="D125" s="101" t="s">
        <v>83</v>
      </c>
      <c r="E125" s="101" t="s">
        <v>84</v>
      </c>
      <c r="F125" s="101">
        <v>0.4</v>
      </c>
      <c r="G125" s="102">
        <v>0</v>
      </c>
      <c r="H125" s="7" t="s">
        <v>830</v>
      </c>
      <c r="I125" s="7" t="s">
        <v>830</v>
      </c>
      <c r="J125" s="103">
        <v>1.4386545800000001</v>
      </c>
      <c r="K125" s="104"/>
      <c r="L125" s="104"/>
      <c r="M125" s="99" t="s">
        <v>344</v>
      </c>
      <c r="N125" s="104" t="str">
        <f>IF(K125="","",K125&amp;COUNTIF($K$4:K125,K125))</f>
        <v/>
      </c>
      <c r="O125" s="104" t="str">
        <f>IF(D125="NA","NA",D125&amp;COUNTIF($D$4:D125,D125))</f>
        <v>E17216</v>
      </c>
      <c r="P125" s="104" t="str">
        <f>IF(E125="NA","NA",E125&amp;COUNTIF($E$4:E125,E125))</f>
        <v>E61176</v>
      </c>
      <c r="Q125" s="104" t="str">
        <f t="shared" si="3"/>
        <v>Hart</v>
      </c>
      <c r="R125" s="153" t="s">
        <v>1335</v>
      </c>
      <c r="S125" s="192">
        <f t="shared" si="4"/>
        <v>0.57546183200000012</v>
      </c>
      <c r="T125" s="194">
        <v>0.76700000000000002</v>
      </c>
    </row>
    <row r="126" spans="1:20" x14ac:dyDescent="0.25">
      <c r="A126" s="98">
        <v>123</v>
      </c>
      <c r="B126" s="99" t="s">
        <v>346</v>
      </c>
      <c r="C126" s="100" t="s">
        <v>345</v>
      </c>
      <c r="D126" s="107" t="s">
        <v>36</v>
      </c>
      <c r="E126" s="107" t="s">
        <v>347</v>
      </c>
      <c r="F126" s="101">
        <v>0.49</v>
      </c>
      <c r="G126" s="102">
        <v>0</v>
      </c>
      <c r="H126" s="7" t="s">
        <v>830</v>
      </c>
      <c r="I126" s="7" t="s">
        <v>830</v>
      </c>
      <c r="J126" s="103">
        <v>2.9230610000000001</v>
      </c>
      <c r="K126" s="104"/>
      <c r="L126" s="104"/>
      <c r="M126" s="99" t="s">
        <v>346</v>
      </c>
      <c r="N126" s="104" t="str">
        <f>IF(K126="","",K126&amp;COUNTIF($K$4:K126,K126))</f>
        <v/>
      </c>
      <c r="O126" s="104" t="str">
        <f>IF(D126="NA","NA",D126&amp;COUNTIF($D$4:D126,D126))</f>
        <v>NA</v>
      </c>
      <c r="P126" s="104" t="str">
        <f>IF(E126="NA","NA",E126&amp;COUNTIF($E$4:E126,E126))</f>
        <v>E61071</v>
      </c>
      <c r="Q126" s="104" t="str">
        <f t="shared" si="3"/>
        <v>Hartlepool</v>
      </c>
      <c r="R126" s="153" t="s">
        <v>1335</v>
      </c>
      <c r="S126" s="192">
        <f t="shared" si="4"/>
        <v>1.4322998900000001</v>
      </c>
      <c r="T126" s="194">
        <v>0.66600000000000004</v>
      </c>
    </row>
    <row r="127" spans="1:20" x14ac:dyDescent="0.25">
      <c r="A127" s="98">
        <v>124</v>
      </c>
      <c r="B127" s="99" t="s">
        <v>349</v>
      </c>
      <c r="C127" s="100" t="s">
        <v>348</v>
      </c>
      <c r="D127" s="101" t="s">
        <v>280</v>
      </c>
      <c r="E127" s="101" t="s">
        <v>140</v>
      </c>
      <c r="F127" s="101">
        <v>0.4</v>
      </c>
      <c r="G127" s="102">
        <v>0</v>
      </c>
      <c r="H127" s="7" t="s">
        <v>830</v>
      </c>
      <c r="I127" s="7" t="s">
        <v>830</v>
      </c>
      <c r="J127" s="103">
        <v>1.285188</v>
      </c>
      <c r="K127" s="104"/>
      <c r="L127" s="104"/>
      <c r="M127" s="99" t="s">
        <v>349</v>
      </c>
      <c r="N127" s="104" t="str">
        <f>IF(K127="","",K127&amp;COUNTIF($K$4:K127,K127))</f>
        <v/>
      </c>
      <c r="O127" s="104" t="str">
        <f>IF(D127="NA","NA",D127&amp;COUNTIF($D$4:D127,D127))</f>
        <v>E14212</v>
      </c>
      <c r="P127" s="104" t="str">
        <f>IF(E127="NA","NA",E127&amp;COUNTIF($E$4:E127,E127))</f>
        <v>E61143</v>
      </c>
      <c r="Q127" s="104" t="str">
        <f t="shared" si="3"/>
        <v>Hastings</v>
      </c>
      <c r="R127" s="153" t="s">
        <v>1335</v>
      </c>
      <c r="S127" s="192">
        <f t="shared" si="4"/>
        <v>0.51407520000000007</v>
      </c>
      <c r="T127" s="194">
        <v>0.66900000000000004</v>
      </c>
    </row>
    <row r="128" spans="1:20" x14ac:dyDescent="0.25">
      <c r="A128" s="98">
        <v>125</v>
      </c>
      <c r="B128" s="99" t="s">
        <v>351</v>
      </c>
      <c r="C128" s="100" t="s">
        <v>350</v>
      </c>
      <c r="D128" s="101" t="s">
        <v>83</v>
      </c>
      <c r="E128" s="101" t="s">
        <v>84</v>
      </c>
      <c r="F128" s="101">
        <v>0.4</v>
      </c>
      <c r="G128" s="102">
        <v>0</v>
      </c>
      <c r="H128" s="7" t="s">
        <v>830</v>
      </c>
      <c r="I128" s="7" t="s">
        <v>830</v>
      </c>
      <c r="J128" s="103">
        <v>0.66146099999999997</v>
      </c>
      <c r="K128" s="104"/>
      <c r="L128" s="104"/>
      <c r="M128" s="99" t="s">
        <v>351</v>
      </c>
      <c r="N128" s="104" t="str">
        <f>IF(K128="","",K128&amp;COUNTIF($K$4:K128,K128))</f>
        <v/>
      </c>
      <c r="O128" s="104" t="str">
        <f>IF(D128="NA","NA",D128&amp;COUNTIF($D$4:D128,D128))</f>
        <v>E17217</v>
      </c>
      <c r="P128" s="104" t="str">
        <f>IF(E128="NA","NA",E128&amp;COUNTIF($E$4:E128,E128))</f>
        <v>E61177</v>
      </c>
      <c r="Q128" s="104" t="str">
        <f t="shared" si="3"/>
        <v>Havant</v>
      </c>
      <c r="R128" s="153" t="s">
        <v>1335</v>
      </c>
      <c r="S128" s="192">
        <f t="shared" si="4"/>
        <v>0.2645844</v>
      </c>
      <c r="T128" s="194">
        <v>0.70699999999999996</v>
      </c>
    </row>
    <row r="129" spans="1:20" x14ac:dyDescent="0.25">
      <c r="A129" s="98">
        <v>126</v>
      </c>
      <c r="B129" s="99" t="s">
        <v>353</v>
      </c>
      <c r="C129" s="100" t="s">
        <v>352</v>
      </c>
      <c r="D129" s="101" t="s">
        <v>68</v>
      </c>
      <c r="E129" s="101" t="s">
        <v>36</v>
      </c>
      <c r="F129" s="101">
        <v>0.3</v>
      </c>
      <c r="G129" s="102">
        <v>0</v>
      </c>
      <c r="H129" s="7" t="s">
        <v>830</v>
      </c>
      <c r="I129" s="7" t="s">
        <v>830</v>
      </c>
      <c r="J129" s="103">
        <v>4.6271840700000002</v>
      </c>
      <c r="K129" s="104" t="s">
        <v>69</v>
      </c>
      <c r="L129" s="104"/>
      <c r="M129" s="99" t="s">
        <v>353</v>
      </c>
      <c r="N129" s="104" t="str">
        <f>IF(K129="","",K129&amp;COUNTIF($K$4:K129,K129))</f>
        <v>East London / South Essex Business Rates Pool3</v>
      </c>
      <c r="O129" s="104" t="str">
        <f>IF(D129="NA","NA",D129&amp;COUNTIF($D$4:D129,D129))</f>
        <v>E510016</v>
      </c>
      <c r="P129" s="104" t="str">
        <f>IF(E129="NA","NA",E129&amp;COUNTIF($E$4:E129,E129))</f>
        <v>NA</v>
      </c>
      <c r="Q129" s="104" t="str">
        <f t="shared" si="3"/>
        <v>Havering</v>
      </c>
      <c r="R129" s="153" t="s">
        <v>1335</v>
      </c>
      <c r="S129" s="192">
        <f t="shared" si="4"/>
        <v>1.3881552210000001</v>
      </c>
      <c r="T129" s="194">
        <v>0.76500000000000001</v>
      </c>
    </row>
    <row r="130" spans="1:20" x14ac:dyDescent="0.25">
      <c r="A130" s="98">
        <v>127</v>
      </c>
      <c r="B130" s="99" t="s">
        <v>355</v>
      </c>
      <c r="C130" s="100" t="s">
        <v>354</v>
      </c>
      <c r="D130" s="101" t="s">
        <v>36</v>
      </c>
      <c r="E130" s="101" t="s">
        <v>150</v>
      </c>
      <c r="F130" s="101">
        <v>0.49</v>
      </c>
      <c r="G130" s="102">
        <v>0</v>
      </c>
      <c r="H130" s="7" t="s">
        <v>837</v>
      </c>
      <c r="I130" s="7" t="s">
        <v>830</v>
      </c>
      <c r="J130" s="103">
        <v>1.6031949999999999</v>
      </c>
      <c r="K130" s="104"/>
      <c r="L130" s="104"/>
      <c r="M130" s="99" t="s">
        <v>355</v>
      </c>
      <c r="N130" s="104" t="str">
        <f>IF(K130="","",K130&amp;COUNTIF($K$4:K130,K130))</f>
        <v/>
      </c>
      <c r="O130" s="104" t="str">
        <f>IF(D130="NA","NA",D130&amp;COUNTIF($D$4:D130,D130))</f>
        <v>NA</v>
      </c>
      <c r="P130" s="104" t="str">
        <f>IF(E130="NA","NA",E130&amp;COUNTIF($E$4:E130,E130))</f>
        <v>E61182</v>
      </c>
      <c r="Q130" s="104" t="str">
        <f t="shared" si="3"/>
        <v>Herefordshire</v>
      </c>
      <c r="R130" s="153" t="s">
        <v>1335</v>
      </c>
      <c r="S130" s="192">
        <f t="shared" si="4"/>
        <v>0.78556554999999995</v>
      </c>
      <c r="T130" s="194">
        <v>0.66800000000000004</v>
      </c>
    </row>
    <row r="131" spans="1:20" x14ac:dyDescent="0.25">
      <c r="A131" s="98">
        <v>128</v>
      </c>
      <c r="B131" s="99" t="s">
        <v>357</v>
      </c>
      <c r="C131" s="100" t="s">
        <v>356</v>
      </c>
      <c r="D131" s="101" t="s">
        <v>153</v>
      </c>
      <c r="E131" s="101" t="s">
        <v>36</v>
      </c>
      <c r="F131" s="101">
        <v>0.4</v>
      </c>
      <c r="G131" s="102">
        <v>0</v>
      </c>
      <c r="H131" s="7" t="s">
        <v>830</v>
      </c>
      <c r="I131" s="7" t="s">
        <v>830</v>
      </c>
      <c r="J131" s="103">
        <v>4.2106244000000004</v>
      </c>
      <c r="K131" s="104"/>
      <c r="L131" s="104"/>
      <c r="M131" s="99" t="s">
        <v>357</v>
      </c>
      <c r="N131" s="104" t="str">
        <f>IF(K131="","",K131&amp;COUNTIF($K$4:K131,K131))</f>
        <v/>
      </c>
      <c r="O131" s="104" t="str">
        <f>IF(D131="NA","NA",D131&amp;COUNTIF($D$4:D131,D131))</f>
        <v>E19204</v>
      </c>
      <c r="P131" s="104" t="str">
        <f>IF(E131="NA","NA",E131&amp;COUNTIF($E$4:E131,E131))</f>
        <v>NA</v>
      </c>
      <c r="Q131" s="104" t="str">
        <f t="shared" si="3"/>
        <v>Hertsmere</v>
      </c>
      <c r="R131" s="153" t="s">
        <v>1335</v>
      </c>
      <c r="S131" s="192">
        <f t="shared" si="4"/>
        <v>1.6842497600000002</v>
      </c>
      <c r="T131" s="194">
        <v>0.76200000000000001</v>
      </c>
    </row>
    <row r="132" spans="1:20" x14ac:dyDescent="0.25">
      <c r="A132" s="98">
        <v>129</v>
      </c>
      <c r="B132" s="99" t="s">
        <v>359</v>
      </c>
      <c r="C132" s="100" t="s">
        <v>358</v>
      </c>
      <c r="D132" s="101" t="s">
        <v>44</v>
      </c>
      <c r="E132" s="101" t="s">
        <v>45</v>
      </c>
      <c r="F132" s="101">
        <v>0.4</v>
      </c>
      <c r="G132" s="102">
        <v>0</v>
      </c>
      <c r="H132" s="7" t="s">
        <v>830</v>
      </c>
      <c r="I132" s="7" t="s">
        <v>830</v>
      </c>
      <c r="J132" s="103">
        <v>0.20705599999999999</v>
      </c>
      <c r="K132" s="104" t="s">
        <v>1</v>
      </c>
      <c r="L132" s="104"/>
      <c r="M132" s="99" t="s">
        <v>359</v>
      </c>
      <c r="N132" s="104" t="str">
        <f>IF(K132="","",K132&amp;COUNTIF($K$4:K132,K132))</f>
        <v>Derbyshire Business Rates Pool7</v>
      </c>
      <c r="O132" s="104" t="str">
        <f>IF(D132="NA","NA",D132&amp;COUNTIF($D$4:D132,D132))</f>
        <v>E10216</v>
      </c>
      <c r="P132" s="104" t="str">
        <f>IF(E132="NA","NA",E132&amp;COUNTIF($E$4:E132,E132))</f>
        <v>E61107</v>
      </c>
      <c r="Q132" s="104" t="str">
        <f t="shared" si="3"/>
        <v>High Peak</v>
      </c>
      <c r="R132" s="153" t="s">
        <v>1335</v>
      </c>
      <c r="S132" s="192">
        <f t="shared" si="4"/>
        <v>8.2822400000000004E-2</v>
      </c>
      <c r="T132" s="194">
        <v>0.68200000000000005</v>
      </c>
    </row>
    <row r="133" spans="1:20" x14ac:dyDescent="0.25">
      <c r="A133" s="98">
        <v>130</v>
      </c>
      <c r="B133" s="99" t="s">
        <v>361</v>
      </c>
      <c r="C133" s="100" t="s">
        <v>360</v>
      </c>
      <c r="D133" s="101" t="s">
        <v>68</v>
      </c>
      <c r="E133" s="101" t="s">
        <v>36</v>
      </c>
      <c r="F133" s="101">
        <v>0.3</v>
      </c>
      <c r="G133" s="102">
        <v>0</v>
      </c>
      <c r="H133" s="7" t="s">
        <v>830</v>
      </c>
      <c r="I133" s="7" t="s">
        <v>830</v>
      </c>
      <c r="J133" s="103">
        <v>1.380825</v>
      </c>
      <c r="K133" s="104"/>
      <c r="L133" s="104"/>
      <c r="M133" s="99" t="s">
        <v>361</v>
      </c>
      <c r="N133" s="104" t="str">
        <f>IF(K133="","",K133&amp;COUNTIF($K$4:K133,K133))</f>
        <v/>
      </c>
      <c r="O133" s="104" t="str">
        <f>IF(D133="NA","NA",D133&amp;COUNTIF($D$4:D133,D133))</f>
        <v>E510017</v>
      </c>
      <c r="P133" s="104" t="str">
        <f>IF(E133="NA","NA",E133&amp;COUNTIF($E$4:E133,E133))</f>
        <v>NA</v>
      </c>
      <c r="Q133" s="104" t="str">
        <f t="shared" ref="Q133:Q196" si="5">C133</f>
        <v>Hillingdon</v>
      </c>
      <c r="R133" s="153" t="s">
        <v>1335</v>
      </c>
      <c r="S133" s="192">
        <f t="shared" ref="S133:S196" si="6">J133*F133</f>
        <v>0.41424749999999999</v>
      </c>
      <c r="T133" s="194">
        <v>0.77</v>
      </c>
    </row>
    <row r="134" spans="1:20" x14ac:dyDescent="0.25">
      <c r="A134" s="98">
        <v>131</v>
      </c>
      <c r="B134" s="99" t="s">
        <v>363</v>
      </c>
      <c r="C134" s="100" t="s">
        <v>362</v>
      </c>
      <c r="D134" s="101" t="s">
        <v>101</v>
      </c>
      <c r="E134" s="101" t="s">
        <v>102</v>
      </c>
      <c r="F134" s="101">
        <v>0.4</v>
      </c>
      <c r="G134" s="102">
        <v>0</v>
      </c>
      <c r="H134" s="7" t="s">
        <v>830</v>
      </c>
      <c r="I134" s="7" t="s">
        <v>830</v>
      </c>
      <c r="J134" s="103">
        <v>0.42630699999999999</v>
      </c>
      <c r="K134" s="104" t="s">
        <v>103</v>
      </c>
      <c r="L134" s="104"/>
      <c r="M134" s="99" t="s">
        <v>363</v>
      </c>
      <c r="N134" s="104" t="str">
        <f>IF(K134="","",K134&amp;COUNTIF($K$4:K134,K134))</f>
        <v>Leicestershire Business Rates Pool4</v>
      </c>
      <c r="O134" s="104" t="str">
        <f>IF(D134="NA","NA",D134&amp;COUNTIF($D$4:D134,D134))</f>
        <v>E24214</v>
      </c>
      <c r="P134" s="104" t="str">
        <f>IF(E134="NA","NA",E134&amp;COUNTIF($E$4:E134,E134))</f>
        <v>E61244</v>
      </c>
      <c r="Q134" s="104" t="str">
        <f t="shared" si="5"/>
        <v>Hinckley and Bosworth</v>
      </c>
      <c r="R134" s="153" t="s">
        <v>1335</v>
      </c>
      <c r="S134" s="192">
        <f t="shared" si="6"/>
        <v>0.1705228</v>
      </c>
      <c r="T134" s="194">
        <v>0.69399999999999995</v>
      </c>
    </row>
    <row r="135" spans="1:20" x14ac:dyDescent="0.25">
      <c r="A135" s="98">
        <v>132</v>
      </c>
      <c r="B135" s="99" t="s">
        <v>365</v>
      </c>
      <c r="C135" s="100" t="s">
        <v>364</v>
      </c>
      <c r="D135" s="101" t="s">
        <v>35</v>
      </c>
      <c r="E135" s="101" t="s">
        <v>36</v>
      </c>
      <c r="F135" s="101">
        <v>0.4</v>
      </c>
      <c r="G135" s="102">
        <v>0</v>
      </c>
      <c r="H135" s="7" t="s">
        <v>830</v>
      </c>
      <c r="I135" s="7" t="s">
        <v>830</v>
      </c>
      <c r="J135" s="103">
        <v>2.0229110000000001</v>
      </c>
      <c r="K135" s="104"/>
      <c r="L135" s="104"/>
      <c r="M135" s="99" t="s">
        <v>365</v>
      </c>
      <c r="N135" s="104" t="str">
        <f>IF(K135="","",K135&amp;COUNTIF($K$4:K135,K135))</f>
        <v/>
      </c>
      <c r="O135" s="104" t="str">
        <f>IF(D135="NA","NA",D135&amp;COUNTIF($D$4:D135,D135))</f>
        <v>E38205</v>
      </c>
      <c r="P135" s="104" t="str">
        <f>IF(E135="NA","NA",E135&amp;COUNTIF($E$4:E135,E135))</f>
        <v>NA</v>
      </c>
      <c r="Q135" s="104" t="str">
        <f t="shared" si="5"/>
        <v>Horsham</v>
      </c>
      <c r="R135" s="153" t="s">
        <v>1335</v>
      </c>
      <c r="S135" s="192">
        <f t="shared" si="6"/>
        <v>0.80916440000000012</v>
      </c>
      <c r="T135" s="194">
        <v>0.72299999999999998</v>
      </c>
    </row>
    <row r="136" spans="1:20" x14ac:dyDescent="0.25">
      <c r="A136" s="98">
        <v>133</v>
      </c>
      <c r="B136" s="99" t="s">
        <v>367</v>
      </c>
      <c r="C136" s="100" t="s">
        <v>366</v>
      </c>
      <c r="D136" s="101" t="s">
        <v>68</v>
      </c>
      <c r="E136" s="101" t="s">
        <v>36</v>
      </c>
      <c r="F136" s="101">
        <v>0.3</v>
      </c>
      <c r="G136" s="102">
        <v>0</v>
      </c>
      <c r="H136" s="7" t="s">
        <v>830</v>
      </c>
      <c r="I136" s="7" t="s">
        <v>830</v>
      </c>
      <c r="J136" s="103">
        <v>9.5</v>
      </c>
      <c r="K136" s="104"/>
      <c r="L136" s="104"/>
      <c r="M136" s="99" t="s">
        <v>367</v>
      </c>
      <c r="N136" s="104" t="str">
        <f>IF(K136="","",K136&amp;COUNTIF($K$4:K136,K136))</f>
        <v/>
      </c>
      <c r="O136" s="104" t="str">
        <f>IF(D136="NA","NA",D136&amp;COUNTIF($D$4:D136,D136))</f>
        <v>E510018</v>
      </c>
      <c r="P136" s="104" t="str">
        <f>IF(E136="NA","NA",E136&amp;COUNTIF($E$4:E136,E136))</f>
        <v>NA</v>
      </c>
      <c r="Q136" s="104" t="str">
        <f t="shared" si="5"/>
        <v>Hounslow</v>
      </c>
      <c r="R136" s="153" t="s">
        <v>1335</v>
      </c>
      <c r="S136" s="192">
        <f t="shared" si="6"/>
        <v>2.85</v>
      </c>
      <c r="T136" s="194">
        <v>0.75700000000000001</v>
      </c>
    </row>
    <row r="137" spans="1:20" x14ac:dyDescent="0.25">
      <c r="A137" s="98">
        <v>134</v>
      </c>
      <c r="B137" s="99" t="s">
        <v>369</v>
      </c>
      <c r="C137" s="100" t="s">
        <v>368</v>
      </c>
      <c r="D137" s="101" t="s">
        <v>165</v>
      </c>
      <c r="E137" s="101" t="s">
        <v>166</v>
      </c>
      <c r="F137" s="101">
        <v>0.4</v>
      </c>
      <c r="G137" s="102">
        <v>0</v>
      </c>
      <c r="H137" s="7" t="s">
        <v>837</v>
      </c>
      <c r="I137" s="7" t="s">
        <v>830</v>
      </c>
      <c r="J137" s="103">
        <v>3.552</v>
      </c>
      <c r="K137" s="104"/>
      <c r="L137" s="104"/>
      <c r="M137" s="99" t="s">
        <v>369</v>
      </c>
      <c r="N137" s="104" t="str">
        <f>IF(K137="","",K137&amp;COUNTIF($K$4:K137,K137))</f>
        <v/>
      </c>
      <c r="O137" s="104" t="str">
        <f>IF(D137="NA","NA",D137&amp;COUNTIF($D$4:D137,D137))</f>
        <v>E05214</v>
      </c>
      <c r="P137" s="104" t="str">
        <f>IF(E137="NA","NA",E137&amp;COUNTIF($E$4:E137,E137))</f>
        <v>E61054</v>
      </c>
      <c r="Q137" s="104" t="str">
        <f t="shared" si="5"/>
        <v>Huntingdonshire</v>
      </c>
      <c r="R137" s="153" t="s">
        <v>1335</v>
      </c>
      <c r="S137" s="192">
        <f t="shared" si="6"/>
        <v>1.4208000000000001</v>
      </c>
      <c r="T137" s="194">
        <v>0.72799999999999998</v>
      </c>
    </row>
    <row r="138" spans="1:20" x14ac:dyDescent="0.25">
      <c r="A138" s="98">
        <v>135</v>
      </c>
      <c r="B138" s="99" t="s">
        <v>371</v>
      </c>
      <c r="C138" s="100" t="s">
        <v>370</v>
      </c>
      <c r="D138" s="101" t="s">
        <v>158</v>
      </c>
      <c r="E138" s="101" t="s">
        <v>106</v>
      </c>
      <c r="F138" s="101">
        <v>0.4</v>
      </c>
      <c r="G138" s="102">
        <v>0</v>
      </c>
      <c r="H138" s="7" t="s">
        <v>830</v>
      </c>
      <c r="I138" s="7" t="s">
        <v>830</v>
      </c>
      <c r="J138" s="103">
        <v>0.74126226000000006</v>
      </c>
      <c r="K138" s="104" t="s">
        <v>914</v>
      </c>
      <c r="L138" s="104"/>
      <c r="M138" s="99" t="s">
        <v>371</v>
      </c>
      <c r="N138" s="104" t="str">
        <f>IF(K138="","",K138&amp;COUNTIF($K$4:K138,K138))</f>
        <v>Lancashire Business Rates Pool3</v>
      </c>
      <c r="O138" s="104" t="str">
        <f>IF(D138="NA","NA",D138&amp;COUNTIF($D$4:D138,D138))</f>
        <v>E23214</v>
      </c>
      <c r="P138" s="104" t="str">
        <f>IF(E138="NA","NA",E138&amp;COUNTIF($E$4:E138,E138))</f>
        <v>E61236</v>
      </c>
      <c r="Q138" s="104" t="str">
        <f t="shared" si="5"/>
        <v>Hyndburn</v>
      </c>
      <c r="R138" s="153" t="s">
        <v>1335</v>
      </c>
      <c r="S138" s="192">
        <f t="shared" si="6"/>
        <v>0.29650490400000001</v>
      </c>
      <c r="T138" s="194">
        <v>0.65100000000000002</v>
      </c>
    </row>
    <row r="139" spans="1:20" x14ac:dyDescent="0.25">
      <c r="A139" s="98">
        <v>136</v>
      </c>
      <c r="B139" s="99" t="s">
        <v>373</v>
      </c>
      <c r="C139" s="100" t="s">
        <v>372</v>
      </c>
      <c r="D139" s="101" t="s">
        <v>64</v>
      </c>
      <c r="E139" s="101" t="s">
        <v>36</v>
      </c>
      <c r="F139" s="101">
        <v>0.4</v>
      </c>
      <c r="G139" s="102">
        <v>0</v>
      </c>
      <c r="H139" s="7" t="s">
        <v>830</v>
      </c>
      <c r="I139" s="7" t="s">
        <v>830</v>
      </c>
      <c r="J139" s="103">
        <v>1.4144479999999999</v>
      </c>
      <c r="K139" s="104" t="s">
        <v>65</v>
      </c>
      <c r="L139" s="104"/>
      <c r="M139" s="99" t="s">
        <v>373</v>
      </c>
      <c r="N139" s="104" t="str">
        <f>IF(K139="","",K139&amp;COUNTIF($K$4:K139,K139))</f>
        <v>Suffolk Business Rates Pool3</v>
      </c>
      <c r="O139" s="104" t="str">
        <f>IF(D139="NA","NA",D139&amp;COUNTIF($D$4:D139,D139))</f>
        <v>E35203</v>
      </c>
      <c r="P139" s="104" t="str">
        <f>IF(E139="NA","NA",E139&amp;COUNTIF($E$4:E139,E139))</f>
        <v>NA</v>
      </c>
      <c r="Q139" s="104" t="str">
        <f t="shared" si="5"/>
        <v>Ipswich</v>
      </c>
      <c r="R139" s="153" t="s">
        <v>1335</v>
      </c>
      <c r="S139" s="192">
        <f t="shared" si="6"/>
        <v>0.56577920000000004</v>
      </c>
      <c r="T139" s="194">
        <v>0.71099999999999997</v>
      </c>
    </row>
    <row r="140" spans="1:20" x14ac:dyDescent="0.25">
      <c r="A140" s="98">
        <v>137</v>
      </c>
      <c r="B140" s="99" t="s">
        <v>375</v>
      </c>
      <c r="C140" s="100" t="s">
        <v>374</v>
      </c>
      <c r="D140" s="101" t="s">
        <v>36</v>
      </c>
      <c r="E140" s="101" t="s">
        <v>36</v>
      </c>
      <c r="F140" s="101">
        <v>0.5</v>
      </c>
      <c r="G140" s="102">
        <v>0</v>
      </c>
      <c r="H140" s="7" t="s">
        <v>830</v>
      </c>
      <c r="I140" s="7" t="s">
        <v>837</v>
      </c>
      <c r="J140" s="103">
        <v>3.131745</v>
      </c>
      <c r="K140" s="104"/>
      <c r="L140" s="104"/>
      <c r="M140" s="99" t="s">
        <v>375</v>
      </c>
      <c r="N140" s="104" t="str">
        <f>IF(K140="","",K140&amp;COUNTIF($K$4:K140,K140))</f>
        <v/>
      </c>
      <c r="O140" s="104" t="str">
        <f>IF(D140="NA","NA",D140&amp;COUNTIF($D$4:D140,D140))</f>
        <v>NA</v>
      </c>
      <c r="P140" s="104" t="str">
        <f>IF(E140="NA","NA",E140&amp;COUNTIF($E$4:E140,E140))</f>
        <v>NA</v>
      </c>
      <c r="Q140" s="104" t="str">
        <f t="shared" si="5"/>
        <v>Isle of Wight Council</v>
      </c>
      <c r="R140" s="153" t="s">
        <v>1335</v>
      </c>
      <c r="S140" s="192">
        <f t="shared" si="6"/>
        <v>1.5658725</v>
      </c>
      <c r="T140" s="194">
        <v>0.67100000000000004</v>
      </c>
    </row>
    <row r="141" spans="1:20" x14ac:dyDescent="0.25">
      <c r="A141" s="98">
        <v>138</v>
      </c>
      <c r="B141" s="99" t="s">
        <v>377</v>
      </c>
      <c r="C141" s="100" t="s">
        <v>376</v>
      </c>
      <c r="D141" s="101" t="s">
        <v>36</v>
      </c>
      <c r="E141" s="101" t="s">
        <v>36</v>
      </c>
      <c r="F141" s="101">
        <v>0.5</v>
      </c>
      <c r="G141" s="102">
        <v>0</v>
      </c>
      <c r="H141" s="7" t="s">
        <v>830</v>
      </c>
      <c r="I141" s="7" t="s">
        <v>830</v>
      </c>
      <c r="J141" s="103">
        <v>0</v>
      </c>
      <c r="K141" s="104"/>
      <c r="L141" s="104"/>
      <c r="M141" s="99" t="s">
        <v>377</v>
      </c>
      <c r="N141" s="104" t="str">
        <f>IF(K141="","",K141&amp;COUNTIF($K$4:K141,K141))</f>
        <v/>
      </c>
      <c r="O141" s="104" t="str">
        <f>IF(D141="NA","NA",D141&amp;COUNTIF($D$4:D141,D141))</f>
        <v>NA</v>
      </c>
      <c r="P141" s="104" t="str">
        <f>IF(E141="NA","NA",E141&amp;COUNTIF($E$4:E141,E141))</f>
        <v>NA</v>
      </c>
      <c r="Q141" s="104" t="str">
        <f t="shared" si="5"/>
        <v>Isles of Scilly</v>
      </c>
      <c r="R141" s="153" t="s">
        <v>1335</v>
      </c>
      <c r="S141" s="192">
        <f t="shared" si="6"/>
        <v>0</v>
      </c>
      <c r="T141" s="194">
        <v>0.64900000000000002</v>
      </c>
    </row>
    <row r="142" spans="1:20" x14ac:dyDescent="0.25">
      <c r="A142" s="98">
        <v>139</v>
      </c>
      <c r="B142" s="99" t="s">
        <v>379</v>
      </c>
      <c r="C142" s="100" t="s">
        <v>378</v>
      </c>
      <c r="D142" s="101" t="s">
        <v>68</v>
      </c>
      <c r="E142" s="101" t="s">
        <v>36</v>
      </c>
      <c r="F142" s="101">
        <v>0.3</v>
      </c>
      <c r="G142" s="102">
        <v>0</v>
      </c>
      <c r="H142" s="7" t="s">
        <v>830</v>
      </c>
      <c r="I142" s="7" t="s">
        <v>830</v>
      </c>
      <c r="J142" s="103">
        <v>5.5390242499999998</v>
      </c>
      <c r="K142" s="104"/>
      <c r="L142" s="104"/>
      <c r="M142" s="99" t="s">
        <v>379</v>
      </c>
      <c r="N142" s="104" t="str">
        <f>IF(K142="","",K142&amp;COUNTIF($K$4:K142,K142))</f>
        <v/>
      </c>
      <c r="O142" s="104" t="str">
        <f>IF(D142="NA","NA",D142&amp;COUNTIF($D$4:D142,D142))</f>
        <v>E510019</v>
      </c>
      <c r="P142" s="104" t="str">
        <f>IF(E142="NA","NA",E142&amp;COUNTIF($E$4:E142,E142))</f>
        <v>NA</v>
      </c>
      <c r="Q142" s="104" t="str">
        <f t="shared" si="5"/>
        <v>Islington</v>
      </c>
      <c r="R142" s="153" t="s">
        <v>1335</v>
      </c>
      <c r="S142" s="192">
        <f t="shared" si="6"/>
        <v>1.6617072749999999</v>
      </c>
      <c r="T142" s="194">
        <v>0.80900000000000005</v>
      </c>
    </row>
    <row r="143" spans="1:20" x14ac:dyDescent="0.25">
      <c r="A143" s="98">
        <v>140</v>
      </c>
      <c r="B143" s="99" t="s">
        <v>381</v>
      </c>
      <c r="C143" s="100" t="s">
        <v>380</v>
      </c>
      <c r="D143" s="101" t="s">
        <v>68</v>
      </c>
      <c r="E143" s="101" t="s">
        <v>36</v>
      </c>
      <c r="F143" s="101">
        <v>0.3</v>
      </c>
      <c r="G143" s="102">
        <v>0</v>
      </c>
      <c r="H143" s="7" t="s">
        <v>830</v>
      </c>
      <c r="I143" s="7" t="s">
        <v>830</v>
      </c>
      <c r="J143" s="103">
        <v>9.8877649999999999</v>
      </c>
      <c r="K143" s="104"/>
      <c r="L143" s="104"/>
      <c r="M143" s="99" t="s">
        <v>381</v>
      </c>
      <c r="N143" s="104" t="str">
        <f>IF(K143="","",K143&amp;COUNTIF($K$4:K143,K143))</f>
        <v/>
      </c>
      <c r="O143" s="104" t="str">
        <f>IF(D143="NA","NA",D143&amp;COUNTIF($D$4:D143,D143))</f>
        <v>E510020</v>
      </c>
      <c r="P143" s="104" t="str">
        <f>IF(E143="NA","NA",E143&amp;COUNTIF($E$4:E143,E143))</f>
        <v>NA</v>
      </c>
      <c r="Q143" s="104" t="str">
        <f t="shared" si="5"/>
        <v>Kensington and Chelsea</v>
      </c>
      <c r="R143" s="153" t="s">
        <v>1335</v>
      </c>
      <c r="S143" s="192">
        <f t="shared" si="6"/>
        <v>2.9663295000000001</v>
      </c>
      <c r="T143" s="194">
        <v>0.80600000000000005</v>
      </c>
    </row>
    <row r="144" spans="1:20" x14ac:dyDescent="0.25">
      <c r="A144" s="98">
        <v>141</v>
      </c>
      <c r="B144" s="99" t="s">
        <v>383</v>
      </c>
      <c r="C144" s="100" t="s">
        <v>382</v>
      </c>
      <c r="D144" s="101" t="s">
        <v>215</v>
      </c>
      <c r="E144" s="101" t="s">
        <v>36</v>
      </c>
      <c r="F144" s="101">
        <v>0.4</v>
      </c>
      <c r="G144" s="102">
        <v>0</v>
      </c>
      <c r="H144" s="7" t="s">
        <v>830</v>
      </c>
      <c r="I144" s="7" t="s">
        <v>837</v>
      </c>
      <c r="J144" s="103">
        <v>1.0838810000000001</v>
      </c>
      <c r="K144" s="104" t="s">
        <v>216</v>
      </c>
      <c r="L144" s="104"/>
      <c r="M144" s="99" t="s">
        <v>383</v>
      </c>
      <c r="N144" s="104" t="str">
        <f>IF(K144="","",K144&amp;COUNTIF($K$4:K144,K144))</f>
        <v>Northamptonshire Business Rates Pool4</v>
      </c>
      <c r="O144" s="104" t="str">
        <f>IF(D144="NA","NA",D144&amp;COUNTIF($D$4:D144,D144))</f>
        <v>E28204</v>
      </c>
      <c r="P144" s="104" t="str">
        <f>IF(E144="NA","NA",E144&amp;COUNTIF($E$4:E144,E144))</f>
        <v>NA</v>
      </c>
      <c r="Q144" s="104" t="str">
        <f t="shared" si="5"/>
        <v>Kettering</v>
      </c>
      <c r="R144" s="153" t="s">
        <v>1335</v>
      </c>
      <c r="S144" s="192">
        <f t="shared" si="6"/>
        <v>0.43355240000000006</v>
      </c>
      <c r="T144" s="194">
        <v>0.70299999999999996</v>
      </c>
    </row>
    <row r="145" spans="1:20" x14ac:dyDescent="0.25">
      <c r="A145" s="98">
        <v>142</v>
      </c>
      <c r="B145" s="99" t="s">
        <v>385</v>
      </c>
      <c r="C145" s="100" t="s">
        <v>384</v>
      </c>
      <c r="D145" s="101" t="s">
        <v>132</v>
      </c>
      <c r="E145" s="101" t="s">
        <v>36</v>
      </c>
      <c r="F145" s="101">
        <v>0.4</v>
      </c>
      <c r="G145" s="102">
        <v>0</v>
      </c>
      <c r="H145" s="7" t="s">
        <v>830</v>
      </c>
      <c r="I145" s="7" t="s">
        <v>830</v>
      </c>
      <c r="J145" s="103">
        <v>5.7362682899999999</v>
      </c>
      <c r="K145" s="104" t="s">
        <v>133</v>
      </c>
      <c r="L145" s="104"/>
      <c r="M145" s="99" t="s">
        <v>385</v>
      </c>
      <c r="N145" s="104" t="str">
        <f>IF(K145="","",K145&amp;COUNTIF($K$4:K145,K145))</f>
        <v>Norfolk Business Rates Pool3</v>
      </c>
      <c r="O145" s="104" t="str">
        <f>IF(D145="NA","NA",D145&amp;COUNTIF($D$4:D145,D145))</f>
        <v>E26204</v>
      </c>
      <c r="P145" s="104" t="str">
        <f>IF(E145="NA","NA",E145&amp;COUNTIF($E$4:E145,E145))</f>
        <v>NA</v>
      </c>
      <c r="Q145" s="104" t="str">
        <f t="shared" si="5"/>
        <v>Kings Lynn and West Norfolk</v>
      </c>
      <c r="R145" s="153" t="s">
        <v>1335</v>
      </c>
      <c r="S145" s="192">
        <f t="shared" si="6"/>
        <v>2.2945073160000002</v>
      </c>
      <c r="T145" s="194">
        <v>0.67400000000000004</v>
      </c>
    </row>
    <row r="146" spans="1:20" x14ac:dyDescent="0.25">
      <c r="A146" s="98">
        <v>143</v>
      </c>
      <c r="B146" s="99" t="s">
        <v>387</v>
      </c>
      <c r="C146" s="100" t="s">
        <v>386</v>
      </c>
      <c r="D146" s="101" t="s">
        <v>36</v>
      </c>
      <c r="E146" s="101" t="s">
        <v>275</v>
      </c>
      <c r="F146" s="101">
        <v>0.49</v>
      </c>
      <c r="G146" s="102">
        <v>0</v>
      </c>
      <c r="H146" s="7" t="s">
        <v>830</v>
      </c>
      <c r="I146" s="7" t="s">
        <v>830</v>
      </c>
      <c r="J146" s="103">
        <v>4.0179999999999998</v>
      </c>
      <c r="K146" s="104"/>
      <c r="L146" s="104"/>
      <c r="M146" s="99" t="s">
        <v>387</v>
      </c>
      <c r="N146" s="104" t="str">
        <f>IF(K146="","",K146&amp;COUNTIF($K$4:K146,K146))</f>
        <v/>
      </c>
      <c r="O146" s="104" t="str">
        <f>IF(D146="NA","NA",D146&amp;COUNTIF($D$4:D146,D146))</f>
        <v>NA</v>
      </c>
      <c r="P146" s="104" t="str">
        <f>IF(E146="NA","NA",E146&amp;COUNTIF($E$4:E146,E146))</f>
        <v>E61202</v>
      </c>
      <c r="Q146" s="104" t="str">
        <f t="shared" si="5"/>
        <v>Kingston upon Hull</v>
      </c>
      <c r="R146" s="153" t="s">
        <v>1335</v>
      </c>
      <c r="S146" s="192">
        <f t="shared" si="6"/>
        <v>1.9688199999999998</v>
      </c>
      <c r="T146" s="194">
        <v>0.69</v>
      </c>
    </row>
    <row r="147" spans="1:20" x14ac:dyDescent="0.25">
      <c r="A147" s="98">
        <v>144</v>
      </c>
      <c r="B147" s="99" t="s">
        <v>389</v>
      </c>
      <c r="C147" s="100" t="s">
        <v>388</v>
      </c>
      <c r="D147" s="101" t="s">
        <v>68</v>
      </c>
      <c r="E147" s="101" t="s">
        <v>36</v>
      </c>
      <c r="F147" s="101">
        <v>0.3</v>
      </c>
      <c r="G147" s="102">
        <v>0</v>
      </c>
      <c r="H147" s="7" t="s">
        <v>830</v>
      </c>
      <c r="I147" s="7" t="s">
        <v>830</v>
      </c>
      <c r="J147" s="103">
        <v>2.915559</v>
      </c>
      <c r="K147" s="104"/>
      <c r="L147" s="104"/>
      <c r="M147" s="99" t="s">
        <v>389</v>
      </c>
      <c r="N147" s="104" t="str">
        <f>IF(K147="","",K147&amp;COUNTIF($K$4:K147,K147))</f>
        <v/>
      </c>
      <c r="O147" s="104" t="str">
        <f>IF(D147="NA","NA",D147&amp;COUNTIF($D$4:D147,D147))</f>
        <v>E510021</v>
      </c>
      <c r="P147" s="104" t="str">
        <f>IF(E147="NA","NA",E147&amp;COUNTIF($E$4:E147,E147))</f>
        <v>NA</v>
      </c>
      <c r="Q147" s="104" t="str">
        <f t="shared" si="5"/>
        <v>Kingston upon Thames</v>
      </c>
      <c r="R147" s="153" t="s">
        <v>1335</v>
      </c>
      <c r="S147" s="192">
        <f t="shared" si="6"/>
        <v>0.87466769999999994</v>
      </c>
      <c r="T147" s="194">
        <v>0.76200000000000001</v>
      </c>
    </row>
    <row r="148" spans="1:20" x14ac:dyDescent="0.25">
      <c r="A148" s="98">
        <v>145</v>
      </c>
      <c r="B148" s="99" t="s">
        <v>391</v>
      </c>
      <c r="C148" s="100" t="s">
        <v>390</v>
      </c>
      <c r="D148" s="101" t="s">
        <v>36</v>
      </c>
      <c r="E148" s="101" t="s">
        <v>125</v>
      </c>
      <c r="F148" s="101">
        <v>0.49</v>
      </c>
      <c r="G148" s="102">
        <v>0</v>
      </c>
      <c r="H148" s="7" t="s">
        <v>830</v>
      </c>
      <c r="I148" s="7" t="s">
        <v>830</v>
      </c>
      <c r="J148" s="103">
        <v>5.4742090000000001</v>
      </c>
      <c r="K148" s="104" t="s">
        <v>126</v>
      </c>
      <c r="L148" s="104"/>
      <c r="M148" s="99" t="s">
        <v>391</v>
      </c>
      <c r="N148" s="104" t="str">
        <f>IF(K148="","",K148&amp;COUNTIF($K$4:K148,K148))</f>
        <v>Leeds City Region Business Rates Pool4</v>
      </c>
      <c r="O148" s="104" t="str">
        <f>IF(D148="NA","NA",D148&amp;COUNTIF($D$4:D148,D148))</f>
        <v>NA</v>
      </c>
      <c r="P148" s="104" t="str">
        <f>IF(E148="NA","NA",E148&amp;COUNTIF($E$4:E148,E148))</f>
        <v>E61473</v>
      </c>
      <c r="Q148" s="104" t="str">
        <f t="shared" si="5"/>
        <v>Kirklees</v>
      </c>
      <c r="R148" s="153" t="s">
        <v>1335</v>
      </c>
      <c r="S148" s="192">
        <f t="shared" si="6"/>
        <v>2.6823624100000001</v>
      </c>
      <c r="T148" s="194">
        <v>0.66500000000000004</v>
      </c>
    </row>
    <row r="149" spans="1:20" x14ac:dyDescent="0.25">
      <c r="A149" s="98">
        <v>146</v>
      </c>
      <c r="B149" s="99" t="s">
        <v>393</v>
      </c>
      <c r="C149" s="100" t="s">
        <v>392</v>
      </c>
      <c r="D149" s="101" t="s">
        <v>36</v>
      </c>
      <c r="E149" s="101" t="s">
        <v>394</v>
      </c>
      <c r="F149" s="101">
        <v>0.49</v>
      </c>
      <c r="G149" s="102">
        <v>0</v>
      </c>
      <c r="H149" s="7" t="s">
        <v>830</v>
      </c>
      <c r="I149" s="7" t="s">
        <v>830</v>
      </c>
      <c r="J149" s="103">
        <v>10.3155687</v>
      </c>
      <c r="K149" s="104"/>
      <c r="L149" s="153" t="s">
        <v>1272</v>
      </c>
      <c r="M149" s="99" t="s">
        <v>393</v>
      </c>
      <c r="N149" s="104" t="str">
        <f>IF(K149="","",K149&amp;COUNTIF($K$4:K149,K149))</f>
        <v/>
      </c>
      <c r="O149" s="104" t="str">
        <f>IF(D149="NA","NA",D149&amp;COUNTIF($D$4:D149,D149))</f>
        <v>NA</v>
      </c>
      <c r="P149" s="104" t="str">
        <f>IF(E149="NA","NA",E149&amp;COUNTIF($E$4:E149,E149))</f>
        <v>E61431</v>
      </c>
      <c r="Q149" s="104" t="str">
        <f t="shared" si="5"/>
        <v>Knowsley</v>
      </c>
      <c r="R149" s="153" t="s">
        <v>1335</v>
      </c>
      <c r="S149" s="192">
        <f t="shared" si="6"/>
        <v>5.0546286629999999</v>
      </c>
      <c r="T149" s="194">
        <v>0.70299999999999996</v>
      </c>
    </row>
    <row r="150" spans="1:20" x14ac:dyDescent="0.25">
      <c r="A150" s="98">
        <v>147</v>
      </c>
      <c r="B150" s="99" t="s">
        <v>396</v>
      </c>
      <c r="C150" s="100" t="s">
        <v>395</v>
      </c>
      <c r="D150" s="101" t="s">
        <v>68</v>
      </c>
      <c r="E150" s="101" t="s">
        <v>36</v>
      </c>
      <c r="F150" s="101">
        <v>0.3</v>
      </c>
      <c r="G150" s="102">
        <v>0</v>
      </c>
      <c r="H150" s="7" t="s">
        <v>830</v>
      </c>
      <c r="I150" s="7" t="s">
        <v>830</v>
      </c>
      <c r="J150" s="103">
        <v>9.5311459999999997</v>
      </c>
      <c r="K150" s="104"/>
      <c r="L150" s="104"/>
      <c r="M150" s="99" t="s">
        <v>396</v>
      </c>
      <c r="N150" s="104" t="str">
        <f>IF(K150="","",K150&amp;COUNTIF($K$4:K150,K150))</f>
        <v/>
      </c>
      <c r="O150" s="104" t="str">
        <f>IF(D150="NA","NA",D150&amp;COUNTIF($D$4:D150,D150))</f>
        <v>E510022</v>
      </c>
      <c r="P150" s="104" t="str">
        <f>IF(E150="NA","NA",E150&amp;COUNTIF($E$4:E150,E150))</f>
        <v>NA</v>
      </c>
      <c r="Q150" s="104" t="str">
        <f t="shared" si="5"/>
        <v>Lambeth</v>
      </c>
      <c r="R150" s="153" t="s">
        <v>1335</v>
      </c>
      <c r="S150" s="192">
        <f t="shared" si="6"/>
        <v>2.8593438</v>
      </c>
      <c r="T150" s="194">
        <v>0.77</v>
      </c>
    </row>
    <row r="151" spans="1:20" x14ac:dyDescent="0.25">
      <c r="A151" s="98">
        <v>148</v>
      </c>
      <c r="B151" s="99" t="s">
        <v>398</v>
      </c>
      <c r="C151" s="100" t="s">
        <v>397</v>
      </c>
      <c r="D151" s="101" t="s">
        <v>158</v>
      </c>
      <c r="E151" s="101" t="s">
        <v>106</v>
      </c>
      <c r="F151" s="101">
        <v>0.4</v>
      </c>
      <c r="G151" s="102">
        <v>0</v>
      </c>
      <c r="H151" s="7" t="s">
        <v>830</v>
      </c>
      <c r="I151" s="7" t="s">
        <v>830</v>
      </c>
      <c r="J151" s="103">
        <v>9.0423010000000001</v>
      </c>
      <c r="K151" s="104"/>
      <c r="L151" s="104"/>
      <c r="M151" s="99" t="s">
        <v>398</v>
      </c>
      <c r="N151" s="104" t="str">
        <f>IF(K151="","",K151&amp;COUNTIF($K$4:K151,K151))</f>
        <v/>
      </c>
      <c r="O151" s="104" t="str">
        <f>IF(D151="NA","NA",D151&amp;COUNTIF($D$4:D151,D151))</f>
        <v>E23215</v>
      </c>
      <c r="P151" s="104" t="str">
        <f>IF(E151="NA","NA",E151&amp;COUNTIF($E$4:E151,E151))</f>
        <v>E61237</v>
      </c>
      <c r="Q151" s="104" t="str">
        <f t="shared" si="5"/>
        <v>Lancaster</v>
      </c>
      <c r="R151" s="153" t="s">
        <v>1335</v>
      </c>
      <c r="S151" s="192">
        <f t="shared" si="6"/>
        <v>3.6169204000000001</v>
      </c>
      <c r="T151" s="194">
        <v>0.66100000000000003</v>
      </c>
    </row>
    <row r="152" spans="1:20" x14ac:dyDescent="0.25">
      <c r="A152" s="98">
        <v>149</v>
      </c>
      <c r="B152" s="99" t="s">
        <v>400</v>
      </c>
      <c r="C152" s="100" t="s">
        <v>399</v>
      </c>
      <c r="D152" s="101" t="s">
        <v>36</v>
      </c>
      <c r="E152" s="101" t="s">
        <v>125</v>
      </c>
      <c r="F152" s="101">
        <v>0.49</v>
      </c>
      <c r="G152" s="102">
        <v>0</v>
      </c>
      <c r="H152" s="7" t="s">
        <v>837</v>
      </c>
      <c r="I152" s="7" t="s">
        <v>830</v>
      </c>
      <c r="J152" s="103">
        <v>17.029923</v>
      </c>
      <c r="K152" s="104" t="s">
        <v>126</v>
      </c>
      <c r="L152" s="104"/>
      <c r="M152" s="99" t="s">
        <v>400</v>
      </c>
      <c r="N152" s="104" t="str">
        <f>IF(K152="","",K152&amp;COUNTIF($K$4:K152,K152))</f>
        <v>Leeds City Region Business Rates Pool5</v>
      </c>
      <c r="O152" s="104" t="str">
        <f>IF(D152="NA","NA",D152&amp;COUNTIF($D$4:D152,D152))</f>
        <v>NA</v>
      </c>
      <c r="P152" s="104" t="str">
        <f>IF(E152="NA","NA",E152&amp;COUNTIF($E$4:E152,E152))</f>
        <v>E61474</v>
      </c>
      <c r="Q152" s="104" t="str">
        <f t="shared" si="5"/>
        <v>Leeds</v>
      </c>
      <c r="R152" s="153" t="s">
        <v>1335</v>
      </c>
      <c r="S152" s="192">
        <f t="shared" si="6"/>
        <v>8.3446622700000006</v>
      </c>
      <c r="T152" s="194">
        <v>0.71099999999999997</v>
      </c>
    </row>
    <row r="153" spans="1:20" x14ac:dyDescent="0.25">
      <c r="A153" s="98">
        <v>150</v>
      </c>
      <c r="B153" s="99" t="s">
        <v>402</v>
      </c>
      <c r="C153" s="100" t="s">
        <v>401</v>
      </c>
      <c r="D153" s="101" t="s">
        <v>36</v>
      </c>
      <c r="E153" s="101" t="s">
        <v>102</v>
      </c>
      <c r="F153" s="101">
        <v>0.49</v>
      </c>
      <c r="G153" s="102">
        <v>0</v>
      </c>
      <c r="H153" s="7" t="s">
        <v>830</v>
      </c>
      <c r="I153" s="7" t="s">
        <v>830</v>
      </c>
      <c r="J153" s="103">
        <v>5.265269</v>
      </c>
      <c r="K153" s="104" t="s">
        <v>103</v>
      </c>
      <c r="L153" s="104"/>
      <c r="M153" s="99" t="s">
        <v>402</v>
      </c>
      <c r="N153" s="104" t="str">
        <f>IF(K153="","",K153&amp;COUNTIF($K$4:K153,K153))</f>
        <v>Leicestershire Business Rates Pool5</v>
      </c>
      <c r="O153" s="104" t="str">
        <f>IF(D153="NA","NA",D153&amp;COUNTIF($D$4:D153,D153))</f>
        <v>NA</v>
      </c>
      <c r="P153" s="104" t="str">
        <f>IF(E153="NA","NA",E153&amp;COUNTIF($E$4:E153,E153))</f>
        <v>E61245</v>
      </c>
      <c r="Q153" s="104" t="str">
        <f t="shared" si="5"/>
        <v>Leicester</v>
      </c>
      <c r="R153" s="153" t="s">
        <v>1335</v>
      </c>
      <c r="S153" s="192">
        <f t="shared" si="6"/>
        <v>2.57998181</v>
      </c>
      <c r="T153" s="194">
        <v>0.70099999999999996</v>
      </c>
    </row>
    <row r="154" spans="1:20" x14ac:dyDescent="0.25">
      <c r="A154" s="98">
        <v>151</v>
      </c>
      <c r="B154" s="99" t="s">
        <v>404</v>
      </c>
      <c r="C154" s="100" t="s">
        <v>403</v>
      </c>
      <c r="D154" s="101" t="s">
        <v>280</v>
      </c>
      <c r="E154" s="101" t="s">
        <v>140</v>
      </c>
      <c r="F154" s="101">
        <v>0.4</v>
      </c>
      <c r="G154" s="102">
        <v>0</v>
      </c>
      <c r="H154" s="7" t="s">
        <v>830</v>
      </c>
      <c r="I154" s="7" t="s">
        <v>830</v>
      </c>
      <c r="J154" s="103">
        <v>0.78222499999999995</v>
      </c>
      <c r="K154" s="104"/>
      <c r="L154" s="104"/>
      <c r="M154" s="99" t="s">
        <v>404</v>
      </c>
      <c r="N154" s="104" t="str">
        <f>IF(K154="","",K154&amp;COUNTIF($K$4:K154,K154))</f>
        <v/>
      </c>
      <c r="O154" s="104" t="str">
        <f>IF(D154="NA","NA",D154&amp;COUNTIF($D$4:D154,D154))</f>
        <v>E14213</v>
      </c>
      <c r="P154" s="104" t="str">
        <f>IF(E154="NA","NA",E154&amp;COUNTIF($E$4:E154,E154))</f>
        <v>E61144</v>
      </c>
      <c r="Q154" s="104" t="str">
        <f t="shared" si="5"/>
        <v>Lewes</v>
      </c>
      <c r="R154" s="153" t="s">
        <v>1335</v>
      </c>
      <c r="S154" s="192">
        <f t="shared" si="6"/>
        <v>0.31289</v>
      </c>
      <c r="T154" s="194">
        <v>0.69799999999999995</v>
      </c>
    </row>
    <row r="155" spans="1:20" x14ac:dyDescent="0.25">
      <c r="A155" s="98">
        <v>152</v>
      </c>
      <c r="B155" s="99" t="s">
        <v>406</v>
      </c>
      <c r="C155" s="100" t="s">
        <v>405</v>
      </c>
      <c r="D155" s="101" t="s">
        <v>68</v>
      </c>
      <c r="E155" s="101" t="s">
        <v>36</v>
      </c>
      <c r="F155" s="101">
        <v>0.3</v>
      </c>
      <c r="G155" s="102">
        <v>0</v>
      </c>
      <c r="H155" s="7" t="s">
        <v>830</v>
      </c>
      <c r="I155" s="7" t="s">
        <v>830</v>
      </c>
      <c r="J155" s="103">
        <v>1.7216560000000001</v>
      </c>
      <c r="K155" s="104"/>
      <c r="L155" s="104"/>
      <c r="M155" s="99" t="s">
        <v>406</v>
      </c>
      <c r="N155" s="104" t="str">
        <f>IF(K155="","",K155&amp;COUNTIF($K$4:K155,K155))</f>
        <v/>
      </c>
      <c r="O155" s="104" t="str">
        <f>IF(D155="NA","NA",D155&amp;COUNTIF($D$4:D155,D155))</f>
        <v>E510023</v>
      </c>
      <c r="P155" s="104" t="str">
        <f>IF(E155="NA","NA",E155&amp;COUNTIF($E$4:E155,E155))</f>
        <v>NA</v>
      </c>
      <c r="Q155" s="104" t="str">
        <f t="shared" si="5"/>
        <v>Lewisham</v>
      </c>
      <c r="R155" s="153" t="s">
        <v>1335</v>
      </c>
      <c r="S155" s="192">
        <f t="shared" si="6"/>
        <v>0.51649679999999998</v>
      </c>
      <c r="T155" s="194">
        <v>0.76100000000000001</v>
      </c>
    </row>
    <row r="156" spans="1:20" x14ac:dyDescent="0.25">
      <c r="A156" s="98">
        <v>153</v>
      </c>
      <c r="B156" s="99" t="s">
        <v>408</v>
      </c>
      <c r="C156" s="100" t="s">
        <v>407</v>
      </c>
      <c r="D156" s="101" t="s">
        <v>171</v>
      </c>
      <c r="E156" s="101" t="s">
        <v>172</v>
      </c>
      <c r="F156" s="101">
        <v>0.4</v>
      </c>
      <c r="G156" s="102">
        <v>0</v>
      </c>
      <c r="H156" s="7" t="s">
        <v>830</v>
      </c>
      <c r="I156" s="7" t="s">
        <v>830</v>
      </c>
      <c r="J156" s="103">
        <v>1.141221</v>
      </c>
      <c r="K156" s="104" t="s">
        <v>859</v>
      </c>
      <c r="L156" s="104"/>
      <c r="M156" s="99" t="s">
        <v>408</v>
      </c>
      <c r="N156" s="104" t="str">
        <f>IF(K156="","",K156&amp;COUNTIF($K$4:K156,K156))</f>
        <v>Greater Birmingham &amp; Solihull Business Rates Pool5</v>
      </c>
      <c r="O156" s="104" t="str">
        <f>IF(D156="NA","NA",D156&amp;COUNTIF($D$4:D156,D156))</f>
        <v>E34213</v>
      </c>
      <c r="P156" s="104" t="str">
        <f>IF(E156="NA","NA",E156&amp;COUNTIF($E$4:E156,E156))</f>
        <v>E61343</v>
      </c>
      <c r="Q156" s="104" t="str">
        <f t="shared" si="5"/>
        <v>Lichfield</v>
      </c>
      <c r="R156" s="153" t="s">
        <v>1335</v>
      </c>
      <c r="S156" s="192">
        <f t="shared" si="6"/>
        <v>0.45648840000000002</v>
      </c>
      <c r="T156" s="194">
        <v>0.73</v>
      </c>
    </row>
    <row r="157" spans="1:20" x14ac:dyDescent="0.25">
      <c r="A157" s="98">
        <v>154</v>
      </c>
      <c r="B157" s="99" t="s">
        <v>410</v>
      </c>
      <c r="C157" s="100" t="s">
        <v>409</v>
      </c>
      <c r="D157" s="101" t="s">
        <v>116</v>
      </c>
      <c r="E157" s="101" t="s">
        <v>36</v>
      </c>
      <c r="F157" s="101">
        <v>0.4</v>
      </c>
      <c r="G157" s="102">
        <v>0</v>
      </c>
      <c r="H157" s="7" t="s">
        <v>837</v>
      </c>
      <c r="I157" s="7" t="s">
        <v>830</v>
      </c>
      <c r="J157" s="103">
        <v>1.736273</v>
      </c>
      <c r="K157" s="104" t="s">
        <v>117</v>
      </c>
      <c r="L157" s="104"/>
      <c r="M157" s="99" t="s">
        <v>410</v>
      </c>
      <c r="N157" s="104" t="str">
        <f>IF(K157="","",K157&amp;COUNTIF($K$4:K157,K157))</f>
        <v>Lincolnshire Business Rates Pool3</v>
      </c>
      <c r="O157" s="104" t="str">
        <f>IF(D157="NA","NA",D157&amp;COUNTIF($D$4:D157,D157))</f>
        <v>E25203</v>
      </c>
      <c r="P157" s="104" t="str">
        <f>IF(E157="NA","NA",E157&amp;COUNTIF($E$4:E157,E157))</f>
        <v>NA</v>
      </c>
      <c r="Q157" s="104" t="str">
        <f t="shared" si="5"/>
        <v>Lincoln</v>
      </c>
      <c r="R157" s="153" t="s">
        <v>1335</v>
      </c>
      <c r="S157" s="192">
        <f t="shared" si="6"/>
        <v>0.69450920000000005</v>
      </c>
      <c r="T157" s="194">
        <v>0.71899999999999997</v>
      </c>
    </row>
    <row r="158" spans="1:20" x14ac:dyDescent="0.25">
      <c r="A158" s="98">
        <v>155</v>
      </c>
      <c r="B158" s="99" t="s">
        <v>412</v>
      </c>
      <c r="C158" s="100" t="s">
        <v>411</v>
      </c>
      <c r="D158" s="101" t="s">
        <v>36</v>
      </c>
      <c r="E158" s="101" t="s">
        <v>394</v>
      </c>
      <c r="F158" s="101">
        <v>0.49</v>
      </c>
      <c r="G158" s="102">
        <v>0</v>
      </c>
      <c r="H158" s="7" t="s">
        <v>837</v>
      </c>
      <c r="I158" s="7" t="s">
        <v>830</v>
      </c>
      <c r="J158" s="103">
        <v>11.877007000000001</v>
      </c>
      <c r="K158" s="104"/>
      <c r="L158" s="153" t="s">
        <v>1272</v>
      </c>
      <c r="M158" s="99" t="s">
        <v>412</v>
      </c>
      <c r="N158" s="104" t="str">
        <f>IF(K158="","",K158&amp;COUNTIF($K$4:K158,K158))</f>
        <v/>
      </c>
      <c r="O158" s="104" t="str">
        <f>IF(D158="NA","NA",D158&amp;COUNTIF($D$4:D158,D158))</f>
        <v>NA</v>
      </c>
      <c r="P158" s="104" t="str">
        <f>IF(E158="NA","NA",E158&amp;COUNTIF($E$4:E158,E158))</f>
        <v>E61432</v>
      </c>
      <c r="Q158" s="104" t="str">
        <f t="shared" si="5"/>
        <v>Liverpool</v>
      </c>
      <c r="R158" s="153" t="s">
        <v>1335</v>
      </c>
      <c r="S158" s="192">
        <f t="shared" si="6"/>
        <v>5.8197334300000003</v>
      </c>
      <c r="T158" s="194">
        <v>0.67800000000000005</v>
      </c>
    </row>
    <row r="159" spans="1:20" x14ac:dyDescent="0.25">
      <c r="A159" s="98">
        <v>156</v>
      </c>
      <c r="B159" s="99" t="s">
        <v>414</v>
      </c>
      <c r="C159" s="100" t="s">
        <v>413</v>
      </c>
      <c r="D159" s="101" t="s">
        <v>36</v>
      </c>
      <c r="E159" s="101" t="s">
        <v>93</v>
      </c>
      <c r="F159" s="101">
        <v>0.49</v>
      </c>
      <c r="G159" s="102">
        <v>0</v>
      </c>
      <c r="H159" s="7" t="s">
        <v>830</v>
      </c>
      <c r="I159" s="7" t="s">
        <v>830</v>
      </c>
      <c r="J159" s="103">
        <v>3.0834837200000003</v>
      </c>
      <c r="K159" s="104"/>
      <c r="L159" s="104"/>
      <c r="M159" s="99" t="s">
        <v>414</v>
      </c>
      <c r="N159" s="104" t="str">
        <f>IF(K159="","",K159&amp;COUNTIF($K$4:K159,K159))</f>
        <v/>
      </c>
      <c r="O159" s="104" t="str">
        <f>IF(D159="NA","NA",D159&amp;COUNTIF($D$4:D159,D159))</f>
        <v>NA</v>
      </c>
      <c r="P159" s="104" t="str">
        <f>IF(E159="NA","NA",E159&amp;COUNTIF($E$4:E159,E159))</f>
        <v>E61023</v>
      </c>
      <c r="Q159" s="104" t="str">
        <f t="shared" si="5"/>
        <v>Luton</v>
      </c>
      <c r="R159" s="153" t="s">
        <v>1335</v>
      </c>
      <c r="S159" s="192">
        <f t="shared" si="6"/>
        <v>1.5109070228000001</v>
      </c>
      <c r="T159" s="194">
        <v>0.73499999999999999</v>
      </c>
    </row>
    <row r="160" spans="1:20" x14ac:dyDescent="0.25">
      <c r="A160" s="98">
        <v>157</v>
      </c>
      <c r="B160" s="99" t="s">
        <v>416</v>
      </c>
      <c r="C160" s="100" t="s">
        <v>415</v>
      </c>
      <c r="D160" s="101" t="s">
        <v>54</v>
      </c>
      <c r="E160" s="101" t="s">
        <v>55</v>
      </c>
      <c r="F160" s="101">
        <v>0.4</v>
      </c>
      <c r="G160" s="102">
        <v>0</v>
      </c>
      <c r="H160" s="7" t="s">
        <v>837</v>
      </c>
      <c r="I160" s="7" t="s">
        <v>830</v>
      </c>
      <c r="J160" s="103">
        <v>2.1466569999999998</v>
      </c>
      <c r="K160" s="104" t="s">
        <v>56</v>
      </c>
      <c r="L160" s="104"/>
      <c r="M160" s="99" t="s">
        <v>416</v>
      </c>
      <c r="N160" s="104" t="str">
        <f>IF(K160="","",K160&amp;COUNTIF($K$4:K160,K160))</f>
        <v>Kent Business Rates Pool5</v>
      </c>
      <c r="O160" s="104" t="str">
        <f>IF(D160="NA","NA",D160&amp;COUNTIF($D$4:D160,D160))</f>
        <v>E22216</v>
      </c>
      <c r="P160" s="104" t="str">
        <f>IF(E160="NA","NA",E160&amp;COUNTIF($E$4:E160,E160))</f>
        <v>E61226</v>
      </c>
      <c r="Q160" s="104" t="str">
        <f t="shared" si="5"/>
        <v>Maidstone</v>
      </c>
      <c r="R160" s="153" t="s">
        <v>1335</v>
      </c>
      <c r="S160" s="192">
        <f t="shared" si="6"/>
        <v>0.85866279999999995</v>
      </c>
      <c r="T160" s="194">
        <v>0.72599999999999998</v>
      </c>
    </row>
    <row r="161" spans="1:20" x14ac:dyDescent="0.25">
      <c r="A161" s="98">
        <v>158</v>
      </c>
      <c r="B161" s="99" t="s">
        <v>418</v>
      </c>
      <c r="C161" s="100" t="s">
        <v>417</v>
      </c>
      <c r="D161" s="101" t="s">
        <v>79</v>
      </c>
      <c r="E161" s="101" t="s">
        <v>80</v>
      </c>
      <c r="F161" s="101">
        <v>0.4</v>
      </c>
      <c r="G161" s="102">
        <v>0</v>
      </c>
      <c r="H161" s="7" t="s">
        <v>830</v>
      </c>
      <c r="I161" s="7" t="s">
        <v>830</v>
      </c>
      <c r="J161" s="103">
        <v>0.19581299999999999</v>
      </c>
      <c r="K161" s="104" t="s">
        <v>129</v>
      </c>
      <c r="L161" s="104"/>
      <c r="M161" s="99" t="s">
        <v>418</v>
      </c>
      <c r="N161" s="104" t="str">
        <f>IF(K161="","",K161&amp;COUNTIF($K$4:K161,K161))</f>
        <v>Essex Business Rates Pool6</v>
      </c>
      <c r="O161" s="104" t="str">
        <f>IF(D161="NA","NA",D161&amp;COUNTIF($D$4:D161,D161))</f>
        <v>E15219</v>
      </c>
      <c r="P161" s="104" t="str">
        <f>IF(E161="NA","NA",E161&amp;COUNTIF($E$4:E161,E161))</f>
        <v>E61159</v>
      </c>
      <c r="Q161" s="104" t="str">
        <f t="shared" si="5"/>
        <v>Maldon</v>
      </c>
      <c r="R161" s="153" t="s">
        <v>1335</v>
      </c>
      <c r="S161" s="192">
        <f t="shared" si="6"/>
        <v>7.8325199999999998E-2</v>
      </c>
      <c r="T161" s="194">
        <v>0.69799999999999995</v>
      </c>
    </row>
    <row r="162" spans="1:20" x14ac:dyDescent="0.25">
      <c r="A162" s="98">
        <v>159</v>
      </c>
      <c r="B162" s="99" t="s">
        <v>420</v>
      </c>
      <c r="C162" s="100" t="s">
        <v>419</v>
      </c>
      <c r="D162" s="101" t="s">
        <v>149</v>
      </c>
      <c r="E162" s="101" t="s">
        <v>150</v>
      </c>
      <c r="F162" s="101">
        <v>0.4</v>
      </c>
      <c r="G162" s="102">
        <v>0</v>
      </c>
      <c r="H162" s="7" t="s">
        <v>837</v>
      </c>
      <c r="I162" s="7" t="s">
        <v>830</v>
      </c>
      <c r="J162" s="103">
        <v>0.459287</v>
      </c>
      <c r="K162" s="104"/>
      <c r="L162" s="104"/>
      <c r="M162" s="99" t="s">
        <v>420</v>
      </c>
      <c r="N162" s="104" t="str">
        <f>IF(K162="","",K162&amp;COUNTIF($K$4:K162,K162))</f>
        <v/>
      </c>
      <c r="O162" s="104" t="str">
        <f>IF(D162="NA","NA",D162&amp;COUNTIF($D$4:D162,D162))</f>
        <v>E18212</v>
      </c>
      <c r="P162" s="104" t="str">
        <f>IF(E162="NA","NA",E162&amp;COUNTIF($E$4:E162,E162))</f>
        <v>E61183</v>
      </c>
      <c r="Q162" s="104" t="str">
        <f t="shared" si="5"/>
        <v>Malvern Hills</v>
      </c>
      <c r="R162" s="153" t="s">
        <v>1335</v>
      </c>
      <c r="S162" s="192">
        <f t="shared" si="6"/>
        <v>0.18371480000000001</v>
      </c>
      <c r="T162" s="194">
        <v>0.66800000000000004</v>
      </c>
    </row>
    <row r="163" spans="1:20" x14ac:dyDescent="0.25">
      <c r="A163" s="98">
        <v>160</v>
      </c>
      <c r="B163" s="99" t="s">
        <v>423</v>
      </c>
      <c r="C163" s="100" t="s">
        <v>422</v>
      </c>
      <c r="D163" s="101" t="s">
        <v>36</v>
      </c>
      <c r="E163" s="101" t="s">
        <v>113</v>
      </c>
      <c r="F163" s="101">
        <v>0.49</v>
      </c>
      <c r="G163" s="102">
        <v>0</v>
      </c>
      <c r="H163" s="7" t="s">
        <v>830</v>
      </c>
      <c r="I163" s="7" t="s">
        <v>830</v>
      </c>
      <c r="J163" s="103">
        <v>78.997573000000003</v>
      </c>
      <c r="K163" s="104" t="s">
        <v>865</v>
      </c>
      <c r="L163" s="153" t="s">
        <v>1272</v>
      </c>
      <c r="M163" s="99" t="s">
        <v>423</v>
      </c>
      <c r="N163" s="104" t="str">
        <f>IF(K163="","",K163&amp;COUNTIF($K$4:K163,K163))</f>
        <v>Greater Manchester &amp; Cheshire Business Rates Pool5</v>
      </c>
      <c r="O163" s="104" t="str">
        <f>IF(D163="NA","NA",D163&amp;COUNTIF($D$4:D163,D163))</f>
        <v>NA</v>
      </c>
      <c r="P163" s="104" t="str">
        <f>IF(E163="NA","NA",E163&amp;COUNTIF($E$4:E163,E163))</f>
        <v>E61423</v>
      </c>
      <c r="Q163" s="104" t="str">
        <f t="shared" si="5"/>
        <v>Manchester</v>
      </c>
      <c r="R163" s="153" t="s">
        <v>1335</v>
      </c>
      <c r="S163" s="192">
        <f t="shared" si="6"/>
        <v>38.708810769999999</v>
      </c>
      <c r="T163" s="194">
        <v>0.69899999999999995</v>
      </c>
    </row>
    <row r="164" spans="1:20" x14ac:dyDescent="0.25">
      <c r="A164" s="98">
        <v>161</v>
      </c>
      <c r="B164" s="99" t="s">
        <v>425</v>
      </c>
      <c r="C164" s="100" t="s">
        <v>424</v>
      </c>
      <c r="D164" s="101" t="s">
        <v>50</v>
      </c>
      <c r="E164" s="101" t="s">
        <v>51</v>
      </c>
      <c r="F164" s="101">
        <v>0.4</v>
      </c>
      <c r="G164" s="102">
        <v>0</v>
      </c>
      <c r="H164" s="7" t="s">
        <v>837</v>
      </c>
      <c r="I164" s="7" t="s">
        <v>830</v>
      </c>
      <c r="J164" s="103">
        <v>1.007104</v>
      </c>
      <c r="K164" s="104" t="s">
        <v>835</v>
      </c>
      <c r="L164" s="104"/>
      <c r="M164" s="99" t="s">
        <v>425</v>
      </c>
      <c r="N164" s="104" t="str">
        <f>IF(K164="","",K164&amp;COUNTIF($K$4:K164,K164))</f>
        <v>Nottingham Business Rates Pool5</v>
      </c>
      <c r="O164" s="104" t="str">
        <f>IF(D164="NA","NA",D164&amp;COUNTIF($D$4:D164,D164))</f>
        <v>E30215</v>
      </c>
      <c r="P164" s="104" t="str">
        <f>IF(E164="NA","NA",E164&amp;COUNTIF($E$4:E164,E164))</f>
        <v>E61305</v>
      </c>
      <c r="Q164" s="104" t="str">
        <f t="shared" si="5"/>
        <v>Mansfield</v>
      </c>
      <c r="R164" s="153" t="s">
        <v>1335</v>
      </c>
      <c r="S164" s="192">
        <f t="shared" si="6"/>
        <v>0.40284160000000002</v>
      </c>
      <c r="T164" s="194">
        <v>0.69</v>
      </c>
    </row>
    <row r="165" spans="1:20" x14ac:dyDescent="0.25">
      <c r="A165" s="98">
        <v>162</v>
      </c>
      <c r="B165" s="99" t="s">
        <v>427</v>
      </c>
      <c r="C165" s="100" t="s">
        <v>426</v>
      </c>
      <c r="D165" s="101" t="s">
        <v>36</v>
      </c>
      <c r="E165" s="101" t="s">
        <v>55</v>
      </c>
      <c r="F165" s="101">
        <v>0.49</v>
      </c>
      <c r="G165" s="102">
        <v>0</v>
      </c>
      <c r="H165" s="7" t="s">
        <v>837</v>
      </c>
      <c r="I165" s="7" t="s">
        <v>830</v>
      </c>
      <c r="J165" s="103">
        <v>6.8280500000000002</v>
      </c>
      <c r="K165" s="104"/>
      <c r="L165" s="104"/>
      <c r="M165" s="99" t="s">
        <v>427</v>
      </c>
      <c r="N165" s="104" t="str">
        <f>IF(K165="","",K165&amp;COUNTIF($K$4:K165,K165))</f>
        <v/>
      </c>
      <c r="O165" s="104" t="str">
        <f>IF(D165="NA","NA",D165&amp;COUNTIF($D$4:D165,D165))</f>
        <v>NA</v>
      </c>
      <c r="P165" s="104" t="str">
        <f>IF(E165="NA","NA",E165&amp;COUNTIF($E$4:E165,E165))</f>
        <v>E61227</v>
      </c>
      <c r="Q165" s="104" t="str">
        <f t="shared" si="5"/>
        <v>Medway</v>
      </c>
      <c r="R165" s="153" t="s">
        <v>1335</v>
      </c>
      <c r="S165" s="192">
        <f t="shared" si="6"/>
        <v>3.3457444999999999</v>
      </c>
      <c r="T165" s="194">
        <v>0.72899999999999998</v>
      </c>
    </row>
    <row r="166" spans="1:20" x14ac:dyDescent="0.25">
      <c r="A166" s="98">
        <v>163</v>
      </c>
      <c r="B166" s="99" t="s">
        <v>429</v>
      </c>
      <c r="C166" s="100" t="s">
        <v>428</v>
      </c>
      <c r="D166" s="101" t="s">
        <v>101</v>
      </c>
      <c r="E166" s="101" t="s">
        <v>102</v>
      </c>
      <c r="F166" s="101">
        <v>0.4</v>
      </c>
      <c r="G166" s="102">
        <v>0</v>
      </c>
      <c r="H166" s="7" t="s">
        <v>830</v>
      </c>
      <c r="I166" s="7" t="s">
        <v>830</v>
      </c>
      <c r="J166" s="103">
        <v>0.28154600000000002</v>
      </c>
      <c r="K166" s="104" t="s">
        <v>103</v>
      </c>
      <c r="L166" s="104"/>
      <c r="M166" s="99" t="s">
        <v>429</v>
      </c>
      <c r="N166" s="104" t="str">
        <f>IF(K166="","",K166&amp;COUNTIF($K$4:K166,K166))</f>
        <v>Leicestershire Business Rates Pool6</v>
      </c>
      <c r="O166" s="104" t="str">
        <f>IF(D166="NA","NA",D166&amp;COUNTIF($D$4:D166,D166))</f>
        <v>E24215</v>
      </c>
      <c r="P166" s="104" t="str">
        <f>IF(E166="NA","NA",E166&amp;COUNTIF($E$4:E166,E166))</f>
        <v>E61246</v>
      </c>
      <c r="Q166" s="104" t="str">
        <f t="shared" si="5"/>
        <v>Melton</v>
      </c>
      <c r="R166" s="153" t="s">
        <v>1335</v>
      </c>
      <c r="S166" s="192">
        <f t="shared" si="6"/>
        <v>0.11261840000000001</v>
      </c>
      <c r="T166" s="194">
        <v>0.70599999999999996</v>
      </c>
    </row>
    <row r="167" spans="1:20" x14ac:dyDescent="0.25">
      <c r="A167" s="98">
        <v>164</v>
      </c>
      <c r="B167" s="99" t="s">
        <v>431</v>
      </c>
      <c r="C167" s="100" t="s">
        <v>430</v>
      </c>
      <c r="D167" s="101" t="s">
        <v>432</v>
      </c>
      <c r="E167" s="101" t="s">
        <v>261</v>
      </c>
      <c r="F167" s="101">
        <v>0.4</v>
      </c>
      <c r="G167" s="102">
        <v>0</v>
      </c>
      <c r="H167" s="7" t="s">
        <v>830</v>
      </c>
      <c r="I167" s="7" t="s">
        <v>830</v>
      </c>
      <c r="J167" s="103">
        <v>0</v>
      </c>
      <c r="K167" s="104" t="s">
        <v>90</v>
      </c>
      <c r="L167" s="104"/>
      <c r="M167" s="99" t="s">
        <v>431</v>
      </c>
      <c r="N167" s="104" t="str">
        <f>IF(K167="","",K167&amp;COUNTIF($K$4:K167,K167))</f>
        <v>Somerset Business Rates Pool1</v>
      </c>
      <c r="O167" s="104" t="str">
        <f>IF(D167="NA","NA",D167&amp;COUNTIF($D$4:D167,D167))</f>
        <v>E33201</v>
      </c>
      <c r="P167" s="104" t="str">
        <f>IF(E167="NA","NA",E167&amp;COUNTIF($E$4:E167,E167))</f>
        <v>E61613</v>
      </c>
      <c r="Q167" s="104" t="str">
        <f t="shared" si="5"/>
        <v>Mendip</v>
      </c>
      <c r="R167" s="153" t="s">
        <v>1335</v>
      </c>
      <c r="S167" s="192">
        <f t="shared" si="6"/>
        <v>0</v>
      </c>
      <c r="T167" s="194">
        <v>0.68700000000000006</v>
      </c>
    </row>
    <row r="168" spans="1:20" x14ac:dyDescent="0.25">
      <c r="A168" s="98">
        <v>165</v>
      </c>
      <c r="B168" s="99" t="s">
        <v>434</v>
      </c>
      <c r="C168" s="100" t="s">
        <v>433</v>
      </c>
      <c r="D168" s="101" t="s">
        <v>68</v>
      </c>
      <c r="E168" s="101" t="s">
        <v>36</v>
      </c>
      <c r="F168" s="101">
        <v>0.3</v>
      </c>
      <c r="G168" s="102">
        <v>0</v>
      </c>
      <c r="H168" s="7" t="s">
        <v>830</v>
      </c>
      <c r="I168" s="7" t="s">
        <v>830</v>
      </c>
      <c r="J168" s="103">
        <v>4.1051039999999999</v>
      </c>
      <c r="K168" s="104"/>
      <c r="L168" s="104"/>
      <c r="M168" s="99" t="s">
        <v>434</v>
      </c>
      <c r="N168" s="104" t="str">
        <f>IF(K168="","",K168&amp;COUNTIF($K$4:K168,K168))</f>
        <v/>
      </c>
      <c r="O168" s="104" t="str">
        <f>IF(D168="NA","NA",D168&amp;COUNTIF($D$4:D168,D168))</f>
        <v>E510024</v>
      </c>
      <c r="P168" s="104" t="str">
        <f>IF(E168="NA","NA",E168&amp;COUNTIF($E$4:E168,E168))</f>
        <v>NA</v>
      </c>
      <c r="Q168" s="104" t="str">
        <f t="shared" si="5"/>
        <v>Merton</v>
      </c>
      <c r="R168" s="153" t="s">
        <v>1335</v>
      </c>
      <c r="S168" s="192">
        <f t="shared" si="6"/>
        <v>1.2315311999999998</v>
      </c>
      <c r="T168" s="194">
        <v>0.749</v>
      </c>
    </row>
    <row r="169" spans="1:20" x14ac:dyDescent="0.25">
      <c r="A169" s="98">
        <v>166</v>
      </c>
      <c r="B169" s="99" t="s">
        <v>436</v>
      </c>
      <c r="C169" s="100" t="s">
        <v>435</v>
      </c>
      <c r="D169" s="101" t="s">
        <v>260</v>
      </c>
      <c r="E169" s="101" t="s">
        <v>261</v>
      </c>
      <c r="F169" s="101">
        <v>0.4</v>
      </c>
      <c r="G169" s="102">
        <v>0</v>
      </c>
      <c r="H169" s="7" t="s">
        <v>830</v>
      </c>
      <c r="I169" s="7" t="s">
        <v>830</v>
      </c>
      <c r="J169" s="103">
        <v>1.2999999999999999E-2</v>
      </c>
      <c r="K169" s="104" t="s">
        <v>262</v>
      </c>
      <c r="L169" s="104"/>
      <c r="M169" s="99" t="s">
        <v>436</v>
      </c>
      <c r="N169" s="104" t="str">
        <f>IF(K169="","",K169&amp;COUNTIF($K$4:K169,K169))</f>
        <v>Devon Business Rates Pool3</v>
      </c>
      <c r="O169" s="104" t="str">
        <f>IF(D169="NA","NA",D169&amp;COUNTIF($D$4:D169,D169))</f>
        <v>E11213</v>
      </c>
      <c r="P169" s="104" t="str">
        <f>IF(E169="NA","NA",E169&amp;COUNTIF($E$4:E169,E169))</f>
        <v>E61614</v>
      </c>
      <c r="Q169" s="104" t="str">
        <f t="shared" si="5"/>
        <v>Mid Devon</v>
      </c>
      <c r="R169" s="153" t="s">
        <v>1335</v>
      </c>
      <c r="S169" s="192">
        <f t="shared" si="6"/>
        <v>5.1999999999999998E-3</v>
      </c>
      <c r="T169" s="194">
        <v>0.67100000000000004</v>
      </c>
    </row>
    <row r="170" spans="1:20" x14ac:dyDescent="0.25">
      <c r="A170" s="98">
        <v>167</v>
      </c>
      <c r="B170" s="99" t="s">
        <v>438</v>
      </c>
      <c r="C170" s="100" t="s">
        <v>437</v>
      </c>
      <c r="D170" s="101" t="s">
        <v>64</v>
      </c>
      <c r="E170" s="101" t="s">
        <v>36</v>
      </c>
      <c r="F170" s="101">
        <v>0.4</v>
      </c>
      <c r="G170" s="102">
        <v>0</v>
      </c>
      <c r="H170" s="7" t="s">
        <v>830</v>
      </c>
      <c r="I170" s="7" t="s">
        <v>830</v>
      </c>
      <c r="J170" s="103">
        <v>0.543103</v>
      </c>
      <c r="K170" s="104" t="s">
        <v>65</v>
      </c>
      <c r="L170" s="104"/>
      <c r="M170" s="99" t="s">
        <v>438</v>
      </c>
      <c r="N170" s="104" t="str">
        <f>IF(K170="","",K170&amp;COUNTIF($K$4:K170,K170))</f>
        <v>Suffolk Business Rates Pool4</v>
      </c>
      <c r="O170" s="104" t="str">
        <f>IF(D170="NA","NA",D170&amp;COUNTIF($D$4:D170,D170))</f>
        <v>E35204</v>
      </c>
      <c r="P170" s="104" t="str">
        <f>IF(E170="NA","NA",E170&amp;COUNTIF($E$4:E170,E170))</f>
        <v>NA</v>
      </c>
      <c r="Q170" s="104" t="str">
        <f t="shared" si="5"/>
        <v>Mid Suffolk</v>
      </c>
      <c r="R170" s="153" t="s">
        <v>1335</v>
      </c>
      <c r="S170" s="192">
        <f t="shared" si="6"/>
        <v>0.21724120000000002</v>
      </c>
      <c r="T170" s="194">
        <v>0.66800000000000004</v>
      </c>
    </row>
    <row r="171" spans="1:20" x14ac:dyDescent="0.25">
      <c r="A171" s="98">
        <v>168</v>
      </c>
      <c r="B171" s="99" t="s">
        <v>440</v>
      </c>
      <c r="C171" s="100" t="s">
        <v>439</v>
      </c>
      <c r="D171" s="101" t="s">
        <v>35</v>
      </c>
      <c r="E171" s="101" t="s">
        <v>36</v>
      </c>
      <c r="F171" s="101">
        <v>0.4</v>
      </c>
      <c r="G171" s="102">
        <v>0</v>
      </c>
      <c r="H171" s="7" t="s">
        <v>830</v>
      </c>
      <c r="I171" s="7" t="s">
        <v>830</v>
      </c>
      <c r="J171" s="103">
        <v>1.006923</v>
      </c>
      <c r="K171" s="104"/>
      <c r="L171" s="104"/>
      <c r="M171" s="99" t="s">
        <v>440</v>
      </c>
      <c r="N171" s="104" t="str">
        <f>IF(K171="","",K171&amp;COUNTIF($K$4:K171,K171))</f>
        <v/>
      </c>
      <c r="O171" s="104" t="str">
        <f>IF(D171="NA","NA",D171&amp;COUNTIF($D$4:D171,D171))</f>
        <v>E38206</v>
      </c>
      <c r="P171" s="104" t="str">
        <f>IF(E171="NA","NA",E171&amp;COUNTIF($E$4:E171,E171))</f>
        <v>NA</v>
      </c>
      <c r="Q171" s="104" t="str">
        <f t="shared" si="5"/>
        <v>Mid Sussex</v>
      </c>
      <c r="R171" s="153" t="s">
        <v>1335</v>
      </c>
      <c r="S171" s="192">
        <f t="shared" si="6"/>
        <v>0.40276920000000005</v>
      </c>
      <c r="T171" s="194">
        <v>0.73899999999999999</v>
      </c>
    </row>
    <row r="172" spans="1:20" x14ac:dyDescent="0.25">
      <c r="A172" s="98">
        <v>169</v>
      </c>
      <c r="B172" s="99" t="s">
        <v>442</v>
      </c>
      <c r="C172" s="100" t="s">
        <v>441</v>
      </c>
      <c r="D172" s="101" t="s">
        <v>36</v>
      </c>
      <c r="E172" s="101" t="s">
        <v>347</v>
      </c>
      <c r="F172" s="101">
        <v>0.49</v>
      </c>
      <c r="G172" s="102">
        <v>0</v>
      </c>
      <c r="H172" s="7" t="s">
        <v>830</v>
      </c>
      <c r="I172" s="7" t="s">
        <v>830</v>
      </c>
      <c r="J172" s="103">
        <v>2.7</v>
      </c>
      <c r="K172" s="104"/>
      <c r="L172" s="104"/>
      <c r="M172" s="99" t="s">
        <v>442</v>
      </c>
      <c r="N172" s="104" t="str">
        <f>IF(K172="","",K172&amp;COUNTIF($K$4:K172,K172))</f>
        <v/>
      </c>
      <c r="O172" s="104" t="str">
        <f>IF(D172="NA","NA",D172&amp;COUNTIF($D$4:D172,D172))</f>
        <v>NA</v>
      </c>
      <c r="P172" s="104" t="str">
        <f>IF(E172="NA","NA",E172&amp;COUNTIF($E$4:E172,E172))</f>
        <v>E61072</v>
      </c>
      <c r="Q172" s="104" t="str">
        <f t="shared" si="5"/>
        <v>Middlesbrough</v>
      </c>
      <c r="R172" s="153" t="s">
        <v>1335</v>
      </c>
      <c r="S172" s="192">
        <f t="shared" si="6"/>
        <v>1.323</v>
      </c>
      <c r="T172" s="194">
        <v>0.69599999999999995</v>
      </c>
    </row>
    <row r="173" spans="1:20" x14ac:dyDescent="0.25">
      <c r="A173" s="98">
        <v>170</v>
      </c>
      <c r="B173" s="99" t="s">
        <v>444</v>
      </c>
      <c r="C173" s="100" t="s">
        <v>443</v>
      </c>
      <c r="D173" s="101" t="s">
        <v>36</v>
      </c>
      <c r="E173" s="101" t="s">
        <v>60</v>
      </c>
      <c r="F173" s="101">
        <v>0.49</v>
      </c>
      <c r="G173" s="102">
        <v>0</v>
      </c>
      <c r="H173" s="7" t="s">
        <v>830</v>
      </c>
      <c r="I173" s="7" t="s">
        <v>830</v>
      </c>
      <c r="J173" s="103">
        <v>17.326000000000001</v>
      </c>
      <c r="K173" s="104"/>
      <c r="L173" s="104"/>
      <c r="M173" s="99" t="s">
        <v>444</v>
      </c>
      <c r="N173" s="104" t="str">
        <f>IF(K173="","",K173&amp;COUNTIF($K$4:K173,K173))</f>
        <v/>
      </c>
      <c r="O173" s="104" t="str">
        <f>IF(D173="NA","NA",D173&amp;COUNTIF($D$4:D173,D173))</f>
        <v>NA</v>
      </c>
      <c r="P173" s="104" t="str">
        <f>IF(E173="NA","NA",E173&amp;COUNTIF($E$4:E173,E173))</f>
        <v>E61043</v>
      </c>
      <c r="Q173" s="104" t="str">
        <f t="shared" si="5"/>
        <v>Milton Keynes</v>
      </c>
      <c r="R173" s="153" t="s">
        <v>1335</v>
      </c>
      <c r="S173" s="192">
        <f t="shared" si="6"/>
        <v>8.4897399999999994</v>
      </c>
      <c r="T173" s="194">
        <v>0.747</v>
      </c>
    </row>
    <row r="174" spans="1:20" x14ac:dyDescent="0.25">
      <c r="A174" s="98">
        <v>171</v>
      </c>
      <c r="B174" s="99" t="s">
        <v>446</v>
      </c>
      <c r="C174" s="100" t="s">
        <v>445</v>
      </c>
      <c r="D174" s="101" t="s">
        <v>287</v>
      </c>
      <c r="E174" s="101" t="s">
        <v>36</v>
      </c>
      <c r="F174" s="101">
        <v>0.4</v>
      </c>
      <c r="G174" s="102">
        <v>0</v>
      </c>
      <c r="H174" s="7" t="s">
        <v>830</v>
      </c>
      <c r="I174" s="7" t="s">
        <v>830</v>
      </c>
      <c r="J174" s="103">
        <v>1.219063</v>
      </c>
      <c r="K174" s="104" t="s">
        <v>929</v>
      </c>
      <c r="L174" s="104"/>
      <c r="M174" s="99" t="s">
        <v>446</v>
      </c>
      <c r="N174" s="104" t="str">
        <f>IF(K174="","",K174&amp;COUNTIF($K$4:K174,K174))</f>
        <v>Surrey-Croydon Business Rates Pool4</v>
      </c>
      <c r="O174" s="104" t="str">
        <f>IF(D174="NA","NA",D174&amp;COUNTIF($D$4:D174,D174))</f>
        <v>E36204</v>
      </c>
      <c r="P174" s="104" t="str">
        <f>IF(E174="NA","NA",E174&amp;COUNTIF($E$4:E174,E174))</f>
        <v>NA</v>
      </c>
      <c r="Q174" s="104" t="str">
        <f t="shared" si="5"/>
        <v>Mole Valley</v>
      </c>
      <c r="R174" s="153" t="s">
        <v>1335</v>
      </c>
      <c r="S174" s="192">
        <f t="shared" si="6"/>
        <v>0.48762520000000004</v>
      </c>
      <c r="T174" s="194">
        <v>0.72499999999999998</v>
      </c>
    </row>
    <row r="175" spans="1:20" x14ac:dyDescent="0.25">
      <c r="A175" s="98">
        <v>172</v>
      </c>
      <c r="B175" s="99" t="s">
        <v>448</v>
      </c>
      <c r="C175" s="100" t="s">
        <v>447</v>
      </c>
      <c r="D175" s="101" t="s">
        <v>83</v>
      </c>
      <c r="E175" s="101" t="s">
        <v>84</v>
      </c>
      <c r="F175" s="101">
        <v>0.4</v>
      </c>
      <c r="G175" s="102">
        <v>0</v>
      </c>
      <c r="H175" s="7" t="s">
        <v>830</v>
      </c>
      <c r="I175" s="7" t="s">
        <v>830</v>
      </c>
      <c r="J175" s="103">
        <v>5.2476710000000004</v>
      </c>
      <c r="K175" s="104"/>
      <c r="L175" s="104"/>
      <c r="M175" s="99" t="s">
        <v>448</v>
      </c>
      <c r="N175" s="104" t="str">
        <f>IF(K175="","",K175&amp;COUNTIF($K$4:K175,K175))</f>
        <v/>
      </c>
      <c r="O175" s="104" t="str">
        <f>IF(D175="NA","NA",D175&amp;COUNTIF($D$4:D175,D175))</f>
        <v>E17218</v>
      </c>
      <c r="P175" s="104" t="str">
        <f>IF(E175="NA","NA",E175&amp;COUNTIF($E$4:E175,E175))</f>
        <v>E61178</v>
      </c>
      <c r="Q175" s="104" t="str">
        <f t="shared" si="5"/>
        <v>New Forest</v>
      </c>
      <c r="R175" s="153" t="s">
        <v>1335</v>
      </c>
      <c r="S175" s="192">
        <f t="shared" si="6"/>
        <v>2.0990684000000002</v>
      </c>
      <c r="T175" s="194">
        <v>0.71599999999999997</v>
      </c>
    </row>
    <row r="176" spans="1:20" x14ac:dyDescent="0.25">
      <c r="A176" s="98">
        <v>173</v>
      </c>
      <c r="B176" s="99" t="s">
        <v>450</v>
      </c>
      <c r="C176" s="100" t="s">
        <v>449</v>
      </c>
      <c r="D176" s="101" t="s">
        <v>50</v>
      </c>
      <c r="E176" s="101" t="s">
        <v>51</v>
      </c>
      <c r="F176" s="101">
        <v>0.4</v>
      </c>
      <c r="G176" s="102">
        <v>0</v>
      </c>
      <c r="H176" s="7" t="s">
        <v>830</v>
      </c>
      <c r="I176" s="7" t="s">
        <v>830</v>
      </c>
      <c r="J176" s="103">
        <v>1.224645</v>
      </c>
      <c r="K176" s="104" t="s">
        <v>835</v>
      </c>
      <c r="L176" s="104"/>
      <c r="M176" s="99" t="s">
        <v>450</v>
      </c>
      <c r="N176" s="104" t="str">
        <f>IF(K176="","",K176&amp;COUNTIF($K$4:K176,K176))</f>
        <v>Nottingham Business Rates Pool6</v>
      </c>
      <c r="O176" s="104" t="str">
        <f>IF(D176="NA","NA",D176&amp;COUNTIF($D$4:D176,D176))</f>
        <v>E30216</v>
      </c>
      <c r="P176" s="104" t="str">
        <f>IF(E176="NA","NA",E176&amp;COUNTIF($E$4:E176,E176))</f>
        <v>E61306</v>
      </c>
      <c r="Q176" s="104" t="str">
        <f t="shared" si="5"/>
        <v>Newark and Sherwood</v>
      </c>
      <c r="R176" s="153" t="s">
        <v>1335</v>
      </c>
      <c r="S176" s="192">
        <f t="shared" si="6"/>
        <v>0.48985800000000002</v>
      </c>
      <c r="T176" s="194">
        <v>0.68799999999999994</v>
      </c>
    </row>
    <row r="177" spans="1:20" x14ac:dyDescent="0.25">
      <c r="A177" s="98">
        <v>174</v>
      </c>
      <c r="B177" s="99" t="s">
        <v>451</v>
      </c>
      <c r="C177" s="100" t="s">
        <v>1073</v>
      </c>
      <c r="D177" s="101" t="s">
        <v>36</v>
      </c>
      <c r="E177" s="101" t="s">
        <v>310</v>
      </c>
      <c r="F177" s="101">
        <v>0.49</v>
      </c>
      <c r="G177" s="102">
        <v>0</v>
      </c>
      <c r="H177" s="7" t="s">
        <v>837</v>
      </c>
      <c r="I177" s="7" t="s">
        <v>830</v>
      </c>
      <c r="J177" s="103">
        <v>13.775116000000001</v>
      </c>
      <c r="K177" s="104"/>
      <c r="L177" s="104"/>
      <c r="M177" s="99" t="s">
        <v>451</v>
      </c>
      <c r="N177" s="104" t="str">
        <f>IF(K177="","",K177&amp;COUNTIF($K$4:K177,K177))</f>
        <v/>
      </c>
      <c r="O177" s="104" t="str">
        <f>IF(D177="NA","NA",D177&amp;COUNTIF($D$4:D177,D177))</f>
        <v>NA</v>
      </c>
      <c r="P177" s="104" t="str">
        <f>IF(E177="NA","NA",E177&amp;COUNTIF($E$4:E177,E177))</f>
        <v>E61452</v>
      </c>
      <c r="Q177" s="104" t="str">
        <f t="shared" si="5"/>
        <v>Newcastle upon Tyne</v>
      </c>
      <c r="R177" s="153" t="s">
        <v>1335</v>
      </c>
      <c r="S177" s="192">
        <f t="shared" si="6"/>
        <v>6.7498068399999998</v>
      </c>
      <c r="T177" s="194">
        <v>0.71199999999999997</v>
      </c>
    </row>
    <row r="178" spans="1:20" x14ac:dyDescent="0.25">
      <c r="A178" s="98">
        <v>175</v>
      </c>
      <c r="B178" s="99" t="s">
        <v>453</v>
      </c>
      <c r="C178" s="100" t="s">
        <v>452</v>
      </c>
      <c r="D178" s="101" t="s">
        <v>171</v>
      </c>
      <c r="E178" s="101" t="s">
        <v>172</v>
      </c>
      <c r="F178" s="101">
        <v>0.4</v>
      </c>
      <c r="G178" s="102">
        <v>0</v>
      </c>
      <c r="H178" s="7" t="s">
        <v>830</v>
      </c>
      <c r="I178" s="7" t="s">
        <v>830</v>
      </c>
      <c r="J178" s="103">
        <v>0.39700000000000002</v>
      </c>
      <c r="K178" s="104" t="s">
        <v>454</v>
      </c>
      <c r="L178" s="104"/>
      <c r="M178" s="99" t="s">
        <v>453</v>
      </c>
      <c r="N178" s="104" t="str">
        <f>IF(K178="","",K178&amp;COUNTIF($K$4:K178,K178))</f>
        <v>Staffordshire &amp; Stoke on Trent Business Rates Pool1</v>
      </c>
      <c r="O178" s="104" t="str">
        <f>IF(D178="NA","NA",D178&amp;COUNTIF($D$4:D178,D178))</f>
        <v>E34214</v>
      </c>
      <c r="P178" s="104" t="str">
        <f>IF(E178="NA","NA",E178&amp;COUNTIF($E$4:E178,E178))</f>
        <v>E61344</v>
      </c>
      <c r="Q178" s="104" t="str">
        <f t="shared" si="5"/>
        <v>Newcastle-under-Lyme</v>
      </c>
      <c r="R178" s="153" t="s">
        <v>1335</v>
      </c>
      <c r="S178" s="192">
        <f t="shared" si="6"/>
        <v>0.15880000000000002</v>
      </c>
      <c r="T178" s="194">
        <v>0.68100000000000005</v>
      </c>
    </row>
    <row r="179" spans="1:20" x14ac:dyDescent="0.25">
      <c r="A179" s="98">
        <v>176</v>
      </c>
      <c r="B179" s="99" t="s">
        <v>456</v>
      </c>
      <c r="C179" s="100" t="s">
        <v>455</v>
      </c>
      <c r="D179" s="101" t="s">
        <v>68</v>
      </c>
      <c r="E179" s="101" t="s">
        <v>36</v>
      </c>
      <c r="F179" s="101">
        <v>0.3</v>
      </c>
      <c r="G179" s="102">
        <v>0</v>
      </c>
      <c r="H179" s="7" t="s">
        <v>830</v>
      </c>
      <c r="I179" s="7" t="s">
        <v>830</v>
      </c>
      <c r="J179" s="103">
        <v>5.4543879999999998</v>
      </c>
      <c r="K179" s="104"/>
      <c r="L179" s="104"/>
      <c r="M179" s="99" t="s">
        <v>456</v>
      </c>
      <c r="N179" s="104" t="str">
        <f>IF(K179="","",K179&amp;COUNTIF($K$4:K179,K179))</f>
        <v/>
      </c>
      <c r="O179" s="104" t="str">
        <f>IF(D179="NA","NA",D179&amp;COUNTIF($D$4:D179,D179))</f>
        <v>E510025</v>
      </c>
      <c r="P179" s="104" t="str">
        <f>IF(E179="NA","NA",E179&amp;COUNTIF($E$4:E179,E179))</f>
        <v>NA</v>
      </c>
      <c r="Q179" s="104" t="str">
        <f t="shared" si="5"/>
        <v>Newham</v>
      </c>
      <c r="R179" s="153" t="s">
        <v>1335</v>
      </c>
      <c r="S179" s="192">
        <f t="shared" si="6"/>
        <v>1.6363163999999999</v>
      </c>
      <c r="T179" s="194">
        <v>0.76</v>
      </c>
    </row>
    <row r="180" spans="1:20" x14ac:dyDescent="0.25">
      <c r="A180" s="98">
        <v>177</v>
      </c>
      <c r="B180" s="99" t="s">
        <v>458</v>
      </c>
      <c r="C180" s="100" t="s">
        <v>457</v>
      </c>
      <c r="D180" s="101" t="s">
        <v>260</v>
      </c>
      <c r="E180" s="101" t="s">
        <v>261</v>
      </c>
      <c r="F180" s="101">
        <v>0.4</v>
      </c>
      <c r="G180" s="102">
        <v>0</v>
      </c>
      <c r="H180" s="7" t="s">
        <v>830</v>
      </c>
      <c r="I180" s="7" t="s">
        <v>837</v>
      </c>
      <c r="J180" s="103">
        <v>0.65996100000000002</v>
      </c>
      <c r="K180" s="104" t="s">
        <v>262</v>
      </c>
      <c r="L180" s="104"/>
      <c r="M180" s="99" t="s">
        <v>458</v>
      </c>
      <c r="N180" s="104" t="str">
        <f>IF(K180="","",K180&amp;COUNTIF($K$4:K180,K180))</f>
        <v>Devon Business Rates Pool4</v>
      </c>
      <c r="O180" s="104" t="str">
        <f>IF(D180="NA","NA",D180&amp;COUNTIF($D$4:D180,D180))</f>
        <v>E11214</v>
      </c>
      <c r="P180" s="104" t="str">
        <f>IF(E180="NA","NA",E180&amp;COUNTIF($E$4:E180,E180))</f>
        <v>E61615</v>
      </c>
      <c r="Q180" s="104" t="str">
        <f t="shared" si="5"/>
        <v>North Devon</v>
      </c>
      <c r="R180" s="153" t="s">
        <v>1335</v>
      </c>
      <c r="S180" s="192">
        <f t="shared" si="6"/>
        <v>0.26398440000000001</v>
      </c>
      <c r="T180" s="194">
        <v>0.65700000000000003</v>
      </c>
    </row>
    <row r="181" spans="1:20" x14ac:dyDescent="0.25">
      <c r="A181" s="98">
        <v>178</v>
      </c>
      <c r="B181" s="99" t="s">
        <v>460</v>
      </c>
      <c r="C181" s="100" t="s">
        <v>459</v>
      </c>
      <c r="D181" s="101" t="s">
        <v>206</v>
      </c>
      <c r="E181" s="101" t="s">
        <v>868</v>
      </c>
      <c r="F181" s="101">
        <v>0.4</v>
      </c>
      <c r="G181" s="102">
        <v>0</v>
      </c>
      <c r="H181" s="7" t="s">
        <v>830</v>
      </c>
      <c r="I181" s="7" t="s">
        <v>830</v>
      </c>
      <c r="J181" s="103">
        <v>0.29745300000000002</v>
      </c>
      <c r="K181" s="104"/>
      <c r="L181" s="104"/>
      <c r="M181" s="99" t="s">
        <v>460</v>
      </c>
      <c r="N181" s="104" t="str">
        <f>IF(K181="","",K181&amp;COUNTIF($K$4:K181,K181))</f>
        <v/>
      </c>
      <c r="O181" s="104" t="str">
        <f>IF(D181="NA","NA",D181&amp;COUNTIF($D$4:D181,D181))</f>
        <v>E12213</v>
      </c>
      <c r="P181" s="104" t="str">
        <f>IF(E181="NA","NA",E181&amp;COUNTIF($E$4:E181,E181))</f>
        <v>E61624</v>
      </c>
      <c r="Q181" s="104" t="str">
        <f t="shared" si="5"/>
        <v>North Dorset</v>
      </c>
      <c r="R181" s="153" t="s">
        <v>1335</v>
      </c>
      <c r="S181" s="192">
        <f t="shared" si="6"/>
        <v>0.11898120000000001</v>
      </c>
      <c r="T181" s="194">
        <v>0.68799999999999994</v>
      </c>
    </row>
    <row r="182" spans="1:20" x14ac:dyDescent="0.25">
      <c r="A182" s="98">
        <v>179</v>
      </c>
      <c r="B182" s="99" t="s">
        <v>462</v>
      </c>
      <c r="C182" s="100" t="s">
        <v>461</v>
      </c>
      <c r="D182" s="101" t="s">
        <v>44</v>
      </c>
      <c r="E182" s="101" t="s">
        <v>45</v>
      </c>
      <c r="F182" s="101">
        <v>0.4</v>
      </c>
      <c r="G182" s="102">
        <v>0</v>
      </c>
      <c r="H182" s="7" t="s">
        <v>830</v>
      </c>
      <c r="I182" s="7" t="s">
        <v>830</v>
      </c>
      <c r="J182" s="103">
        <v>0.52961821999999992</v>
      </c>
      <c r="K182" s="104" t="s">
        <v>1</v>
      </c>
      <c r="L182" s="104"/>
      <c r="M182" s="99" t="s">
        <v>462</v>
      </c>
      <c r="N182" s="104" t="str">
        <f>IF(K182="","",K182&amp;COUNTIF($K$4:K182,K182))</f>
        <v>Derbyshire Business Rates Pool8</v>
      </c>
      <c r="O182" s="104" t="str">
        <f>IF(D182="NA","NA",D182&amp;COUNTIF($D$4:D182,D182))</f>
        <v>E10217</v>
      </c>
      <c r="P182" s="104" t="str">
        <f>IF(E182="NA","NA",E182&amp;COUNTIF($E$4:E182,E182))</f>
        <v>E61108</v>
      </c>
      <c r="Q182" s="104" t="str">
        <f t="shared" si="5"/>
        <v>North East Derbyshire</v>
      </c>
      <c r="R182" s="153" t="s">
        <v>1335</v>
      </c>
      <c r="S182" s="192">
        <f t="shared" si="6"/>
        <v>0.21184728799999997</v>
      </c>
      <c r="T182" s="194">
        <v>0.67100000000000004</v>
      </c>
    </row>
    <row r="183" spans="1:20" x14ac:dyDescent="0.25">
      <c r="A183" s="98">
        <v>180</v>
      </c>
      <c r="B183" s="99" t="s">
        <v>464</v>
      </c>
      <c r="C183" s="100" t="s">
        <v>463</v>
      </c>
      <c r="D183" s="101" t="s">
        <v>36</v>
      </c>
      <c r="E183" s="101" t="s">
        <v>275</v>
      </c>
      <c r="F183" s="101">
        <v>0.49</v>
      </c>
      <c r="G183" s="102">
        <v>0</v>
      </c>
      <c r="H183" s="7" t="s">
        <v>837</v>
      </c>
      <c r="I183" s="7" t="s">
        <v>830</v>
      </c>
      <c r="J183" s="103">
        <v>3.03918</v>
      </c>
      <c r="K183" s="104"/>
      <c r="L183" s="104"/>
      <c r="M183" s="99" t="s">
        <v>464</v>
      </c>
      <c r="N183" s="104" t="str">
        <f>IF(K183="","",K183&amp;COUNTIF($K$4:K183,K183))</f>
        <v/>
      </c>
      <c r="O183" s="104" t="str">
        <f>IF(D183="NA","NA",D183&amp;COUNTIF($D$4:D183,D183))</f>
        <v>NA</v>
      </c>
      <c r="P183" s="104" t="str">
        <f>IF(E183="NA","NA",E183&amp;COUNTIF($E$4:E183,E183))</f>
        <v>E61203</v>
      </c>
      <c r="Q183" s="104" t="str">
        <f t="shared" si="5"/>
        <v>North East Lincolnshire</v>
      </c>
      <c r="R183" s="153" t="s">
        <v>1335</v>
      </c>
      <c r="S183" s="192">
        <f t="shared" si="6"/>
        <v>1.4891981999999999</v>
      </c>
      <c r="T183" s="194">
        <v>0.67200000000000004</v>
      </c>
    </row>
    <row r="184" spans="1:20" x14ac:dyDescent="0.25">
      <c r="A184" s="98">
        <v>181</v>
      </c>
      <c r="B184" s="99" t="s">
        <v>466</v>
      </c>
      <c r="C184" s="100" t="s">
        <v>465</v>
      </c>
      <c r="D184" s="101" t="s">
        <v>153</v>
      </c>
      <c r="E184" s="101" t="s">
        <v>36</v>
      </c>
      <c r="F184" s="101">
        <v>0.4</v>
      </c>
      <c r="G184" s="102">
        <v>0</v>
      </c>
      <c r="H184" s="7" t="s">
        <v>830</v>
      </c>
      <c r="I184" s="7" t="s">
        <v>830</v>
      </c>
      <c r="J184" s="103">
        <v>0.99095999999999995</v>
      </c>
      <c r="K184" s="104"/>
      <c r="L184" s="104"/>
      <c r="M184" s="99" t="s">
        <v>466</v>
      </c>
      <c r="N184" s="104" t="str">
        <f>IF(K184="","",K184&amp;COUNTIF($K$4:K184,K184))</f>
        <v/>
      </c>
      <c r="O184" s="104" t="str">
        <f>IF(D184="NA","NA",D184&amp;COUNTIF($D$4:D184,D184))</f>
        <v>E19205</v>
      </c>
      <c r="P184" s="104" t="str">
        <f>IF(E184="NA","NA",E184&amp;COUNTIF($E$4:E184,E184))</f>
        <v>NA</v>
      </c>
      <c r="Q184" s="104" t="str">
        <f t="shared" si="5"/>
        <v>North Hertfordshire</v>
      </c>
      <c r="R184" s="153" t="s">
        <v>1335</v>
      </c>
      <c r="S184" s="192">
        <f t="shared" si="6"/>
        <v>0.39638400000000001</v>
      </c>
      <c r="T184" s="194">
        <v>0.72899999999999998</v>
      </c>
    </row>
    <row r="185" spans="1:20" x14ac:dyDescent="0.25">
      <c r="A185" s="98">
        <v>182</v>
      </c>
      <c r="B185" s="99" t="s">
        <v>468</v>
      </c>
      <c r="C185" s="100" t="s">
        <v>467</v>
      </c>
      <c r="D185" s="101" t="s">
        <v>116</v>
      </c>
      <c r="E185" s="101" t="s">
        <v>36</v>
      </c>
      <c r="F185" s="101">
        <v>0.4</v>
      </c>
      <c r="G185" s="102">
        <v>0</v>
      </c>
      <c r="H185" s="7" t="s">
        <v>830</v>
      </c>
      <c r="I185" s="7" t="s">
        <v>830</v>
      </c>
      <c r="J185" s="103">
        <v>0.69305899999999998</v>
      </c>
      <c r="K185" s="104" t="s">
        <v>117</v>
      </c>
      <c r="L185" s="104"/>
      <c r="M185" s="99" t="s">
        <v>468</v>
      </c>
      <c r="N185" s="104" t="str">
        <f>IF(K185="","",K185&amp;COUNTIF($K$4:K185,K185))</f>
        <v>Lincolnshire Business Rates Pool4</v>
      </c>
      <c r="O185" s="104" t="str">
        <f>IF(D185="NA","NA",D185&amp;COUNTIF($D$4:D185,D185))</f>
        <v>E25204</v>
      </c>
      <c r="P185" s="104" t="str">
        <f>IF(E185="NA","NA",E185&amp;COUNTIF($E$4:E185,E185))</f>
        <v>NA</v>
      </c>
      <c r="Q185" s="104" t="str">
        <f t="shared" si="5"/>
        <v>North Kesteven</v>
      </c>
      <c r="R185" s="153" t="s">
        <v>1335</v>
      </c>
      <c r="S185" s="192">
        <f t="shared" si="6"/>
        <v>0.27722360000000001</v>
      </c>
      <c r="T185" s="194">
        <v>0.67400000000000004</v>
      </c>
    </row>
    <row r="186" spans="1:20" x14ac:dyDescent="0.25">
      <c r="A186" s="98">
        <v>183</v>
      </c>
      <c r="B186" s="99" t="s">
        <v>470</v>
      </c>
      <c r="C186" s="100" t="s">
        <v>469</v>
      </c>
      <c r="D186" s="101" t="s">
        <v>36</v>
      </c>
      <c r="E186" s="101" t="s">
        <v>275</v>
      </c>
      <c r="F186" s="101">
        <v>0.49</v>
      </c>
      <c r="G186" s="102">
        <v>0</v>
      </c>
      <c r="H186" s="7" t="s">
        <v>830</v>
      </c>
      <c r="I186" s="7" t="s">
        <v>830</v>
      </c>
      <c r="J186" s="103">
        <v>6.1327400000000001</v>
      </c>
      <c r="K186" s="104"/>
      <c r="L186" s="104"/>
      <c r="M186" s="99" t="s">
        <v>470</v>
      </c>
      <c r="N186" s="104" t="str">
        <f>IF(K186="","",K186&amp;COUNTIF($K$4:K186,K186))</f>
        <v/>
      </c>
      <c r="O186" s="104" t="str">
        <f>IF(D186="NA","NA",D186&amp;COUNTIF($D$4:D186,D186))</f>
        <v>NA</v>
      </c>
      <c r="P186" s="104" t="str">
        <f>IF(E186="NA","NA",E186&amp;COUNTIF($E$4:E186,E186))</f>
        <v>E61204</v>
      </c>
      <c r="Q186" s="104" t="str">
        <f t="shared" si="5"/>
        <v>North Lincolnshire</v>
      </c>
      <c r="R186" s="153" t="s">
        <v>1335</v>
      </c>
      <c r="S186" s="192">
        <f t="shared" si="6"/>
        <v>3.0050425999999999</v>
      </c>
      <c r="T186" s="194">
        <v>0.67300000000000004</v>
      </c>
    </row>
    <row r="187" spans="1:20" x14ac:dyDescent="0.25">
      <c r="A187" s="98">
        <v>184</v>
      </c>
      <c r="B187" s="99" t="s">
        <v>472</v>
      </c>
      <c r="C187" s="100" t="s">
        <v>471</v>
      </c>
      <c r="D187" s="101" t="s">
        <v>132</v>
      </c>
      <c r="E187" s="101" t="s">
        <v>36</v>
      </c>
      <c r="F187" s="101">
        <v>0.4</v>
      </c>
      <c r="G187" s="102">
        <v>0</v>
      </c>
      <c r="H187" s="7" t="s">
        <v>830</v>
      </c>
      <c r="I187" s="7" t="s">
        <v>830</v>
      </c>
      <c r="J187" s="103">
        <v>0.32208300000000001</v>
      </c>
      <c r="K187" s="104" t="s">
        <v>133</v>
      </c>
      <c r="L187" s="104"/>
      <c r="M187" s="99" t="s">
        <v>472</v>
      </c>
      <c r="N187" s="104" t="str">
        <f>IF(K187="","",K187&amp;COUNTIF($K$4:K187,K187))</f>
        <v>Norfolk Business Rates Pool4</v>
      </c>
      <c r="O187" s="104" t="str">
        <f>IF(D187="NA","NA",D187&amp;COUNTIF($D$4:D187,D187))</f>
        <v>E26205</v>
      </c>
      <c r="P187" s="104" t="str">
        <f>IF(E187="NA","NA",E187&amp;COUNTIF($E$4:E187,E187))</f>
        <v>NA</v>
      </c>
      <c r="Q187" s="104" t="str">
        <f t="shared" si="5"/>
        <v>North Norfolk</v>
      </c>
      <c r="R187" s="153" t="s">
        <v>1335</v>
      </c>
      <c r="S187" s="192">
        <f t="shared" si="6"/>
        <v>0.12883320000000001</v>
      </c>
      <c r="T187" s="194">
        <v>0.63800000000000001</v>
      </c>
    </row>
    <row r="188" spans="1:20" x14ac:dyDescent="0.25">
      <c r="A188" s="98">
        <v>185</v>
      </c>
      <c r="B188" s="99" t="s">
        <v>474</v>
      </c>
      <c r="C188" s="100" t="s">
        <v>473</v>
      </c>
      <c r="D188" s="101" t="s">
        <v>36</v>
      </c>
      <c r="E188" s="101" t="s">
        <v>89</v>
      </c>
      <c r="F188" s="101">
        <v>0.49</v>
      </c>
      <c r="G188" s="102">
        <v>0</v>
      </c>
      <c r="H188" s="7" t="s">
        <v>830</v>
      </c>
      <c r="I188" s="7" t="s">
        <v>830</v>
      </c>
      <c r="J188" s="103">
        <v>2.25008783</v>
      </c>
      <c r="K188" s="104"/>
      <c r="L188" s="104"/>
      <c r="M188" s="99" t="s">
        <v>474</v>
      </c>
      <c r="N188" s="104" t="str">
        <f>IF(K188="","",K188&amp;COUNTIF($K$4:K188,K188))</f>
        <v/>
      </c>
      <c r="O188" s="104" t="str">
        <f>IF(D188="NA","NA",D188&amp;COUNTIF($D$4:D188,D188))</f>
        <v>NA</v>
      </c>
      <c r="P188" s="104" t="str">
        <f>IF(E188="NA","NA",E188&amp;COUNTIF($E$4:E188,E188))</f>
        <v>E61013</v>
      </c>
      <c r="Q188" s="104" t="str">
        <f t="shared" si="5"/>
        <v>North Somerset</v>
      </c>
      <c r="R188" s="153" t="s">
        <v>1335</v>
      </c>
      <c r="S188" s="192">
        <f t="shared" si="6"/>
        <v>1.1025430367</v>
      </c>
      <c r="T188" s="194">
        <v>0.70699999999999996</v>
      </c>
    </row>
    <row r="189" spans="1:20" x14ac:dyDescent="0.25">
      <c r="A189" s="98">
        <v>186</v>
      </c>
      <c r="B189" s="99" t="s">
        <v>476</v>
      </c>
      <c r="C189" s="100" t="s">
        <v>475</v>
      </c>
      <c r="D189" s="101" t="s">
        <v>36</v>
      </c>
      <c r="E189" s="101" t="s">
        <v>310</v>
      </c>
      <c r="F189" s="101">
        <v>0.49</v>
      </c>
      <c r="G189" s="102">
        <v>0</v>
      </c>
      <c r="H189" s="7" t="s">
        <v>830</v>
      </c>
      <c r="I189" s="7" t="s">
        <v>830</v>
      </c>
      <c r="J189" s="103">
        <v>1.9015820000000001</v>
      </c>
      <c r="K189" s="104"/>
      <c r="L189" s="104"/>
      <c r="M189" s="99" t="s">
        <v>476</v>
      </c>
      <c r="N189" s="104" t="str">
        <f>IF(K189="","",K189&amp;COUNTIF($K$4:K189,K189))</f>
        <v/>
      </c>
      <c r="O189" s="104" t="str">
        <f>IF(D189="NA","NA",D189&amp;COUNTIF($D$4:D189,D189))</f>
        <v>NA</v>
      </c>
      <c r="P189" s="104" t="str">
        <f>IF(E189="NA","NA",E189&amp;COUNTIF($E$4:E189,E189))</f>
        <v>E61453</v>
      </c>
      <c r="Q189" s="104" t="str">
        <f t="shared" si="5"/>
        <v>North Tyneside</v>
      </c>
      <c r="R189" s="153" t="s">
        <v>1335</v>
      </c>
      <c r="S189" s="192">
        <f t="shared" si="6"/>
        <v>0.93177518000000004</v>
      </c>
      <c r="T189" s="194">
        <v>0.69799999999999995</v>
      </c>
    </row>
    <row r="190" spans="1:20" x14ac:dyDescent="0.25">
      <c r="A190" s="98">
        <v>187</v>
      </c>
      <c r="B190" s="99" t="s">
        <v>478</v>
      </c>
      <c r="C190" s="100" t="s">
        <v>477</v>
      </c>
      <c r="D190" s="101" t="s">
        <v>479</v>
      </c>
      <c r="E190" s="101" t="s">
        <v>36</v>
      </c>
      <c r="F190" s="101">
        <v>0.4</v>
      </c>
      <c r="G190" s="102">
        <v>0</v>
      </c>
      <c r="H190" s="7" t="s">
        <v>830</v>
      </c>
      <c r="I190" s="7" t="s">
        <v>837</v>
      </c>
      <c r="J190" s="103">
        <v>1.5267999999999999</v>
      </c>
      <c r="K190" s="104" t="s">
        <v>223</v>
      </c>
      <c r="L190" s="104"/>
      <c r="M190" s="99" t="s">
        <v>478</v>
      </c>
      <c r="N190" s="104" t="str">
        <f>IF(K190="","",K190&amp;COUNTIF($K$4:K190,K190))</f>
        <v>Coventry &amp; Warwickshire Business Rates Pool2</v>
      </c>
      <c r="O190" s="104" t="str">
        <f>IF(D190="NA","NA",D190&amp;COUNTIF($D$4:D190,D190))</f>
        <v>E37201</v>
      </c>
      <c r="P190" s="104" t="str">
        <f>IF(E190="NA","NA",E190&amp;COUNTIF($E$4:E190,E190))</f>
        <v>NA</v>
      </c>
      <c r="Q190" s="104" t="str">
        <f t="shared" si="5"/>
        <v>North Warwickshire</v>
      </c>
      <c r="R190" s="153" t="s">
        <v>1335</v>
      </c>
      <c r="S190" s="192">
        <f t="shared" si="6"/>
        <v>0.61072000000000004</v>
      </c>
      <c r="T190" s="194">
        <v>0.69599999999999995</v>
      </c>
    </row>
    <row r="191" spans="1:20" x14ac:dyDescent="0.25">
      <c r="A191" s="98">
        <v>188</v>
      </c>
      <c r="B191" s="99" t="s">
        <v>481</v>
      </c>
      <c r="C191" s="100" t="s">
        <v>480</v>
      </c>
      <c r="D191" s="101" t="s">
        <v>101</v>
      </c>
      <c r="E191" s="101" t="s">
        <v>102</v>
      </c>
      <c r="F191" s="101">
        <v>0.4</v>
      </c>
      <c r="G191" s="102">
        <v>0</v>
      </c>
      <c r="H191" s="7" t="s">
        <v>830</v>
      </c>
      <c r="I191" s="7" t="s">
        <v>830</v>
      </c>
      <c r="J191" s="103">
        <v>2.5223900399999999</v>
      </c>
      <c r="K191" s="104" t="s">
        <v>103</v>
      </c>
      <c r="L191" s="104"/>
      <c r="M191" s="99" t="s">
        <v>481</v>
      </c>
      <c r="N191" s="104" t="str">
        <f>IF(K191="","",K191&amp;COUNTIF($K$4:K191,K191))</f>
        <v>Leicestershire Business Rates Pool7</v>
      </c>
      <c r="O191" s="104" t="str">
        <f>IF(D191="NA","NA",D191&amp;COUNTIF($D$4:D191,D191))</f>
        <v>E24216</v>
      </c>
      <c r="P191" s="104" t="str">
        <f>IF(E191="NA","NA",E191&amp;COUNTIF($E$4:E191,E191))</f>
        <v>E61247</v>
      </c>
      <c r="Q191" s="104" t="str">
        <f t="shared" si="5"/>
        <v>North West Leicestershire</v>
      </c>
      <c r="R191" s="153" t="s">
        <v>1335</v>
      </c>
      <c r="S191" s="192">
        <f t="shared" si="6"/>
        <v>1.008956016</v>
      </c>
      <c r="T191" s="194">
        <v>0.68400000000000005</v>
      </c>
    </row>
    <row r="192" spans="1:20" x14ac:dyDescent="0.25">
      <c r="A192" s="98">
        <v>189</v>
      </c>
      <c r="B192" s="99" t="s">
        <v>483</v>
      </c>
      <c r="C192" s="100" t="s">
        <v>482</v>
      </c>
      <c r="D192" s="101" t="s">
        <v>215</v>
      </c>
      <c r="E192" s="101" t="s">
        <v>36</v>
      </c>
      <c r="F192" s="101">
        <v>0.4</v>
      </c>
      <c r="G192" s="102">
        <v>0</v>
      </c>
      <c r="H192" s="7" t="s">
        <v>837</v>
      </c>
      <c r="I192" s="7" t="s">
        <v>830</v>
      </c>
      <c r="J192" s="103">
        <v>2.9553990200000002</v>
      </c>
      <c r="K192" s="104"/>
      <c r="L192" s="104"/>
      <c r="M192" s="99" t="s">
        <v>483</v>
      </c>
      <c r="N192" s="104" t="str">
        <f>IF(K192="","",K192&amp;COUNTIF($K$4:K192,K192))</f>
        <v/>
      </c>
      <c r="O192" s="104" t="str">
        <f>IF(D192="NA","NA",D192&amp;COUNTIF($D$4:D192,D192))</f>
        <v>E28205</v>
      </c>
      <c r="P192" s="104" t="str">
        <f>IF(E192="NA","NA",E192&amp;COUNTIF($E$4:E192,E192))</f>
        <v>NA</v>
      </c>
      <c r="Q192" s="104" t="str">
        <f t="shared" si="5"/>
        <v>Northampton</v>
      </c>
      <c r="R192" s="153" t="s">
        <v>1335</v>
      </c>
      <c r="S192" s="192">
        <f t="shared" si="6"/>
        <v>1.1821596080000001</v>
      </c>
      <c r="T192" s="194">
        <v>0.71399999999999997</v>
      </c>
    </row>
    <row r="193" spans="1:20" x14ac:dyDescent="0.25">
      <c r="A193" s="98">
        <v>190</v>
      </c>
      <c r="B193" s="99" t="s">
        <v>485</v>
      </c>
      <c r="C193" s="100" t="s">
        <v>484</v>
      </c>
      <c r="D193" s="101" t="s">
        <v>36</v>
      </c>
      <c r="E193" s="101" t="s">
        <v>36</v>
      </c>
      <c r="F193" s="101">
        <v>0.5</v>
      </c>
      <c r="G193" s="102">
        <v>0</v>
      </c>
      <c r="H193" s="7" t="s">
        <v>830</v>
      </c>
      <c r="I193" s="7" t="s">
        <v>830</v>
      </c>
      <c r="J193" s="103">
        <v>3.7230629999999998</v>
      </c>
      <c r="K193" s="104"/>
      <c r="L193" s="104"/>
      <c r="M193" s="99" t="s">
        <v>485</v>
      </c>
      <c r="N193" s="104" t="str">
        <f>IF(K193="","",K193&amp;COUNTIF($K$4:K193,K193))</f>
        <v/>
      </c>
      <c r="O193" s="104" t="str">
        <f>IF(D193="NA","NA",D193&amp;COUNTIF($D$4:D193,D193))</f>
        <v>NA</v>
      </c>
      <c r="P193" s="104" t="str">
        <f>IF(E193="NA","NA",E193&amp;COUNTIF($E$4:E193,E193))</f>
        <v>NA</v>
      </c>
      <c r="Q193" s="104" t="str">
        <f t="shared" si="5"/>
        <v>Northumberland UA</v>
      </c>
      <c r="R193" s="153" t="s">
        <v>1335</v>
      </c>
      <c r="S193" s="192">
        <f t="shared" si="6"/>
        <v>1.8615314999999999</v>
      </c>
      <c r="T193" s="194">
        <v>0.67</v>
      </c>
    </row>
    <row r="194" spans="1:20" x14ac:dyDescent="0.25">
      <c r="A194" s="98">
        <v>191</v>
      </c>
      <c r="B194" s="99" t="s">
        <v>487</v>
      </c>
      <c r="C194" s="100" t="s">
        <v>486</v>
      </c>
      <c r="D194" s="101" t="s">
        <v>132</v>
      </c>
      <c r="E194" s="101" t="s">
        <v>36</v>
      </c>
      <c r="F194" s="101">
        <v>0.4</v>
      </c>
      <c r="G194" s="102">
        <v>0</v>
      </c>
      <c r="H194" s="7" t="s">
        <v>830</v>
      </c>
      <c r="I194" s="7" t="s">
        <v>830</v>
      </c>
      <c r="J194" s="103">
        <v>0.38981500000000002</v>
      </c>
      <c r="K194" s="104" t="s">
        <v>133</v>
      </c>
      <c r="L194" s="104"/>
      <c r="M194" s="99" t="s">
        <v>487</v>
      </c>
      <c r="N194" s="104" t="str">
        <f>IF(K194="","",K194&amp;COUNTIF($K$4:K194,K194))</f>
        <v>Norfolk Business Rates Pool5</v>
      </c>
      <c r="O194" s="104" t="str">
        <f>IF(D194="NA","NA",D194&amp;COUNTIF($D$4:D194,D194))</f>
        <v>E26206</v>
      </c>
      <c r="P194" s="104" t="str">
        <f>IF(E194="NA","NA",E194&amp;COUNTIF($E$4:E194,E194))</f>
        <v>NA</v>
      </c>
      <c r="Q194" s="104" t="str">
        <f t="shared" si="5"/>
        <v>Norwich</v>
      </c>
      <c r="R194" s="153" t="s">
        <v>1335</v>
      </c>
      <c r="S194" s="192">
        <f t="shared" si="6"/>
        <v>0.15592600000000001</v>
      </c>
      <c r="T194" s="194">
        <v>0.72099999999999997</v>
      </c>
    </row>
    <row r="195" spans="1:20" x14ac:dyDescent="0.25">
      <c r="A195" s="98">
        <v>192</v>
      </c>
      <c r="B195" s="99" t="s">
        <v>489</v>
      </c>
      <c r="C195" s="100" t="s">
        <v>488</v>
      </c>
      <c r="D195" s="101" t="s">
        <v>36</v>
      </c>
      <c r="E195" s="101" t="s">
        <v>51</v>
      </c>
      <c r="F195" s="101">
        <v>0.49</v>
      </c>
      <c r="G195" s="102">
        <v>0</v>
      </c>
      <c r="H195" s="7" t="s">
        <v>830</v>
      </c>
      <c r="I195" s="7" t="s">
        <v>830</v>
      </c>
      <c r="J195" s="103">
        <v>6.4276650000000002</v>
      </c>
      <c r="K195" s="104"/>
      <c r="L195" s="104"/>
      <c r="M195" s="99" t="s">
        <v>489</v>
      </c>
      <c r="N195" s="104" t="str">
        <f>IF(K195="","",K195&amp;COUNTIF($K$4:K195,K195))</f>
        <v/>
      </c>
      <c r="O195" s="104" t="str">
        <f>IF(D195="NA","NA",D195&amp;COUNTIF($D$4:D195,D195))</f>
        <v>NA</v>
      </c>
      <c r="P195" s="104" t="str">
        <f>IF(E195="NA","NA",E195&amp;COUNTIF($E$4:E195,E195))</f>
        <v>E61307</v>
      </c>
      <c r="Q195" s="104" t="str">
        <f t="shared" si="5"/>
        <v>Nottingham</v>
      </c>
      <c r="R195" s="153" t="s">
        <v>1335</v>
      </c>
      <c r="S195" s="192">
        <f t="shared" si="6"/>
        <v>3.14955585</v>
      </c>
      <c r="T195" s="194">
        <v>0.69</v>
      </c>
    </row>
    <row r="196" spans="1:20" x14ac:dyDescent="0.25">
      <c r="A196" s="98">
        <v>193</v>
      </c>
      <c r="B196" s="99" t="s">
        <v>491</v>
      </c>
      <c r="C196" s="100" t="s">
        <v>490</v>
      </c>
      <c r="D196" s="101" t="s">
        <v>479</v>
      </c>
      <c r="E196" s="101" t="s">
        <v>36</v>
      </c>
      <c r="F196" s="101">
        <v>0.4</v>
      </c>
      <c r="G196" s="102">
        <v>0</v>
      </c>
      <c r="H196" s="7" t="s">
        <v>830</v>
      </c>
      <c r="I196" s="7" t="s">
        <v>830</v>
      </c>
      <c r="J196" s="103">
        <v>1.1454547399999999</v>
      </c>
      <c r="K196" s="104" t="s">
        <v>223</v>
      </c>
      <c r="L196" s="104"/>
      <c r="M196" s="99" t="s">
        <v>491</v>
      </c>
      <c r="N196" s="104" t="str">
        <f>IF(K196="","",K196&amp;COUNTIF($K$4:K196,K196))</f>
        <v>Coventry &amp; Warwickshire Business Rates Pool3</v>
      </c>
      <c r="O196" s="104" t="str">
        <f>IF(D196="NA","NA",D196&amp;COUNTIF($D$4:D196,D196))</f>
        <v>E37202</v>
      </c>
      <c r="P196" s="104" t="str">
        <f>IF(E196="NA","NA",E196&amp;COUNTIF($E$4:E196,E196))</f>
        <v>NA</v>
      </c>
      <c r="Q196" s="104" t="str">
        <f t="shared" si="5"/>
        <v>Nuneaton and Bedworth</v>
      </c>
      <c r="R196" s="153" t="s">
        <v>1335</v>
      </c>
      <c r="S196" s="192">
        <f t="shared" si="6"/>
        <v>0.45818189599999998</v>
      </c>
      <c r="T196" s="194">
        <v>0.72</v>
      </c>
    </row>
    <row r="197" spans="1:20" x14ac:dyDescent="0.25">
      <c r="A197" s="98">
        <v>194</v>
      </c>
      <c r="B197" s="99" t="s">
        <v>493</v>
      </c>
      <c r="C197" s="100" t="s">
        <v>492</v>
      </c>
      <c r="D197" s="101" t="s">
        <v>101</v>
      </c>
      <c r="E197" s="101" t="s">
        <v>102</v>
      </c>
      <c r="F197" s="101">
        <v>0.4</v>
      </c>
      <c r="G197" s="102">
        <v>0</v>
      </c>
      <c r="H197" s="7" t="s">
        <v>830</v>
      </c>
      <c r="I197" s="7" t="s">
        <v>830</v>
      </c>
      <c r="J197" s="103">
        <v>0.34075100000000003</v>
      </c>
      <c r="K197" s="104" t="s">
        <v>103</v>
      </c>
      <c r="L197" s="104"/>
      <c r="M197" s="99" t="s">
        <v>493</v>
      </c>
      <c r="N197" s="104" t="str">
        <f>IF(K197="","",K197&amp;COUNTIF($K$4:K197,K197))</f>
        <v>Leicestershire Business Rates Pool8</v>
      </c>
      <c r="O197" s="104" t="str">
        <f>IF(D197="NA","NA",D197&amp;COUNTIF($D$4:D197,D197))</f>
        <v>E24217</v>
      </c>
      <c r="P197" s="104" t="str">
        <f>IF(E197="NA","NA",E197&amp;COUNTIF($E$4:E197,E197))</f>
        <v>E61248</v>
      </c>
      <c r="Q197" s="104" t="str">
        <f t="shared" ref="Q197:Q260" si="7">C197</f>
        <v>Oadby and Wigston</v>
      </c>
      <c r="R197" s="153" t="s">
        <v>1335</v>
      </c>
      <c r="S197" s="192">
        <f t="shared" ref="S197:S260" si="8">J197*F197</f>
        <v>0.13630040000000002</v>
      </c>
      <c r="T197" s="194">
        <v>0.73299999999999998</v>
      </c>
    </row>
    <row r="198" spans="1:20" x14ac:dyDescent="0.25">
      <c r="A198" s="98">
        <v>195</v>
      </c>
      <c r="B198" s="99" t="s">
        <v>495</v>
      </c>
      <c r="C198" s="100" t="s">
        <v>494</v>
      </c>
      <c r="D198" s="101" t="s">
        <v>36</v>
      </c>
      <c r="E198" s="101" t="s">
        <v>113</v>
      </c>
      <c r="F198" s="101">
        <v>0.49</v>
      </c>
      <c r="G198" s="102">
        <v>0</v>
      </c>
      <c r="H198" s="7" t="s">
        <v>830</v>
      </c>
      <c r="I198" s="7" t="s">
        <v>830</v>
      </c>
      <c r="J198" s="103">
        <v>0</v>
      </c>
      <c r="K198" s="104" t="s">
        <v>865</v>
      </c>
      <c r="L198" s="153" t="s">
        <v>1272</v>
      </c>
      <c r="M198" s="99" t="s">
        <v>495</v>
      </c>
      <c r="N198" s="104" t="str">
        <f>IF(K198="","",K198&amp;COUNTIF($K$4:K198,K198))</f>
        <v>Greater Manchester &amp; Cheshire Business Rates Pool6</v>
      </c>
      <c r="O198" s="104" t="str">
        <f>IF(D198="NA","NA",D198&amp;COUNTIF($D$4:D198,D198))</f>
        <v>NA</v>
      </c>
      <c r="P198" s="104" t="str">
        <f>IF(E198="NA","NA",E198&amp;COUNTIF($E$4:E198,E198))</f>
        <v>E61424</v>
      </c>
      <c r="Q198" s="104" t="str">
        <f t="shared" si="7"/>
        <v>Oldham</v>
      </c>
      <c r="R198" s="153" t="s">
        <v>1335</v>
      </c>
      <c r="S198" s="192">
        <f t="shared" si="8"/>
        <v>0</v>
      </c>
      <c r="T198" s="194">
        <v>0.67300000000000004</v>
      </c>
    </row>
    <row r="199" spans="1:20" x14ac:dyDescent="0.25">
      <c r="A199" s="98">
        <v>196</v>
      </c>
      <c r="B199" s="99" t="s">
        <v>497</v>
      </c>
      <c r="C199" s="100" t="s">
        <v>496</v>
      </c>
      <c r="D199" s="101" t="s">
        <v>191</v>
      </c>
      <c r="E199" s="101" t="s">
        <v>36</v>
      </c>
      <c r="F199" s="101">
        <v>0.4</v>
      </c>
      <c r="G199" s="102">
        <v>0</v>
      </c>
      <c r="H199" s="7" t="s">
        <v>830</v>
      </c>
      <c r="I199" s="7" t="s">
        <v>830</v>
      </c>
      <c r="J199" s="103">
        <v>3.2217630000000002</v>
      </c>
      <c r="K199" s="104"/>
      <c r="L199" s="104"/>
      <c r="M199" s="99" t="s">
        <v>497</v>
      </c>
      <c r="N199" s="104" t="str">
        <f>IF(K199="","",K199&amp;COUNTIF($K$4:K199,K199))</f>
        <v/>
      </c>
      <c r="O199" s="104" t="str">
        <f>IF(D199="NA","NA",D199&amp;COUNTIF($D$4:D199,D199))</f>
        <v>E31202</v>
      </c>
      <c r="P199" s="104" t="str">
        <f>IF(E199="NA","NA",E199&amp;COUNTIF($E$4:E199,E199))</f>
        <v>NA</v>
      </c>
      <c r="Q199" s="104" t="str">
        <f t="shared" si="7"/>
        <v>Oxford</v>
      </c>
      <c r="R199" s="153" t="s">
        <v>1335</v>
      </c>
      <c r="S199" s="192">
        <f t="shared" si="8"/>
        <v>1.2887052000000001</v>
      </c>
      <c r="T199" s="194">
        <v>0.77300000000000002</v>
      </c>
    </row>
    <row r="200" spans="1:20" x14ac:dyDescent="0.25">
      <c r="A200" s="98">
        <v>197</v>
      </c>
      <c r="B200" s="99" t="s">
        <v>499</v>
      </c>
      <c r="C200" s="100" t="s">
        <v>498</v>
      </c>
      <c r="D200" s="101" t="s">
        <v>158</v>
      </c>
      <c r="E200" s="101" t="s">
        <v>106</v>
      </c>
      <c r="F200" s="101">
        <v>0.4</v>
      </c>
      <c r="G200" s="102">
        <v>0</v>
      </c>
      <c r="H200" s="7" t="s">
        <v>830</v>
      </c>
      <c r="I200" s="7" t="s">
        <v>830</v>
      </c>
      <c r="J200" s="103">
        <v>1.1100289999999999</v>
      </c>
      <c r="K200" s="104" t="s">
        <v>914</v>
      </c>
      <c r="L200" s="104"/>
      <c r="M200" s="99" t="s">
        <v>499</v>
      </c>
      <c r="N200" s="104" t="str">
        <f>IF(K200="","",K200&amp;COUNTIF($K$4:K200,K200))</f>
        <v>Lancashire Business Rates Pool4</v>
      </c>
      <c r="O200" s="104" t="str">
        <f>IF(D200="NA","NA",D200&amp;COUNTIF($D$4:D200,D200))</f>
        <v>E23216</v>
      </c>
      <c r="P200" s="104" t="str">
        <f>IF(E200="NA","NA",E200&amp;COUNTIF($E$4:E200,E200))</f>
        <v>E61238</v>
      </c>
      <c r="Q200" s="104" t="str">
        <f t="shared" si="7"/>
        <v>Pendle</v>
      </c>
      <c r="R200" s="153" t="s">
        <v>1335</v>
      </c>
      <c r="S200" s="192">
        <f t="shared" si="8"/>
        <v>0.44401160000000001</v>
      </c>
      <c r="T200" s="194">
        <v>0.624</v>
      </c>
    </row>
    <row r="201" spans="1:20" x14ac:dyDescent="0.25">
      <c r="A201" s="98">
        <v>198</v>
      </c>
      <c r="B201" s="99" t="s">
        <v>501</v>
      </c>
      <c r="C201" s="100" t="s">
        <v>500</v>
      </c>
      <c r="D201" s="101" t="s">
        <v>36</v>
      </c>
      <c r="E201" s="101" t="s">
        <v>166</v>
      </c>
      <c r="F201" s="101">
        <v>0.49</v>
      </c>
      <c r="G201" s="102">
        <v>0</v>
      </c>
      <c r="H201" s="7" t="s">
        <v>837</v>
      </c>
      <c r="I201" s="7" t="s">
        <v>830</v>
      </c>
      <c r="J201" s="103">
        <v>6.2150109999999996</v>
      </c>
      <c r="K201" s="104"/>
      <c r="L201" s="104"/>
      <c r="M201" s="99" t="s">
        <v>501</v>
      </c>
      <c r="N201" s="104" t="str">
        <f>IF(K201="","",K201&amp;COUNTIF($K$4:K201,K201))</f>
        <v/>
      </c>
      <c r="O201" s="104" t="str">
        <f>IF(D201="NA","NA",D201&amp;COUNTIF($D$4:D201,D201))</f>
        <v>NA</v>
      </c>
      <c r="P201" s="104" t="str">
        <f>IF(E201="NA","NA",E201&amp;COUNTIF($E$4:E201,E201))</f>
        <v>E61055</v>
      </c>
      <c r="Q201" s="104" t="str">
        <f t="shared" si="7"/>
        <v>Peterborough</v>
      </c>
      <c r="R201" s="153" t="s">
        <v>1335</v>
      </c>
      <c r="S201" s="192">
        <f t="shared" si="8"/>
        <v>3.0453553899999997</v>
      </c>
      <c r="T201" s="194">
        <v>0.73299999999999998</v>
      </c>
    </row>
    <row r="202" spans="1:20" x14ac:dyDescent="0.25">
      <c r="A202" s="98">
        <v>199</v>
      </c>
      <c r="B202" s="99" t="s">
        <v>503</v>
      </c>
      <c r="C202" s="100" t="s">
        <v>502</v>
      </c>
      <c r="D202" s="101" t="s">
        <v>36</v>
      </c>
      <c r="E202" s="101" t="s">
        <v>261</v>
      </c>
      <c r="F202" s="101">
        <v>0.49</v>
      </c>
      <c r="G202" s="102">
        <v>0</v>
      </c>
      <c r="H202" s="7" t="s">
        <v>830</v>
      </c>
      <c r="I202" s="7" t="s">
        <v>830</v>
      </c>
      <c r="J202" s="103">
        <v>0.9022</v>
      </c>
      <c r="K202" s="104" t="s">
        <v>262</v>
      </c>
      <c r="L202" s="104"/>
      <c r="M202" s="99" t="s">
        <v>503</v>
      </c>
      <c r="N202" s="104" t="str">
        <f>IF(K202="","",K202&amp;COUNTIF($K$4:K202,K202))</f>
        <v>Devon Business Rates Pool5</v>
      </c>
      <c r="O202" s="104" t="str">
        <f>IF(D202="NA","NA",D202&amp;COUNTIF($D$4:D202,D202))</f>
        <v>NA</v>
      </c>
      <c r="P202" s="104" t="str">
        <f>IF(E202="NA","NA",E202&amp;COUNTIF($E$4:E202,E202))</f>
        <v>E61616</v>
      </c>
      <c r="Q202" s="104" t="str">
        <f t="shared" si="7"/>
        <v>Plymouth</v>
      </c>
      <c r="R202" s="153" t="s">
        <v>1335</v>
      </c>
      <c r="S202" s="192">
        <f t="shared" si="8"/>
        <v>0.44207799999999997</v>
      </c>
      <c r="T202" s="194">
        <v>0.71099999999999997</v>
      </c>
    </row>
    <row r="203" spans="1:20" x14ac:dyDescent="0.25">
      <c r="A203" s="98">
        <v>200</v>
      </c>
      <c r="B203" s="99" t="s">
        <v>505</v>
      </c>
      <c r="C203" s="100" t="s">
        <v>504</v>
      </c>
      <c r="D203" s="101" t="s">
        <v>36</v>
      </c>
      <c r="E203" s="101" t="s">
        <v>868</v>
      </c>
      <c r="F203" s="101">
        <v>0.49</v>
      </c>
      <c r="G203" s="102">
        <v>0</v>
      </c>
      <c r="H203" s="7" t="s">
        <v>837</v>
      </c>
      <c r="I203" s="7" t="s">
        <v>830</v>
      </c>
      <c r="J203" s="103">
        <v>2.2165110000000001</v>
      </c>
      <c r="K203" s="104"/>
      <c r="L203" s="104"/>
      <c r="M203" s="99" t="s">
        <v>505</v>
      </c>
      <c r="N203" s="104" t="str">
        <f>IF(K203="","",K203&amp;COUNTIF($K$4:K203,K203))</f>
        <v/>
      </c>
      <c r="O203" s="104" t="str">
        <f>IF(D203="NA","NA",D203&amp;COUNTIF($D$4:D203,D203))</f>
        <v>NA</v>
      </c>
      <c r="P203" s="104" t="str">
        <f>IF(E203="NA","NA",E203&amp;COUNTIF($E$4:E203,E203))</f>
        <v>E61625</v>
      </c>
      <c r="Q203" s="104" t="str">
        <f t="shared" si="7"/>
        <v>Poole</v>
      </c>
      <c r="R203" s="153" t="s">
        <v>1335</v>
      </c>
      <c r="S203" s="192">
        <f t="shared" si="8"/>
        <v>1.0860903900000001</v>
      </c>
      <c r="T203" s="194">
        <v>0.72899999999999998</v>
      </c>
    </row>
    <row r="204" spans="1:20" x14ac:dyDescent="0.25">
      <c r="A204" s="98">
        <v>201</v>
      </c>
      <c r="B204" s="99" t="s">
        <v>507</v>
      </c>
      <c r="C204" s="100" t="s">
        <v>506</v>
      </c>
      <c r="D204" s="101" t="s">
        <v>36</v>
      </c>
      <c r="E204" s="101" t="s">
        <v>84</v>
      </c>
      <c r="F204" s="101">
        <v>0.49</v>
      </c>
      <c r="G204" s="102">
        <v>0</v>
      </c>
      <c r="H204" s="7" t="s">
        <v>830</v>
      </c>
      <c r="I204" s="7" t="s">
        <v>830</v>
      </c>
      <c r="J204" s="103">
        <v>11.182658</v>
      </c>
      <c r="K204" s="104"/>
      <c r="L204" s="104"/>
      <c r="M204" s="99" t="s">
        <v>507</v>
      </c>
      <c r="N204" s="104" t="str">
        <f>IF(K204="","",K204&amp;COUNTIF($K$4:K204,K204))</f>
        <v/>
      </c>
      <c r="O204" s="104" t="str">
        <f>IF(D204="NA","NA",D204&amp;COUNTIF($D$4:D204,D204))</f>
        <v>NA</v>
      </c>
      <c r="P204" s="104" t="str">
        <f>IF(E204="NA","NA",E204&amp;COUNTIF($E$4:E204,E204))</f>
        <v>E61179</v>
      </c>
      <c r="Q204" s="104" t="str">
        <f t="shared" si="7"/>
        <v>Portsmouth</v>
      </c>
      <c r="R204" s="153" t="s">
        <v>1335</v>
      </c>
      <c r="S204" s="192">
        <f t="shared" si="8"/>
        <v>5.4795024200000002</v>
      </c>
      <c r="T204" s="194">
        <v>0.72299999999999998</v>
      </c>
    </row>
    <row r="205" spans="1:20" x14ac:dyDescent="0.25">
      <c r="A205" s="98">
        <v>202</v>
      </c>
      <c r="B205" s="99" t="s">
        <v>509</v>
      </c>
      <c r="C205" s="100" t="s">
        <v>508</v>
      </c>
      <c r="D205" s="101" t="s">
        <v>158</v>
      </c>
      <c r="E205" s="101" t="s">
        <v>106</v>
      </c>
      <c r="F205" s="101">
        <v>0.4</v>
      </c>
      <c r="G205" s="102">
        <v>0</v>
      </c>
      <c r="H205" s="7" t="s">
        <v>830</v>
      </c>
      <c r="I205" s="7" t="s">
        <v>830</v>
      </c>
      <c r="J205" s="103">
        <v>3.6191841199999999</v>
      </c>
      <c r="K205" s="104"/>
      <c r="L205" s="104"/>
      <c r="M205" s="99" t="s">
        <v>509</v>
      </c>
      <c r="N205" s="104" t="str">
        <f>IF(K205="","",K205&amp;COUNTIF($K$4:K205,K205))</f>
        <v/>
      </c>
      <c r="O205" s="104" t="str">
        <f>IF(D205="NA","NA",D205&amp;COUNTIF($D$4:D205,D205))</f>
        <v>E23217</v>
      </c>
      <c r="P205" s="104" t="str">
        <f>IF(E205="NA","NA",E205&amp;COUNTIF($E$4:E205,E205))</f>
        <v>E61239</v>
      </c>
      <c r="Q205" s="104" t="str">
        <f t="shared" si="7"/>
        <v>Preston</v>
      </c>
      <c r="R205" s="153" t="s">
        <v>1335</v>
      </c>
      <c r="S205" s="192">
        <f t="shared" si="8"/>
        <v>1.4476736480000001</v>
      </c>
      <c r="T205" s="194">
        <v>0.68700000000000006</v>
      </c>
    </row>
    <row r="206" spans="1:20" x14ac:dyDescent="0.25">
      <c r="A206" s="98">
        <v>203</v>
      </c>
      <c r="B206" s="99" t="s">
        <v>511</v>
      </c>
      <c r="C206" s="100" t="s">
        <v>510</v>
      </c>
      <c r="D206" s="101" t="s">
        <v>206</v>
      </c>
      <c r="E206" s="101" t="s">
        <v>868</v>
      </c>
      <c r="F206" s="101">
        <v>0.4</v>
      </c>
      <c r="G206" s="102">
        <v>0</v>
      </c>
      <c r="H206" s="7" t="s">
        <v>830</v>
      </c>
      <c r="I206" s="7" t="s">
        <v>830</v>
      </c>
      <c r="J206" s="103">
        <v>0.37321799999999999</v>
      </c>
      <c r="K206" s="104"/>
      <c r="L206" s="104"/>
      <c r="M206" s="99" t="s">
        <v>511</v>
      </c>
      <c r="N206" s="104" t="str">
        <f>IF(K206="","",K206&amp;COUNTIF($K$4:K206,K206))</f>
        <v/>
      </c>
      <c r="O206" s="104" t="str">
        <f>IF(D206="NA","NA",D206&amp;COUNTIF($D$4:D206,D206))</f>
        <v>E12214</v>
      </c>
      <c r="P206" s="104" t="str">
        <f>IF(E206="NA","NA",E206&amp;COUNTIF($E$4:E206,E206))</f>
        <v>E61626</v>
      </c>
      <c r="Q206" s="104" t="str">
        <f t="shared" si="7"/>
        <v>Purbeck</v>
      </c>
      <c r="R206" s="153" t="s">
        <v>1335</v>
      </c>
      <c r="S206" s="192">
        <f t="shared" si="8"/>
        <v>0.14928720000000001</v>
      </c>
      <c r="T206" s="194">
        <v>0.65600000000000003</v>
      </c>
    </row>
    <row r="207" spans="1:20" x14ac:dyDescent="0.25">
      <c r="A207" s="98">
        <v>204</v>
      </c>
      <c r="B207" s="99" t="s">
        <v>513</v>
      </c>
      <c r="C207" s="100" t="s">
        <v>512</v>
      </c>
      <c r="D207" s="101" t="s">
        <v>36</v>
      </c>
      <c r="E207" s="101" t="s">
        <v>122</v>
      </c>
      <c r="F207" s="101">
        <v>0.49</v>
      </c>
      <c r="G207" s="102">
        <v>0</v>
      </c>
      <c r="H207" s="7" t="s">
        <v>837</v>
      </c>
      <c r="I207" s="7" t="s">
        <v>830</v>
      </c>
      <c r="J207" s="103">
        <v>12</v>
      </c>
      <c r="K207" s="104"/>
      <c r="L207" s="104"/>
      <c r="M207" s="99" t="s">
        <v>513</v>
      </c>
      <c r="N207" s="104" t="str">
        <f>IF(K207="","",K207&amp;COUNTIF($K$4:K207,K207))</f>
        <v/>
      </c>
      <c r="O207" s="104" t="str">
        <f>IF(D207="NA","NA",D207&amp;COUNTIF($D$4:D207,D207))</f>
        <v>NA</v>
      </c>
      <c r="P207" s="104" t="str">
        <f>IF(E207="NA","NA",E207&amp;COUNTIF($E$4:E207,E207))</f>
        <v>E61032</v>
      </c>
      <c r="Q207" s="104" t="str">
        <f t="shared" si="7"/>
        <v>Reading</v>
      </c>
      <c r="R207" s="153" t="s">
        <v>1335</v>
      </c>
      <c r="S207" s="192">
        <f t="shared" si="8"/>
        <v>5.88</v>
      </c>
      <c r="T207" s="194">
        <v>0.747</v>
      </c>
    </row>
    <row r="208" spans="1:20" x14ac:dyDescent="0.25">
      <c r="A208" s="98">
        <v>205</v>
      </c>
      <c r="B208" s="99" t="s">
        <v>515</v>
      </c>
      <c r="C208" s="100" t="s">
        <v>514</v>
      </c>
      <c r="D208" s="101" t="s">
        <v>68</v>
      </c>
      <c r="E208" s="101" t="s">
        <v>36</v>
      </c>
      <c r="F208" s="101">
        <v>0.3</v>
      </c>
      <c r="G208" s="102">
        <v>0</v>
      </c>
      <c r="H208" s="7" t="s">
        <v>830</v>
      </c>
      <c r="I208" s="7" t="s">
        <v>830</v>
      </c>
      <c r="J208" s="103">
        <v>0</v>
      </c>
      <c r="K208" s="104"/>
      <c r="L208" s="104"/>
      <c r="M208" s="99" t="s">
        <v>515</v>
      </c>
      <c r="N208" s="104" t="str">
        <f>IF(K208="","",K208&amp;COUNTIF($K$4:K208,K208))</f>
        <v/>
      </c>
      <c r="O208" s="104" t="str">
        <f>IF(D208="NA","NA",D208&amp;COUNTIF($D$4:D208,D208))</f>
        <v>E510026</v>
      </c>
      <c r="P208" s="104" t="str">
        <f>IF(E208="NA","NA",E208&amp;COUNTIF($E$4:E208,E208))</f>
        <v>NA</v>
      </c>
      <c r="Q208" s="104" t="str">
        <f t="shared" si="7"/>
        <v>Redbridge</v>
      </c>
      <c r="R208" s="153" t="s">
        <v>1335</v>
      </c>
      <c r="S208" s="192">
        <f t="shared" si="8"/>
        <v>0</v>
      </c>
      <c r="T208" s="194">
        <v>0.77800000000000002</v>
      </c>
    </row>
    <row r="209" spans="1:20" x14ac:dyDescent="0.25">
      <c r="A209" s="98">
        <v>206</v>
      </c>
      <c r="B209" s="99" t="s">
        <v>517</v>
      </c>
      <c r="C209" s="100" t="s">
        <v>516</v>
      </c>
      <c r="D209" s="101" t="s">
        <v>36</v>
      </c>
      <c r="E209" s="101" t="s">
        <v>347</v>
      </c>
      <c r="F209" s="101">
        <v>0.49</v>
      </c>
      <c r="G209" s="102">
        <v>0</v>
      </c>
      <c r="H209" s="7" t="s">
        <v>837</v>
      </c>
      <c r="I209" s="7" t="s">
        <v>830</v>
      </c>
      <c r="J209" s="103">
        <v>3.4684789999999999</v>
      </c>
      <c r="K209" s="104"/>
      <c r="L209" s="104"/>
      <c r="M209" s="99" t="s">
        <v>517</v>
      </c>
      <c r="N209" s="104" t="str">
        <f>IF(K209="","",K209&amp;COUNTIF($K$4:K209,K209))</f>
        <v/>
      </c>
      <c r="O209" s="104" t="str">
        <f>IF(D209="NA","NA",D209&amp;COUNTIF($D$4:D209,D209))</f>
        <v>NA</v>
      </c>
      <c r="P209" s="104" t="str">
        <f>IF(E209="NA","NA",E209&amp;COUNTIF($E$4:E209,E209))</f>
        <v>E61073</v>
      </c>
      <c r="Q209" s="104" t="str">
        <f t="shared" si="7"/>
        <v>Redcar and Cleveland</v>
      </c>
      <c r="R209" s="153" t="s">
        <v>1335</v>
      </c>
      <c r="S209" s="192">
        <f t="shared" si="8"/>
        <v>1.6995547099999999</v>
      </c>
      <c r="T209" s="194">
        <v>0.65100000000000002</v>
      </c>
    </row>
    <row r="210" spans="1:20" x14ac:dyDescent="0.25">
      <c r="A210" s="98">
        <v>207</v>
      </c>
      <c r="B210" s="99" t="s">
        <v>519</v>
      </c>
      <c r="C210" s="100" t="s">
        <v>518</v>
      </c>
      <c r="D210" s="101" t="s">
        <v>149</v>
      </c>
      <c r="E210" s="101" t="s">
        <v>150</v>
      </c>
      <c r="F210" s="101">
        <v>0.4</v>
      </c>
      <c r="G210" s="102">
        <v>0</v>
      </c>
      <c r="H210" s="7" t="s">
        <v>837</v>
      </c>
      <c r="I210" s="7" t="s">
        <v>830</v>
      </c>
      <c r="J210" s="103">
        <v>0.82706500000000005</v>
      </c>
      <c r="K210" s="104" t="s">
        <v>859</v>
      </c>
      <c r="L210" s="104"/>
      <c r="M210" s="99" t="s">
        <v>519</v>
      </c>
      <c r="N210" s="104" t="str">
        <f>IF(K210="","",K210&amp;COUNTIF($K$4:K210,K210))</f>
        <v>Greater Birmingham &amp; Solihull Business Rates Pool6</v>
      </c>
      <c r="O210" s="104" t="str">
        <f>IF(D210="NA","NA",D210&amp;COUNTIF($D$4:D210,D210))</f>
        <v>E18213</v>
      </c>
      <c r="P210" s="104" t="str">
        <f>IF(E210="NA","NA",E210&amp;COUNTIF($E$4:E210,E210))</f>
        <v>E61184</v>
      </c>
      <c r="Q210" s="104" t="str">
        <f t="shared" si="7"/>
        <v>Redditch</v>
      </c>
      <c r="R210" s="153" t="s">
        <v>1335</v>
      </c>
      <c r="S210" s="192">
        <f t="shared" si="8"/>
        <v>0.33082600000000006</v>
      </c>
      <c r="T210" s="194">
        <v>0.71199999999999997</v>
      </c>
    </row>
    <row r="211" spans="1:20" x14ac:dyDescent="0.25">
      <c r="A211" s="98">
        <v>208</v>
      </c>
      <c r="B211" s="99" t="s">
        <v>521</v>
      </c>
      <c r="C211" s="100" t="s">
        <v>520</v>
      </c>
      <c r="D211" s="101" t="s">
        <v>287</v>
      </c>
      <c r="E211" s="101" t="s">
        <v>36</v>
      </c>
      <c r="F211" s="101">
        <v>0.4</v>
      </c>
      <c r="G211" s="102">
        <v>0</v>
      </c>
      <c r="H211" s="7" t="s">
        <v>830</v>
      </c>
      <c r="I211" s="7" t="s">
        <v>830</v>
      </c>
      <c r="J211" s="103">
        <v>1.2039690000000001</v>
      </c>
      <c r="K211" s="104"/>
      <c r="L211" s="104"/>
      <c r="M211" s="99" t="s">
        <v>521</v>
      </c>
      <c r="N211" s="104" t="str">
        <f>IF(K211="","",K211&amp;COUNTIF($K$4:K211,K211))</f>
        <v/>
      </c>
      <c r="O211" s="104" t="str">
        <f>IF(D211="NA","NA",D211&amp;COUNTIF($D$4:D211,D211))</f>
        <v>E36205</v>
      </c>
      <c r="P211" s="104" t="str">
        <f>IF(E211="NA","NA",E211&amp;COUNTIF($E$4:E211,E211))</f>
        <v>NA</v>
      </c>
      <c r="Q211" s="104" t="str">
        <f t="shared" si="7"/>
        <v>Reigate and Banstead</v>
      </c>
      <c r="R211" s="153" t="s">
        <v>1335</v>
      </c>
      <c r="S211" s="192">
        <f t="shared" si="8"/>
        <v>0.48158760000000006</v>
      </c>
      <c r="T211" s="194">
        <v>0.73299999999999998</v>
      </c>
    </row>
    <row r="212" spans="1:20" x14ac:dyDescent="0.25">
      <c r="A212" s="98">
        <v>209</v>
      </c>
      <c r="B212" s="99" t="s">
        <v>523</v>
      </c>
      <c r="C212" s="100" t="s">
        <v>522</v>
      </c>
      <c r="D212" s="101" t="s">
        <v>158</v>
      </c>
      <c r="E212" s="101" t="s">
        <v>106</v>
      </c>
      <c r="F212" s="101">
        <v>0.4</v>
      </c>
      <c r="G212" s="102">
        <v>0</v>
      </c>
      <c r="H212" s="7" t="s">
        <v>830</v>
      </c>
      <c r="I212" s="7" t="s">
        <v>830</v>
      </c>
      <c r="J212" s="103">
        <v>0.26100000000000001</v>
      </c>
      <c r="K212" s="104" t="s">
        <v>914</v>
      </c>
      <c r="L212" s="104"/>
      <c r="M212" s="99" t="s">
        <v>523</v>
      </c>
      <c r="N212" s="104" t="str">
        <f>IF(K212="","",K212&amp;COUNTIF($K$4:K212,K212))</f>
        <v>Lancashire Business Rates Pool5</v>
      </c>
      <c r="O212" s="104" t="str">
        <f>IF(D212="NA","NA",D212&amp;COUNTIF($D$4:D212,D212))</f>
        <v>E23218</v>
      </c>
      <c r="P212" s="104" t="str">
        <f>IF(E212="NA","NA",E212&amp;COUNTIF($E$4:E212,E212))</f>
        <v>E612310</v>
      </c>
      <c r="Q212" s="104" t="str">
        <f t="shared" si="7"/>
        <v>Ribble Valley</v>
      </c>
      <c r="R212" s="153" t="s">
        <v>1335</v>
      </c>
      <c r="S212" s="192">
        <f t="shared" si="8"/>
        <v>0.10440000000000001</v>
      </c>
      <c r="T212" s="194">
        <v>0.67400000000000004</v>
      </c>
    </row>
    <row r="213" spans="1:20" x14ac:dyDescent="0.25">
      <c r="A213" s="98">
        <v>210</v>
      </c>
      <c r="B213" s="99" t="s">
        <v>525</v>
      </c>
      <c r="C213" s="100" t="s">
        <v>524</v>
      </c>
      <c r="D213" s="101" t="s">
        <v>68</v>
      </c>
      <c r="E213" s="101" t="s">
        <v>36</v>
      </c>
      <c r="F213" s="101">
        <v>0.3</v>
      </c>
      <c r="G213" s="102">
        <v>0</v>
      </c>
      <c r="H213" s="7" t="s">
        <v>830</v>
      </c>
      <c r="I213" s="7" t="s">
        <v>830</v>
      </c>
      <c r="J213" s="103">
        <v>3.0230679999999999</v>
      </c>
      <c r="K213" s="104"/>
      <c r="L213" s="104"/>
      <c r="M213" s="99" t="s">
        <v>525</v>
      </c>
      <c r="N213" s="104" t="str">
        <f>IF(K213="","",K213&amp;COUNTIF($K$4:K213,K213))</f>
        <v/>
      </c>
      <c r="O213" s="104" t="str">
        <f>IF(D213="NA","NA",D213&amp;COUNTIF($D$4:D213,D213))</f>
        <v>E510027</v>
      </c>
      <c r="P213" s="104" t="str">
        <f>IF(E213="NA","NA",E213&amp;COUNTIF($E$4:E213,E213))</f>
        <v>NA</v>
      </c>
      <c r="Q213" s="104" t="str">
        <f t="shared" si="7"/>
        <v>Richmond upon Thames</v>
      </c>
      <c r="R213" s="153" t="s">
        <v>1335</v>
      </c>
      <c r="S213" s="192">
        <f t="shared" si="8"/>
        <v>0.90692039999999996</v>
      </c>
      <c r="T213" s="194">
        <v>0.79100000000000004</v>
      </c>
    </row>
    <row r="214" spans="1:20" x14ac:dyDescent="0.25">
      <c r="A214" s="98">
        <v>211</v>
      </c>
      <c r="B214" s="99" t="s">
        <v>527</v>
      </c>
      <c r="C214" s="100" t="s">
        <v>526</v>
      </c>
      <c r="D214" s="101" t="s">
        <v>226</v>
      </c>
      <c r="E214" s="101" t="s">
        <v>227</v>
      </c>
      <c r="F214" s="101">
        <v>0.4</v>
      </c>
      <c r="G214" s="102">
        <v>0</v>
      </c>
      <c r="H214" s="7" t="s">
        <v>830</v>
      </c>
      <c r="I214" s="7" t="s">
        <v>830</v>
      </c>
      <c r="J214" s="103">
        <v>1.2749999999999999</v>
      </c>
      <c r="K214" s="104" t="s">
        <v>817</v>
      </c>
      <c r="L214" s="104"/>
      <c r="M214" s="99" t="s">
        <v>527</v>
      </c>
      <c r="N214" s="104" t="str">
        <f>IF(K214="","",K214&amp;COUNTIF($K$4:K214,K214))</f>
        <v>North Yorkshire Business Rates Pool3</v>
      </c>
      <c r="O214" s="104" t="str">
        <f>IF(D214="NA","NA",D214&amp;COUNTIF($D$4:D214,D214))</f>
        <v>E27214</v>
      </c>
      <c r="P214" s="104" t="str">
        <f>IF(E214="NA","NA",E214&amp;COUNTIF($E$4:E214,E214))</f>
        <v>E61274</v>
      </c>
      <c r="Q214" s="104" t="str">
        <f t="shared" si="7"/>
        <v>Richmondshire</v>
      </c>
      <c r="R214" s="153" t="s">
        <v>1335</v>
      </c>
      <c r="S214" s="192">
        <f t="shared" si="8"/>
        <v>0.51</v>
      </c>
      <c r="T214" s="194">
        <v>0.65100000000000002</v>
      </c>
    </row>
    <row r="215" spans="1:20" x14ac:dyDescent="0.25">
      <c r="A215" s="98">
        <v>212</v>
      </c>
      <c r="B215" s="99" t="s">
        <v>529</v>
      </c>
      <c r="C215" s="100" t="s">
        <v>528</v>
      </c>
      <c r="D215" s="101" t="s">
        <v>36</v>
      </c>
      <c r="E215" s="101" t="s">
        <v>113</v>
      </c>
      <c r="F215" s="101">
        <v>0.49</v>
      </c>
      <c r="G215" s="102">
        <v>0</v>
      </c>
      <c r="H215" s="7" t="s">
        <v>830</v>
      </c>
      <c r="I215" s="7" t="s">
        <v>830</v>
      </c>
      <c r="J215" s="103">
        <v>1.9184479999999999</v>
      </c>
      <c r="K215" s="104" t="s">
        <v>865</v>
      </c>
      <c r="L215" s="153" t="s">
        <v>1272</v>
      </c>
      <c r="M215" s="99" t="s">
        <v>529</v>
      </c>
      <c r="N215" s="104" t="str">
        <f>IF(K215="","",K215&amp;COUNTIF($K$4:K215,K215))</f>
        <v>Greater Manchester &amp; Cheshire Business Rates Pool7</v>
      </c>
      <c r="O215" s="104" t="str">
        <f>IF(D215="NA","NA",D215&amp;COUNTIF($D$4:D215,D215))</f>
        <v>NA</v>
      </c>
      <c r="P215" s="104" t="str">
        <f>IF(E215="NA","NA",E215&amp;COUNTIF($E$4:E215,E215))</f>
        <v>E61425</v>
      </c>
      <c r="Q215" s="104" t="str">
        <f t="shared" si="7"/>
        <v>Rochdale</v>
      </c>
      <c r="R215" s="153" t="s">
        <v>1335</v>
      </c>
      <c r="S215" s="192">
        <f t="shared" si="8"/>
        <v>0.94003951999999991</v>
      </c>
      <c r="T215" s="194">
        <v>0.66700000000000004</v>
      </c>
    </row>
    <row r="216" spans="1:20" x14ac:dyDescent="0.25">
      <c r="A216" s="98">
        <v>213</v>
      </c>
      <c r="B216" s="99" t="s">
        <v>531</v>
      </c>
      <c r="C216" s="100" t="s">
        <v>530</v>
      </c>
      <c r="D216" s="101" t="s">
        <v>79</v>
      </c>
      <c r="E216" s="101" t="s">
        <v>80</v>
      </c>
      <c r="F216" s="101">
        <v>0.4</v>
      </c>
      <c r="G216" s="102">
        <v>0</v>
      </c>
      <c r="H216" s="7" t="s">
        <v>830</v>
      </c>
      <c r="I216" s="7" t="s">
        <v>830</v>
      </c>
      <c r="J216" s="103">
        <v>0.17805599999999999</v>
      </c>
      <c r="K216" s="104" t="s">
        <v>129</v>
      </c>
      <c r="L216" s="104"/>
      <c r="M216" s="99" t="s">
        <v>531</v>
      </c>
      <c r="N216" s="104" t="str">
        <f>IF(K216="","",K216&amp;COUNTIF($K$4:K216,K216))</f>
        <v>Essex Business Rates Pool7</v>
      </c>
      <c r="O216" s="104" t="str">
        <f>IF(D216="NA","NA",D216&amp;COUNTIF($D$4:D216,D216))</f>
        <v>E152110</v>
      </c>
      <c r="P216" s="104" t="str">
        <f>IF(E216="NA","NA",E216&amp;COUNTIF($E$4:E216,E216))</f>
        <v>E611510</v>
      </c>
      <c r="Q216" s="104" t="str">
        <f t="shared" si="7"/>
        <v>Rochford</v>
      </c>
      <c r="R216" s="153" t="s">
        <v>1335</v>
      </c>
      <c r="S216" s="192">
        <f t="shared" si="8"/>
        <v>7.1222400000000005E-2</v>
      </c>
      <c r="T216" s="194">
        <v>0.72099999999999997</v>
      </c>
    </row>
    <row r="217" spans="1:20" x14ac:dyDescent="0.25">
      <c r="A217" s="98">
        <v>214</v>
      </c>
      <c r="B217" s="99" t="s">
        <v>533</v>
      </c>
      <c r="C217" s="100" t="s">
        <v>532</v>
      </c>
      <c r="D217" s="101" t="s">
        <v>158</v>
      </c>
      <c r="E217" s="101" t="s">
        <v>106</v>
      </c>
      <c r="F217" s="101">
        <v>0.4</v>
      </c>
      <c r="G217" s="102">
        <v>0</v>
      </c>
      <c r="H217" s="7" t="s">
        <v>830</v>
      </c>
      <c r="I217" s="7" t="s">
        <v>830</v>
      </c>
      <c r="J217" s="103">
        <v>0.26114399999999999</v>
      </c>
      <c r="K217" s="104" t="s">
        <v>914</v>
      </c>
      <c r="L217" s="104"/>
      <c r="M217" s="99" t="s">
        <v>533</v>
      </c>
      <c r="N217" s="104" t="str">
        <f>IF(K217="","",K217&amp;COUNTIF($K$4:K217,K217))</f>
        <v>Lancashire Business Rates Pool6</v>
      </c>
      <c r="O217" s="104" t="str">
        <f>IF(D217="NA","NA",D217&amp;COUNTIF($D$4:D217,D217))</f>
        <v>E23219</v>
      </c>
      <c r="P217" s="104" t="str">
        <f>IF(E217="NA","NA",E217&amp;COUNTIF($E$4:E217,E217))</f>
        <v>E612311</v>
      </c>
      <c r="Q217" s="104" t="str">
        <f t="shared" si="7"/>
        <v>Rossendale</v>
      </c>
      <c r="R217" s="153" t="s">
        <v>1335</v>
      </c>
      <c r="S217" s="192">
        <f t="shared" si="8"/>
        <v>0.1044576</v>
      </c>
      <c r="T217" s="194">
        <v>0.64300000000000002</v>
      </c>
    </row>
    <row r="218" spans="1:20" x14ac:dyDescent="0.25">
      <c r="A218" s="98">
        <v>215</v>
      </c>
      <c r="B218" s="99" t="s">
        <v>535</v>
      </c>
      <c r="C218" s="100" t="s">
        <v>534</v>
      </c>
      <c r="D218" s="101" t="s">
        <v>280</v>
      </c>
      <c r="E218" s="101" t="s">
        <v>140</v>
      </c>
      <c r="F218" s="101">
        <v>0.4</v>
      </c>
      <c r="G218" s="102">
        <v>0</v>
      </c>
      <c r="H218" s="7" t="s">
        <v>830</v>
      </c>
      <c r="I218" s="7" t="s">
        <v>830</v>
      </c>
      <c r="J218" s="103">
        <v>0.751</v>
      </c>
      <c r="K218" s="104"/>
      <c r="L218" s="104"/>
      <c r="M218" s="99" t="s">
        <v>535</v>
      </c>
      <c r="N218" s="104" t="str">
        <f>IF(K218="","",K218&amp;COUNTIF($K$4:K218,K218))</f>
        <v/>
      </c>
      <c r="O218" s="104" t="str">
        <f>IF(D218="NA","NA",D218&amp;COUNTIF($D$4:D218,D218))</f>
        <v>E14214</v>
      </c>
      <c r="P218" s="104" t="str">
        <f>IF(E218="NA","NA",E218&amp;COUNTIF($E$4:E218,E218))</f>
        <v>E61145</v>
      </c>
      <c r="Q218" s="104" t="str">
        <f t="shared" si="7"/>
        <v>Rother</v>
      </c>
      <c r="R218" s="153" t="s">
        <v>1335</v>
      </c>
      <c r="S218" s="192">
        <f t="shared" si="8"/>
        <v>0.3004</v>
      </c>
      <c r="T218" s="194">
        <v>0.67100000000000004</v>
      </c>
    </row>
    <row r="219" spans="1:20" x14ac:dyDescent="0.25">
      <c r="A219" s="98">
        <v>216</v>
      </c>
      <c r="B219" s="99" t="s">
        <v>537</v>
      </c>
      <c r="C219" s="100" t="s">
        <v>536</v>
      </c>
      <c r="D219" s="101" t="s">
        <v>36</v>
      </c>
      <c r="E219" s="101" t="s">
        <v>74</v>
      </c>
      <c r="F219" s="101">
        <v>0.49</v>
      </c>
      <c r="G219" s="102">
        <v>0</v>
      </c>
      <c r="H219" s="7" t="s">
        <v>830</v>
      </c>
      <c r="I219" s="7" t="s">
        <v>830</v>
      </c>
      <c r="J219" s="103">
        <v>4.8032719999999998</v>
      </c>
      <c r="K219" s="104"/>
      <c r="L219" s="104"/>
      <c r="M219" s="99" t="s">
        <v>537</v>
      </c>
      <c r="N219" s="104" t="str">
        <f>IF(K219="","",K219&amp;COUNTIF($K$4:K219,K219))</f>
        <v/>
      </c>
      <c r="O219" s="104" t="str">
        <f>IF(D219="NA","NA",D219&amp;COUNTIF($D$4:D219,D219))</f>
        <v>NA</v>
      </c>
      <c r="P219" s="104" t="str">
        <f>IF(E219="NA","NA",E219&amp;COUNTIF($E$4:E219,E219))</f>
        <v>E61443</v>
      </c>
      <c r="Q219" s="104" t="str">
        <f t="shared" si="7"/>
        <v>Rotherham</v>
      </c>
      <c r="R219" s="153" t="s">
        <v>1335</v>
      </c>
      <c r="S219" s="192">
        <f t="shared" si="8"/>
        <v>2.3536032799999997</v>
      </c>
      <c r="T219" s="194">
        <v>0.67400000000000004</v>
      </c>
    </row>
    <row r="220" spans="1:20" x14ac:dyDescent="0.25">
      <c r="A220" s="98">
        <v>217</v>
      </c>
      <c r="B220" s="99" t="s">
        <v>539</v>
      </c>
      <c r="C220" s="100" t="s">
        <v>538</v>
      </c>
      <c r="D220" s="101" t="s">
        <v>479</v>
      </c>
      <c r="E220" s="101" t="s">
        <v>36</v>
      </c>
      <c r="F220" s="101">
        <v>0.4</v>
      </c>
      <c r="G220" s="102">
        <v>0</v>
      </c>
      <c r="H220" s="7" t="s">
        <v>830</v>
      </c>
      <c r="I220" s="7" t="s">
        <v>830</v>
      </c>
      <c r="J220" s="103">
        <v>1.7769489999999999</v>
      </c>
      <c r="K220" s="104" t="s">
        <v>223</v>
      </c>
      <c r="L220" s="104"/>
      <c r="M220" s="99" t="s">
        <v>539</v>
      </c>
      <c r="N220" s="104" t="str">
        <f>IF(K220="","",K220&amp;COUNTIF($K$4:K220,K220))</f>
        <v>Coventry &amp; Warwickshire Business Rates Pool4</v>
      </c>
      <c r="O220" s="104" t="str">
        <f>IF(D220="NA","NA",D220&amp;COUNTIF($D$4:D220,D220))</f>
        <v>E37203</v>
      </c>
      <c r="P220" s="104" t="str">
        <f>IF(E220="NA","NA",E220&amp;COUNTIF($E$4:E220,E220))</f>
        <v>NA</v>
      </c>
      <c r="Q220" s="104" t="str">
        <f t="shared" si="7"/>
        <v>Rugby</v>
      </c>
      <c r="R220" s="153" t="s">
        <v>1335</v>
      </c>
      <c r="S220" s="192">
        <f t="shared" si="8"/>
        <v>0.71077959999999996</v>
      </c>
      <c r="T220" s="194">
        <v>0.72199999999999998</v>
      </c>
    </row>
    <row r="221" spans="1:20" x14ac:dyDescent="0.25">
      <c r="A221" s="98">
        <v>218</v>
      </c>
      <c r="B221" s="99" t="s">
        <v>541</v>
      </c>
      <c r="C221" s="100" t="s">
        <v>540</v>
      </c>
      <c r="D221" s="101" t="s">
        <v>287</v>
      </c>
      <c r="E221" s="101" t="s">
        <v>36</v>
      </c>
      <c r="F221" s="101">
        <v>0.4</v>
      </c>
      <c r="G221" s="102">
        <v>0</v>
      </c>
      <c r="H221" s="7" t="s">
        <v>830</v>
      </c>
      <c r="I221" s="7" t="s">
        <v>830</v>
      </c>
      <c r="J221" s="103">
        <v>1.6575489999999999</v>
      </c>
      <c r="K221" s="104"/>
      <c r="L221" s="104"/>
      <c r="M221" s="99" t="s">
        <v>541</v>
      </c>
      <c r="N221" s="104" t="str">
        <f>IF(K221="","",K221&amp;COUNTIF($K$4:K221,K221))</f>
        <v/>
      </c>
      <c r="O221" s="104" t="str">
        <f>IF(D221="NA","NA",D221&amp;COUNTIF($D$4:D221,D221))</f>
        <v>E36206</v>
      </c>
      <c r="P221" s="104" t="str">
        <f>IF(E221="NA","NA",E221&amp;COUNTIF($E$4:E221,E221))</f>
        <v>NA</v>
      </c>
      <c r="Q221" s="104" t="str">
        <f t="shared" si="7"/>
        <v>Runnymede</v>
      </c>
      <c r="R221" s="153" t="s">
        <v>1335</v>
      </c>
      <c r="S221" s="192">
        <f t="shared" si="8"/>
        <v>0.66301960000000004</v>
      </c>
      <c r="T221" s="194">
        <v>0.752</v>
      </c>
    </row>
    <row r="222" spans="1:20" x14ac:dyDescent="0.25">
      <c r="A222" s="98">
        <v>219</v>
      </c>
      <c r="B222" s="99" t="s">
        <v>543</v>
      </c>
      <c r="C222" s="100" t="s">
        <v>542</v>
      </c>
      <c r="D222" s="101" t="s">
        <v>50</v>
      </c>
      <c r="E222" s="101" t="s">
        <v>51</v>
      </c>
      <c r="F222" s="101">
        <v>0.4</v>
      </c>
      <c r="G222" s="102">
        <v>0</v>
      </c>
      <c r="H222" s="7" t="s">
        <v>837</v>
      </c>
      <c r="I222" s="7" t="s">
        <v>830</v>
      </c>
      <c r="J222" s="103">
        <v>0.94819500000000001</v>
      </c>
      <c r="K222" s="104" t="s">
        <v>835</v>
      </c>
      <c r="L222" s="104"/>
      <c r="M222" s="99" t="s">
        <v>543</v>
      </c>
      <c r="N222" s="104" t="str">
        <f>IF(K222="","",K222&amp;COUNTIF($K$4:K222,K222))</f>
        <v>Nottingham Business Rates Pool7</v>
      </c>
      <c r="O222" s="104" t="str">
        <f>IF(D222="NA","NA",D222&amp;COUNTIF($D$4:D222,D222))</f>
        <v>E30217</v>
      </c>
      <c r="P222" s="104" t="str">
        <f>IF(E222="NA","NA",E222&amp;COUNTIF($E$4:E222,E222))</f>
        <v>E61308</v>
      </c>
      <c r="Q222" s="104" t="str">
        <f t="shared" si="7"/>
        <v>Rushcliffe</v>
      </c>
      <c r="R222" s="153" t="s">
        <v>1335</v>
      </c>
      <c r="S222" s="192">
        <f t="shared" si="8"/>
        <v>0.379278</v>
      </c>
      <c r="T222" s="194">
        <v>0.69699999999999995</v>
      </c>
    </row>
    <row r="223" spans="1:20" x14ac:dyDescent="0.25">
      <c r="A223" s="98">
        <v>220</v>
      </c>
      <c r="B223" s="99" t="s">
        <v>545</v>
      </c>
      <c r="C223" s="100" t="s">
        <v>544</v>
      </c>
      <c r="D223" s="101" t="s">
        <v>83</v>
      </c>
      <c r="E223" s="101" t="s">
        <v>84</v>
      </c>
      <c r="F223" s="101">
        <v>0.4</v>
      </c>
      <c r="G223" s="102">
        <v>0</v>
      </c>
      <c r="H223" s="7" t="s">
        <v>830</v>
      </c>
      <c r="I223" s="7" t="s">
        <v>830</v>
      </c>
      <c r="J223" s="103">
        <v>7.6635739999999997</v>
      </c>
      <c r="K223" s="104"/>
      <c r="L223" s="104"/>
      <c r="M223" s="99" t="s">
        <v>545</v>
      </c>
      <c r="N223" s="104" t="str">
        <f>IF(K223="","",K223&amp;COUNTIF($K$4:K223,K223))</f>
        <v/>
      </c>
      <c r="O223" s="104" t="str">
        <f>IF(D223="NA","NA",D223&amp;COUNTIF($D$4:D223,D223))</f>
        <v>E17219</v>
      </c>
      <c r="P223" s="104" t="str">
        <f>IF(E223="NA","NA",E223&amp;COUNTIF($E$4:E223,E223))</f>
        <v>E611710</v>
      </c>
      <c r="Q223" s="104" t="str">
        <f t="shared" si="7"/>
        <v>Rushmoor</v>
      </c>
      <c r="R223" s="153" t="s">
        <v>1335</v>
      </c>
      <c r="S223" s="192">
        <f t="shared" si="8"/>
        <v>3.0654295999999999</v>
      </c>
      <c r="T223" s="194">
        <v>0.75900000000000001</v>
      </c>
    </row>
    <row r="224" spans="1:20" x14ac:dyDescent="0.25">
      <c r="A224" s="98">
        <v>221</v>
      </c>
      <c r="B224" s="99" t="s">
        <v>547</v>
      </c>
      <c r="C224" s="100" t="s">
        <v>546</v>
      </c>
      <c r="D224" s="101" t="s">
        <v>36</v>
      </c>
      <c r="E224" s="101" t="s">
        <v>102</v>
      </c>
      <c r="F224" s="101">
        <v>0.49</v>
      </c>
      <c r="G224" s="102">
        <v>0</v>
      </c>
      <c r="H224" s="7" t="s">
        <v>830</v>
      </c>
      <c r="I224" s="7" t="s">
        <v>830</v>
      </c>
      <c r="J224" s="103">
        <v>0.27974321000000002</v>
      </c>
      <c r="K224" s="104"/>
      <c r="L224" s="104"/>
      <c r="M224" s="99" t="s">
        <v>547</v>
      </c>
      <c r="N224" s="104" t="str">
        <f>IF(K224="","",K224&amp;COUNTIF($K$4:K224,K224))</f>
        <v/>
      </c>
      <c r="O224" s="104" t="str">
        <f>IF(D224="NA","NA",D224&amp;COUNTIF($D$4:D224,D224))</f>
        <v>NA</v>
      </c>
      <c r="P224" s="104" t="str">
        <f>IF(E224="NA","NA",E224&amp;COUNTIF($E$4:E224,E224))</f>
        <v>E61249</v>
      </c>
      <c r="Q224" s="104" t="str">
        <f t="shared" si="7"/>
        <v>Rutland</v>
      </c>
      <c r="R224" s="153" t="s">
        <v>1335</v>
      </c>
      <c r="S224" s="192">
        <f t="shared" si="8"/>
        <v>0.13707417290000001</v>
      </c>
      <c r="T224" s="194">
        <v>0.68400000000000005</v>
      </c>
    </row>
    <row r="225" spans="1:20" x14ac:dyDescent="0.25">
      <c r="A225" s="98">
        <v>222</v>
      </c>
      <c r="B225" s="99" t="s">
        <v>549</v>
      </c>
      <c r="C225" s="100" t="s">
        <v>548</v>
      </c>
      <c r="D225" s="101" t="s">
        <v>226</v>
      </c>
      <c r="E225" s="101" t="s">
        <v>227</v>
      </c>
      <c r="F225" s="101">
        <v>0.4</v>
      </c>
      <c r="G225" s="102">
        <v>0</v>
      </c>
      <c r="H225" s="7" t="s">
        <v>830</v>
      </c>
      <c r="I225" s="7" t="s">
        <v>830</v>
      </c>
      <c r="J225" s="103">
        <v>0.93100000000000005</v>
      </c>
      <c r="K225" s="104" t="s">
        <v>817</v>
      </c>
      <c r="L225" s="104"/>
      <c r="M225" s="99" t="s">
        <v>549</v>
      </c>
      <c r="N225" s="104" t="str">
        <f>IF(K225="","",K225&amp;COUNTIF($K$4:K225,K225))</f>
        <v>North Yorkshire Business Rates Pool4</v>
      </c>
      <c r="O225" s="104" t="str">
        <f>IF(D225="NA","NA",D225&amp;COUNTIF($D$4:D225,D225))</f>
        <v>E27215</v>
      </c>
      <c r="P225" s="104" t="str">
        <f>IF(E225="NA","NA",E225&amp;COUNTIF($E$4:E225,E225))</f>
        <v>E61275</v>
      </c>
      <c r="Q225" s="104" t="str">
        <f t="shared" si="7"/>
        <v>Ryedale</v>
      </c>
      <c r="R225" s="153" t="s">
        <v>1335</v>
      </c>
      <c r="S225" s="192">
        <f t="shared" si="8"/>
        <v>0.37240000000000006</v>
      </c>
      <c r="T225" s="194">
        <v>0.68799999999999994</v>
      </c>
    </row>
    <row r="226" spans="1:20" x14ac:dyDescent="0.25">
      <c r="A226" s="98">
        <v>223</v>
      </c>
      <c r="B226" s="99" t="s">
        <v>551</v>
      </c>
      <c r="C226" s="100" t="s">
        <v>550</v>
      </c>
      <c r="D226" s="101" t="s">
        <v>36</v>
      </c>
      <c r="E226" s="101" t="s">
        <v>113</v>
      </c>
      <c r="F226" s="101">
        <v>0.49</v>
      </c>
      <c r="G226" s="102">
        <v>0</v>
      </c>
      <c r="H226" s="7" t="s">
        <v>830</v>
      </c>
      <c r="I226" s="7" t="s">
        <v>830</v>
      </c>
      <c r="J226" s="103">
        <v>4.5400910000000003</v>
      </c>
      <c r="K226" s="104" t="s">
        <v>865</v>
      </c>
      <c r="L226" s="153" t="s">
        <v>1272</v>
      </c>
      <c r="M226" s="99" t="s">
        <v>551</v>
      </c>
      <c r="N226" s="104" t="str">
        <f>IF(K226="","",K226&amp;COUNTIF($K$4:K226,K226))</f>
        <v>Greater Manchester &amp; Cheshire Business Rates Pool8</v>
      </c>
      <c r="O226" s="104" t="str">
        <f>IF(D226="NA","NA",D226&amp;COUNTIF($D$4:D226,D226))</f>
        <v>NA</v>
      </c>
      <c r="P226" s="104" t="str">
        <f>IF(E226="NA","NA",E226&amp;COUNTIF($E$4:E226,E226))</f>
        <v>E61426</v>
      </c>
      <c r="Q226" s="104" t="str">
        <f t="shared" si="7"/>
        <v>Salford</v>
      </c>
      <c r="R226" s="153" t="s">
        <v>1335</v>
      </c>
      <c r="S226" s="192">
        <f t="shared" si="8"/>
        <v>2.22464459</v>
      </c>
      <c r="T226" s="194">
        <v>0.68600000000000005</v>
      </c>
    </row>
    <row r="227" spans="1:20" x14ac:dyDescent="0.25">
      <c r="A227" s="98">
        <v>224</v>
      </c>
      <c r="B227" s="99" t="s">
        <v>553</v>
      </c>
      <c r="C227" s="100" t="s">
        <v>552</v>
      </c>
      <c r="D227" s="101" t="s">
        <v>36</v>
      </c>
      <c r="E227" s="101" t="s">
        <v>98</v>
      </c>
      <c r="F227" s="101">
        <v>0.49</v>
      </c>
      <c r="G227" s="102">
        <v>0</v>
      </c>
      <c r="H227" s="7" t="s">
        <v>830</v>
      </c>
      <c r="I227" s="7" t="s">
        <v>830</v>
      </c>
      <c r="J227" s="103">
        <v>1</v>
      </c>
      <c r="K227" s="104"/>
      <c r="L227" s="153" t="s">
        <v>1272</v>
      </c>
      <c r="M227" s="99" t="s">
        <v>553</v>
      </c>
      <c r="N227" s="104" t="str">
        <f>IF(K227="","",K227&amp;COUNTIF($K$4:K227,K227))</f>
        <v/>
      </c>
      <c r="O227" s="104" t="str">
        <f>IF(D227="NA","NA",D227&amp;COUNTIF($D$4:D227,D227))</f>
        <v>NA</v>
      </c>
      <c r="P227" s="104" t="str">
        <f>IF(E227="NA","NA",E227&amp;COUNTIF($E$4:E227,E227))</f>
        <v>E61464</v>
      </c>
      <c r="Q227" s="104" t="str">
        <f t="shared" si="7"/>
        <v>Sandwell</v>
      </c>
      <c r="R227" s="153" t="s">
        <v>1335</v>
      </c>
      <c r="S227" s="192">
        <f t="shared" si="8"/>
        <v>0.49</v>
      </c>
      <c r="T227" s="194">
        <v>0.68700000000000006</v>
      </c>
    </row>
    <row r="228" spans="1:20" x14ac:dyDescent="0.25">
      <c r="A228" s="98">
        <v>225</v>
      </c>
      <c r="B228" s="99" t="s">
        <v>555</v>
      </c>
      <c r="C228" s="100" t="s">
        <v>554</v>
      </c>
      <c r="D228" s="101" t="s">
        <v>226</v>
      </c>
      <c r="E228" s="101" t="s">
        <v>227</v>
      </c>
      <c r="F228" s="101">
        <v>0.4</v>
      </c>
      <c r="G228" s="102">
        <v>0</v>
      </c>
      <c r="H228" s="7" t="s">
        <v>830</v>
      </c>
      <c r="I228" s="7" t="s">
        <v>830</v>
      </c>
      <c r="J228" s="103">
        <v>2.6237789999999999</v>
      </c>
      <c r="K228" s="104" t="s">
        <v>817</v>
      </c>
      <c r="L228" s="104"/>
      <c r="M228" s="99" t="s">
        <v>555</v>
      </c>
      <c r="N228" s="104" t="str">
        <f>IF(K228="","",K228&amp;COUNTIF($K$4:K228,K228))</f>
        <v>North Yorkshire Business Rates Pool5</v>
      </c>
      <c r="O228" s="104" t="str">
        <f>IF(D228="NA","NA",D228&amp;COUNTIF($D$4:D228,D228))</f>
        <v>E27216</v>
      </c>
      <c r="P228" s="104" t="str">
        <f>IF(E228="NA","NA",E228&amp;COUNTIF($E$4:E228,E228))</f>
        <v>E61276</v>
      </c>
      <c r="Q228" s="104" t="str">
        <f t="shared" si="7"/>
        <v>Scarborough</v>
      </c>
      <c r="R228" s="153" t="s">
        <v>1335</v>
      </c>
      <c r="S228" s="192">
        <f t="shared" si="8"/>
        <v>1.0495116</v>
      </c>
      <c r="T228" s="194">
        <v>0.64600000000000002</v>
      </c>
    </row>
    <row r="229" spans="1:20" x14ac:dyDescent="0.25">
      <c r="A229" s="98">
        <v>226</v>
      </c>
      <c r="B229" s="99" t="s">
        <v>557</v>
      </c>
      <c r="C229" s="100" t="s">
        <v>556</v>
      </c>
      <c r="D229" s="101" t="s">
        <v>432</v>
      </c>
      <c r="E229" s="101" t="s">
        <v>261</v>
      </c>
      <c r="F229" s="101">
        <v>0.4</v>
      </c>
      <c r="G229" s="102">
        <v>0</v>
      </c>
      <c r="H229" s="7" t="s">
        <v>830</v>
      </c>
      <c r="I229" s="7" t="s">
        <v>830</v>
      </c>
      <c r="J229" s="103">
        <v>2.1985939999999999</v>
      </c>
      <c r="K229" s="104" t="s">
        <v>90</v>
      </c>
      <c r="L229" s="104"/>
      <c r="M229" s="99" t="s">
        <v>557</v>
      </c>
      <c r="N229" s="104" t="str">
        <f>IF(K229="","",K229&amp;COUNTIF($K$4:K229,K229))</f>
        <v>Somerset Business Rates Pool2</v>
      </c>
      <c r="O229" s="104" t="str">
        <f>IF(D229="NA","NA",D229&amp;COUNTIF($D$4:D229,D229))</f>
        <v>E33202</v>
      </c>
      <c r="P229" s="104" t="str">
        <f>IF(E229="NA","NA",E229&amp;COUNTIF($E$4:E229,E229))</f>
        <v>E61617</v>
      </c>
      <c r="Q229" s="104" t="str">
        <f t="shared" si="7"/>
        <v>Sedgemoor</v>
      </c>
      <c r="R229" s="153" t="s">
        <v>1335</v>
      </c>
      <c r="S229" s="192">
        <f t="shared" si="8"/>
        <v>0.87943760000000004</v>
      </c>
      <c r="T229" s="194">
        <v>0.68899999999999995</v>
      </c>
    </row>
    <row r="230" spans="1:20" x14ac:dyDescent="0.25">
      <c r="A230" s="98">
        <v>227</v>
      </c>
      <c r="B230" s="99" t="s">
        <v>559</v>
      </c>
      <c r="C230" s="100" t="s">
        <v>558</v>
      </c>
      <c r="D230" s="101" t="s">
        <v>36</v>
      </c>
      <c r="E230" s="101" t="s">
        <v>394</v>
      </c>
      <c r="F230" s="101">
        <v>0.49</v>
      </c>
      <c r="G230" s="102">
        <v>0</v>
      </c>
      <c r="H230" s="7" t="s">
        <v>837</v>
      </c>
      <c r="I230" s="7" t="s">
        <v>830</v>
      </c>
      <c r="J230" s="103">
        <v>3.3079999999999998</v>
      </c>
      <c r="K230" s="104"/>
      <c r="L230" s="153" t="s">
        <v>1272</v>
      </c>
      <c r="M230" s="99" t="s">
        <v>559</v>
      </c>
      <c r="N230" s="104" t="str">
        <f>IF(K230="","",K230&amp;COUNTIF($K$4:K230,K230))</f>
        <v/>
      </c>
      <c r="O230" s="104" t="str">
        <f>IF(D230="NA","NA",D230&amp;COUNTIF($D$4:D230,D230))</f>
        <v>NA</v>
      </c>
      <c r="P230" s="104" t="str">
        <f>IF(E230="NA","NA",E230&amp;COUNTIF($E$4:E230,E230))</f>
        <v>E61433</v>
      </c>
      <c r="Q230" s="104" t="str">
        <f t="shared" si="7"/>
        <v>Sefton</v>
      </c>
      <c r="R230" s="153" t="s">
        <v>1335</v>
      </c>
      <c r="S230" s="192">
        <f t="shared" si="8"/>
        <v>1.6209199999999999</v>
      </c>
      <c r="T230" s="194">
        <v>0.68799999999999994</v>
      </c>
    </row>
    <row r="231" spans="1:20" x14ac:dyDescent="0.25">
      <c r="A231" s="98">
        <v>228</v>
      </c>
      <c r="B231" s="99" t="s">
        <v>561</v>
      </c>
      <c r="C231" s="100" t="s">
        <v>560</v>
      </c>
      <c r="D231" s="101" t="s">
        <v>226</v>
      </c>
      <c r="E231" s="101" t="s">
        <v>227</v>
      </c>
      <c r="F231" s="101">
        <v>0.4</v>
      </c>
      <c r="G231" s="102">
        <v>0</v>
      </c>
      <c r="H231" s="7" t="s">
        <v>830</v>
      </c>
      <c r="I231" s="7" t="s">
        <v>830</v>
      </c>
      <c r="J231" s="103">
        <v>0.91691199999999995</v>
      </c>
      <c r="K231" s="104"/>
      <c r="L231" s="104"/>
      <c r="M231" s="99" t="s">
        <v>561</v>
      </c>
      <c r="N231" s="104" t="str">
        <f>IF(K231="","",K231&amp;COUNTIF($K$4:K231,K231))</f>
        <v/>
      </c>
      <c r="O231" s="104" t="str">
        <f>IF(D231="NA","NA",D231&amp;COUNTIF($D$4:D231,D231))</f>
        <v>E27217</v>
      </c>
      <c r="P231" s="104" t="str">
        <f>IF(E231="NA","NA",E231&amp;COUNTIF($E$4:E231,E231))</f>
        <v>E61277</v>
      </c>
      <c r="Q231" s="104" t="str">
        <f t="shared" si="7"/>
        <v>Selby</v>
      </c>
      <c r="R231" s="153" t="s">
        <v>1335</v>
      </c>
      <c r="S231" s="192">
        <f t="shared" si="8"/>
        <v>0.3667648</v>
      </c>
      <c r="T231" s="194">
        <v>0.69899999999999995</v>
      </c>
    </row>
    <row r="232" spans="1:20" x14ac:dyDescent="0.25">
      <c r="A232" s="98">
        <v>229</v>
      </c>
      <c r="B232" s="99" t="s">
        <v>563</v>
      </c>
      <c r="C232" s="100" t="s">
        <v>562</v>
      </c>
      <c r="D232" s="101" t="s">
        <v>54</v>
      </c>
      <c r="E232" s="101" t="s">
        <v>55</v>
      </c>
      <c r="F232" s="101">
        <v>0.4</v>
      </c>
      <c r="G232" s="102">
        <v>0</v>
      </c>
      <c r="H232" s="7" t="s">
        <v>830</v>
      </c>
      <c r="I232" s="7" t="s">
        <v>830</v>
      </c>
      <c r="J232" s="103">
        <v>1.500475</v>
      </c>
      <c r="K232" s="104"/>
      <c r="L232" s="104"/>
      <c r="M232" s="99" t="s">
        <v>563</v>
      </c>
      <c r="N232" s="104" t="str">
        <f>IF(K232="","",K232&amp;COUNTIF($K$4:K232,K232))</f>
        <v/>
      </c>
      <c r="O232" s="104" t="str">
        <f>IF(D232="NA","NA",D232&amp;COUNTIF($D$4:D232,D232))</f>
        <v>E22217</v>
      </c>
      <c r="P232" s="104" t="str">
        <f>IF(E232="NA","NA",E232&amp;COUNTIF($E$4:E232,E232))</f>
        <v>E61228</v>
      </c>
      <c r="Q232" s="104" t="str">
        <f t="shared" si="7"/>
        <v>Sevenoaks</v>
      </c>
      <c r="R232" s="153" t="s">
        <v>1335</v>
      </c>
      <c r="S232" s="192">
        <f t="shared" si="8"/>
        <v>0.60019</v>
      </c>
      <c r="T232" s="194">
        <v>0.72199999999999998</v>
      </c>
    </row>
    <row r="233" spans="1:20" x14ac:dyDescent="0.25">
      <c r="A233" s="98">
        <v>230</v>
      </c>
      <c r="B233" s="99" t="s">
        <v>565</v>
      </c>
      <c r="C233" s="100" t="s">
        <v>564</v>
      </c>
      <c r="D233" s="101" t="s">
        <v>36</v>
      </c>
      <c r="E233" s="101" t="s">
        <v>74</v>
      </c>
      <c r="F233" s="101">
        <v>0.49</v>
      </c>
      <c r="G233" s="102">
        <v>0</v>
      </c>
      <c r="H233" s="7" t="s">
        <v>830</v>
      </c>
      <c r="I233" s="7" t="s">
        <v>830</v>
      </c>
      <c r="J233" s="103">
        <v>9.0055630000000004</v>
      </c>
      <c r="K233" s="104"/>
      <c r="L233" s="104"/>
      <c r="M233" s="99" t="s">
        <v>565</v>
      </c>
      <c r="N233" s="104" t="str">
        <f>IF(K233="","",K233&amp;COUNTIF($K$4:K233,K233))</f>
        <v/>
      </c>
      <c r="O233" s="104" t="str">
        <f>IF(D233="NA","NA",D233&amp;COUNTIF($D$4:D233,D233))</f>
        <v>NA</v>
      </c>
      <c r="P233" s="104" t="str">
        <f>IF(E233="NA","NA",E233&amp;COUNTIF($E$4:E233,E233))</f>
        <v>E61444</v>
      </c>
      <c r="Q233" s="104" t="str">
        <f t="shared" si="7"/>
        <v>Sheffield</v>
      </c>
      <c r="R233" s="153" t="s">
        <v>1335</v>
      </c>
      <c r="S233" s="192">
        <f t="shared" si="8"/>
        <v>4.4127258700000001</v>
      </c>
      <c r="T233" s="194">
        <v>0.69199999999999995</v>
      </c>
    </row>
    <row r="234" spans="1:20" x14ac:dyDescent="0.25">
      <c r="A234" s="98">
        <v>231</v>
      </c>
      <c r="B234" s="99" t="s">
        <v>567</v>
      </c>
      <c r="C234" s="100" t="s">
        <v>566</v>
      </c>
      <c r="D234" s="101" t="s">
        <v>54</v>
      </c>
      <c r="E234" s="101" t="s">
        <v>55</v>
      </c>
      <c r="F234" s="101">
        <v>0.4</v>
      </c>
      <c r="G234" s="102">
        <v>0</v>
      </c>
      <c r="H234" s="7" t="s">
        <v>830</v>
      </c>
      <c r="I234" s="7" t="s">
        <v>830</v>
      </c>
      <c r="J234" s="103">
        <v>1.0599369999999999</v>
      </c>
      <c r="K234" s="104" t="s">
        <v>56</v>
      </c>
      <c r="L234" s="104"/>
      <c r="M234" s="99" t="s">
        <v>567</v>
      </c>
      <c r="N234" s="104" t="str">
        <f>IF(K234="","",K234&amp;COUNTIF($K$4:K234,K234))</f>
        <v>Kent Business Rates Pool6</v>
      </c>
      <c r="O234" s="104" t="str">
        <f>IF(D234="NA","NA",D234&amp;COUNTIF($D$4:D234,D234))</f>
        <v>E22218</v>
      </c>
      <c r="P234" s="104" t="str">
        <f>IF(E234="NA","NA",E234&amp;COUNTIF($E$4:E234,E234))</f>
        <v>E61229</v>
      </c>
      <c r="Q234" s="104" t="str">
        <f t="shared" si="7"/>
        <v>Shepway</v>
      </c>
      <c r="R234" s="153" t="s">
        <v>1335</v>
      </c>
      <c r="S234" s="192">
        <f t="shared" si="8"/>
        <v>0.42397479999999999</v>
      </c>
      <c r="T234" s="194">
        <v>0.67500000000000004</v>
      </c>
    </row>
    <row r="235" spans="1:20" x14ac:dyDescent="0.25">
      <c r="A235" s="98">
        <v>232</v>
      </c>
      <c r="B235" s="99" t="s">
        <v>569</v>
      </c>
      <c r="C235" s="100" t="s">
        <v>568</v>
      </c>
      <c r="D235" s="101" t="s">
        <v>36</v>
      </c>
      <c r="E235" s="101" t="s">
        <v>570</v>
      </c>
      <c r="F235" s="101">
        <v>0.49</v>
      </c>
      <c r="G235" s="102">
        <v>0</v>
      </c>
      <c r="H235" s="7" t="s">
        <v>830</v>
      </c>
      <c r="I235" s="7" t="s">
        <v>830</v>
      </c>
      <c r="J235" s="103">
        <v>1.2201649999999999</v>
      </c>
      <c r="K235" s="104"/>
      <c r="L235" s="104"/>
      <c r="M235" s="99" t="s">
        <v>569</v>
      </c>
      <c r="N235" s="104" t="str">
        <f>IF(K235="","",K235&amp;COUNTIF($K$4:K235,K235))</f>
        <v/>
      </c>
      <c r="O235" s="104" t="str">
        <f>IF(D235="NA","NA",D235&amp;COUNTIF($D$4:D235,D235))</f>
        <v>NA</v>
      </c>
      <c r="P235" s="104" t="str">
        <f>IF(E235="NA","NA",E235&amp;COUNTIF($E$4:E235,E235))</f>
        <v>E61321</v>
      </c>
      <c r="Q235" s="104" t="str">
        <f t="shared" si="7"/>
        <v>Shropshire UA</v>
      </c>
      <c r="R235" s="153" t="s">
        <v>1335</v>
      </c>
      <c r="S235" s="192">
        <f t="shared" si="8"/>
        <v>0.59788084999999991</v>
      </c>
      <c r="T235" s="194">
        <v>0.69</v>
      </c>
    </row>
    <row r="236" spans="1:20" x14ac:dyDescent="0.25">
      <c r="A236" s="98">
        <v>233</v>
      </c>
      <c r="B236" s="99" t="s">
        <v>572</v>
      </c>
      <c r="C236" s="100" t="s">
        <v>571</v>
      </c>
      <c r="D236" s="101" t="s">
        <v>36</v>
      </c>
      <c r="E236" s="101" t="s">
        <v>122</v>
      </c>
      <c r="F236" s="101">
        <v>0.49</v>
      </c>
      <c r="G236" s="102">
        <v>0</v>
      </c>
      <c r="H236" s="7" t="s">
        <v>830</v>
      </c>
      <c r="I236" s="7" t="s">
        <v>830</v>
      </c>
      <c r="J236" s="103">
        <v>1.3121229999999999</v>
      </c>
      <c r="K236" s="104"/>
      <c r="L236" s="104"/>
      <c r="M236" s="99" t="s">
        <v>572</v>
      </c>
      <c r="N236" s="104" t="str">
        <f>IF(K236="","",K236&amp;COUNTIF($K$4:K236,K236))</f>
        <v/>
      </c>
      <c r="O236" s="104" t="str">
        <f>IF(D236="NA","NA",D236&amp;COUNTIF($D$4:D236,D236))</f>
        <v>NA</v>
      </c>
      <c r="P236" s="104" t="str">
        <f>IF(E236="NA","NA",E236&amp;COUNTIF($E$4:E236,E236))</f>
        <v>E61033</v>
      </c>
      <c r="Q236" s="104" t="str">
        <f t="shared" si="7"/>
        <v>Slough</v>
      </c>
      <c r="R236" s="153" t="s">
        <v>1335</v>
      </c>
      <c r="S236" s="192">
        <f t="shared" si="8"/>
        <v>0.64294026999999998</v>
      </c>
      <c r="T236" s="194">
        <v>0.79900000000000004</v>
      </c>
    </row>
    <row r="237" spans="1:20" x14ac:dyDescent="0.25">
      <c r="A237" s="98">
        <v>234</v>
      </c>
      <c r="B237" s="99" t="s">
        <v>574</v>
      </c>
      <c r="C237" s="100" t="s">
        <v>573</v>
      </c>
      <c r="D237" s="101" t="s">
        <v>36</v>
      </c>
      <c r="E237" s="101" t="s">
        <v>98</v>
      </c>
      <c r="F237" s="101">
        <v>0.49</v>
      </c>
      <c r="G237" s="102">
        <v>0</v>
      </c>
      <c r="H237" s="7" t="s">
        <v>837</v>
      </c>
      <c r="I237" s="7" t="s">
        <v>830</v>
      </c>
      <c r="J237" s="103">
        <v>2.2350840000000001</v>
      </c>
      <c r="K237" s="104" t="s">
        <v>859</v>
      </c>
      <c r="L237" s="153" t="s">
        <v>1272</v>
      </c>
      <c r="M237" s="99" t="s">
        <v>574</v>
      </c>
      <c r="N237" s="104" t="str">
        <f>IF(K237="","",K237&amp;COUNTIF($K$4:K237,K237))</f>
        <v>Greater Birmingham &amp; Solihull Business Rates Pool7</v>
      </c>
      <c r="O237" s="104" t="str">
        <f>IF(D237="NA","NA",D237&amp;COUNTIF($D$4:D237,D237))</f>
        <v>NA</v>
      </c>
      <c r="P237" s="104" t="str">
        <f>IF(E237="NA","NA",E237&amp;COUNTIF($E$4:E237,E237))</f>
        <v>E61465</v>
      </c>
      <c r="Q237" s="104" t="str">
        <f t="shared" si="7"/>
        <v>Solihull</v>
      </c>
      <c r="R237" s="153" t="s">
        <v>1335</v>
      </c>
      <c r="S237" s="192">
        <f t="shared" si="8"/>
        <v>1.0951911599999999</v>
      </c>
      <c r="T237" s="194">
        <v>0.74099999999999999</v>
      </c>
    </row>
    <row r="238" spans="1:20" x14ac:dyDescent="0.25">
      <c r="A238" s="98">
        <v>235</v>
      </c>
      <c r="B238" s="99" t="s">
        <v>576</v>
      </c>
      <c r="C238" s="100" t="s">
        <v>575</v>
      </c>
      <c r="D238" s="101" t="s">
        <v>59</v>
      </c>
      <c r="E238" s="101" t="s">
        <v>60</v>
      </c>
      <c r="F238" s="101">
        <v>0.4</v>
      </c>
      <c r="G238" s="102">
        <v>0</v>
      </c>
      <c r="H238" s="7" t="s">
        <v>830</v>
      </c>
      <c r="I238" s="7" t="s">
        <v>830</v>
      </c>
      <c r="J238" s="103">
        <v>1.2749189999999999</v>
      </c>
      <c r="K238" s="104" t="s">
        <v>841</v>
      </c>
      <c r="L238" s="104"/>
      <c r="M238" s="99" t="s">
        <v>576</v>
      </c>
      <c r="N238" s="104" t="str">
        <f>IF(K238="","",K238&amp;COUNTIF($K$4:K238,K238))</f>
        <v>Buckinghamshire Business Rates Pool3</v>
      </c>
      <c r="O238" s="104" t="str">
        <f>IF(D238="NA","NA",D238&amp;COUNTIF($D$4:D238,D238))</f>
        <v>E04213</v>
      </c>
      <c r="P238" s="104" t="str">
        <f>IF(E238="NA","NA",E238&amp;COUNTIF($E$4:E238,E238))</f>
        <v>E61044</v>
      </c>
      <c r="Q238" s="104" t="str">
        <f t="shared" si="7"/>
        <v>South Bucks</v>
      </c>
      <c r="R238" s="153" t="s">
        <v>1335</v>
      </c>
      <c r="S238" s="192">
        <f t="shared" si="8"/>
        <v>0.50996759999999997</v>
      </c>
      <c r="T238" s="194">
        <v>0.75</v>
      </c>
    </row>
    <row r="239" spans="1:20" x14ac:dyDescent="0.25">
      <c r="A239" s="98">
        <v>236</v>
      </c>
      <c r="B239" s="99" t="s">
        <v>578</v>
      </c>
      <c r="C239" s="100" t="s">
        <v>577</v>
      </c>
      <c r="D239" s="101" t="s">
        <v>165</v>
      </c>
      <c r="E239" s="101" t="s">
        <v>166</v>
      </c>
      <c r="F239" s="101">
        <v>0.4</v>
      </c>
      <c r="G239" s="102">
        <v>0</v>
      </c>
      <c r="H239" s="7" t="s">
        <v>830</v>
      </c>
      <c r="I239" s="7" t="s">
        <v>830</v>
      </c>
      <c r="J239" s="103">
        <v>2.9951620000000001</v>
      </c>
      <c r="K239" s="104"/>
      <c r="L239" s="104"/>
      <c r="M239" s="99" t="s">
        <v>578</v>
      </c>
      <c r="N239" s="104" t="str">
        <f>IF(K239="","",K239&amp;COUNTIF($K$4:K239,K239))</f>
        <v/>
      </c>
      <c r="O239" s="104" t="str">
        <f>IF(D239="NA","NA",D239&amp;COUNTIF($D$4:D239,D239))</f>
        <v>E05215</v>
      </c>
      <c r="P239" s="104" t="str">
        <f>IF(E239="NA","NA",E239&amp;COUNTIF($E$4:E239,E239))</f>
        <v>E61056</v>
      </c>
      <c r="Q239" s="104" t="str">
        <f t="shared" si="7"/>
        <v>South Cambridgeshire</v>
      </c>
      <c r="R239" s="153" t="s">
        <v>1335</v>
      </c>
      <c r="S239" s="192">
        <f t="shared" si="8"/>
        <v>1.1980648</v>
      </c>
      <c r="T239" s="194">
        <v>0.71599999999999997</v>
      </c>
    </row>
    <row r="240" spans="1:20" x14ac:dyDescent="0.25">
      <c r="A240" s="98">
        <v>237</v>
      </c>
      <c r="B240" s="99" t="s">
        <v>580</v>
      </c>
      <c r="C240" s="100" t="s">
        <v>579</v>
      </c>
      <c r="D240" s="101" t="s">
        <v>44</v>
      </c>
      <c r="E240" s="101" t="s">
        <v>45</v>
      </c>
      <c r="F240" s="101">
        <v>0.4</v>
      </c>
      <c r="G240" s="102">
        <v>0</v>
      </c>
      <c r="H240" s="7" t="s">
        <v>830</v>
      </c>
      <c r="I240" s="7" t="s">
        <v>830</v>
      </c>
      <c r="J240" s="103">
        <v>9.2367000000000005E-2</v>
      </c>
      <c r="K240" s="104" t="s">
        <v>1</v>
      </c>
      <c r="L240" s="104"/>
      <c r="M240" s="99" t="s">
        <v>580</v>
      </c>
      <c r="N240" s="104" t="str">
        <f>IF(K240="","",K240&amp;COUNTIF($K$4:K240,K240))</f>
        <v>Derbyshire Business Rates Pool9</v>
      </c>
      <c r="O240" s="104" t="str">
        <f>IF(D240="NA","NA",D240&amp;COUNTIF($D$4:D240,D240))</f>
        <v>E10218</v>
      </c>
      <c r="P240" s="104" t="str">
        <f>IF(E240="NA","NA",E240&amp;COUNTIF($E$4:E240,E240))</f>
        <v>E61109</v>
      </c>
      <c r="Q240" s="104" t="str">
        <f t="shared" si="7"/>
        <v>South Derbyshire</v>
      </c>
      <c r="R240" s="153" t="s">
        <v>1335</v>
      </c>
      <c r="S240" s="192">
        <f t="shared" si="8"/>
        <v>3.6946800000000002E-2</v>
      </c>
      <c r="T240" s="194">
        <v>0.70699999999999996</v>
      </c>
    </row>
    <row r="241" spans="1:20" x14ac:dyDescent="0.25">
      <c r="A241" s="98">
        <v>238</v>
      </c>
      <c r="B241" s="99" t="s">
        <v>582</v>
      </c>
      <c r="C241" s="100" t="s">
        <v>581</v>
      </c>
      <c r="D241" s="101" t="s">
        <v>36</v>
      </c>
      <c r="E241" s="101" t="s">
        <v>89</v>
      </c>
      <c r="F241" s="101">
        <v>0.49</v>
      </c>
      <c r="G241" s="102">
        <v>0</v>
      </c>
      <c r="H241" s="7" t="s">
        <v>830</v>
      </c>
      <c r="I241" s="7" t="s">
        <v>830</v>
      </c>
      <c r="J241" s="103">
        <v>5.8775300000000001</v>
      </c>
      <c r="K241" s="104"/>
      <c r="L241" s="153" t="s">
        <v>1272</v>
      </c>
      <c r="M241" s="99" t="s">
        <v>582</v>
      </c>
      <c r="N241" s="104" t="str">
        <f>IF(K241="","",K241&amp;COUNTIF($K$4:K241,K241))</f>
        <v/>
      </c>
      <c r="O241" s="104" t="str">
        <f>IF(D241="NA","NA",D241&amp;COUNTIF($D$4:D241,D241))</f>
        <v>NA</v>
      </c>
      <c r="P241" s="104" t="str">
        <f>IF(E241="NA","NA",E241&amp;COUNTIF($E$4:E241,E241))</f>
        <v>E61014</v>
      </c>
      <c r="Q241" s="104" t="str">
        <f t="shared" si="7"/>
        <v>South Gloucestershire</v>
      </c>
      <c r="R241" s="153" t="s">
        <v>1335</v>
      </c>
      <c r="S241" s="192">
        <f t="shared" si="8"/>
        <v>2.8799896999999999</v>
      </c>
      <c r="T241" s="194">
        <v>0.70399999999999996</v>
      </c>
    </row>
    <row r="242" spans="1:20" x14ac:dyDescent="0.25">
      <c r="A242" s="98">
        <v>239</v>
      </c>
      <c r="B242" s="99" t="s">
        <v>584</v>
      </c>
      <c r="C242" s="100" t="s">
        <v>583</v>
      </c>
      <c r="D242" s="101" t="s">
        <v>260</v>
      </c>
      <c r="E242" s="101" t="s">
        <v>261</v>
      </c>
      <c r="F242" s="101">
        <v>0.4</v>
      </c>
      <c r="G242" s="102">
        <v>0</v>
      </c>
      <c r="H242" s="7" t="s">
        <v>830</v>
      </c>
      <c r="I242" s="7" t="s">
        <v>830</v>
      </c>
      <c r="J242" s="103">
        <v>1.359294</v>
      </c>
      <c r="K242" s="104"/>
      <c r="L242" s="104"/>
      <c r="M242" s="99" t="s">
        <v>584</v>
      </c>
      <c r="N242" s="104" t="str">
        <f>IF(K242="","",K242&amp;COUNTIF($K$4:K242,K242))</f>
        <v/>
      </c>
      <c r="O242" s="104" t="str">
        <f>IF(D242="NA","NA",D242&amp;COUNTIF($D$4:D242,D242))</f>
        <v>E11215</v>
      </c>
      <c r="P242" s="104" t="str">
        <f>IF(E242="NA","NA",E242&amp;COUNTIF($E$4:E242,E242))</f>
        <v>E61618</v>
      </c>
      <c r="Q242" s="104" t="str">
        <f t="shared" si="7"/>
        <v>South Hams</v>
      </c>
      <c r="R242" s="153" t="s">
        <v>1335</v>
      </c>
      <c r="S242" s="192">
        <f t="shared" si="8"/>
        <v>0.54371760000000002</v>
      </c>
      <c r="T242" s="194">
        <v>0.65600000000000003</v>
      </c>
    </row>
    <row r="243" spans="1:20" x14ac:dyDescent="0.25">
      <c r="A243" s="98">
        <v>240</v>
      </c>
      <c r="B243" s="99" t="s">
        <v>586</v>
      </c>
      <c r="C243" s="100" t="s">
        <v>585</v>
      </c>
      <c r="D243" s="101" t="s">
        <v>116</v>
      </c>
      <c r="E243" s="101" t="s">
        <v>36</v>
      </c>
      <c r="F243" s="101">
        <v>0.4</v>
      </c>
      <c r="G243" s="102">
        <v>0</v>
      </c>
      <c r="H243" s="7" t="s">
        <v>830</v>
      </c>
      <c r="I243" s="7" t="s">
        <v>830</v>
      </c>
      <c r="J243" s="103">
        <v>2.0718540000000001</v>
      </c>
      <c r="K243" s="104"/>
      <c r="L243" s="104"/>
      <c r="M243" s="99" t="s">
        <v>586</v>
      </c>
      <c r="N243" s="104" t="str">
        <f>IF(K243="","",K243&amp;COUNTIF($K$4:K243,K243))</f>
        <v/>
      </c>
      <c r="O243" s="104" t="str">
        <f>IF(D243="NA","NA",D243&amp;COUNTIF($D$4:D243,D243))</f>
        <v>E25205</v>
      </c>
      <c r="P243" s="104" t="str">
        <f>IF(E243="NA","NA",E243&amp;COUNTIF($E$4:E243,E243))</f>
        <v>NA</v>
      </c>
      <c r="Q243" s="104" t="str">
        <f t="shared" si="7"/>
        <v>South Holland</v>
      </c>
      <c r="R243" s="153" t="s">
        <v>1335</v>
      </c>
      <c r="S243" s="192">
        <f t="shared" si="8"/>
        <v>0.82874160000000008</v>
      </c>
      <c r="T243" s="194">
        <v>0.67200000000000004</v>
      </c>
    </row>
    <row r="244" spans="1:20" x14ac:dyDescent="0.25">
      <c r="A244" s="98">
        <v>241</v>
      </c>
      <c r="B244" s="99" t="s">
        <v>588</v>
      </c>
      <c r="C244" s="100" t="s">
        <v>587</v>
      </c>
      <c r="D244" s="101" t="s">
        <v>116</v>
      </c>
      <c r="E244" s="101" t="s">
        <v>36</v>
      </c>
      <c r="F244" s="101">
        <v>0.4</v>
      </c>
      <c r="G244" s="102">
        <v>0</v>
      </c>
      <c r="H244" s="7" t="s">
        <v>830</v>
      </c>
      <c r="I244" s="7" t="s">
        <v>830</v>
      </c>
      <c r="J244" s="103">
        <v>0.92357999999999996</v>
      </c>
      <c r="K244" s="104" t="s">
        <v>117</v>
      </c>
      <c r="L244" s="104"/>
      <c r="M244" s="99" t="s">
        <v>588</v>
      </c>
      <c r="N244" s="104" t="str">
        <f>IF(K244="","",K244&amp;COUNTIF($K$4:K244,K244))</f>
        <v>Lincolnshire Business Rates Pool5</v>
      </c>
      <c r="O244" s="104" t="str">
        <f>IF(D244="NA","NA",D244&amp;COUNTIF($D$4:D244,D244))</f>
        <v>E25206</v>
      </c>
      <c r="P244" s="104" t="str">
        <f>IF(E244="NA","NA",E244&amp;COUNTIF($E$4:E244,E244))</f>
        <v>NA</v>
      </c>
      <c r="Q244" s="104" t="str">
        <f t="shared" si="7"/>
        <v>South Kesteven</v>
      </c>
      <c r="R244" s="153" t="s">
        <v>1335</v>
      </c>
      <c r="S244" s="192">
        <f t="shared" si="8"/>
        <v>0.36943199999999998</v>
      </c>
      <c r="T244" s="194">
        <v>0.72099999999999997</v>
      </c>
    </row>
    <row r="245" spans="1:20" x14ac:dyDescent="0.25">
      <c r="A245" s="98">
        <v>242</v>
      </c>
      <c r="B245" s="99" t="s">
        <v>590</v>
      </c>
      <c r="C245" s="100" t="s">
        <v>589</v>
      </c>
      <c r="D245" s="101" t="s">
        <v>40</v>
      </c>
      <c r="E245" s="101" t="s">
        <v>36</v>
      </c>
      <c r="F245" s="101">
        <v>0.4</v>
      </c>
      <c r="G245" s="102">
        <v>0</v>
      </c>
      <c r="H245" s="7" t="s">
        <v>830</v>
      </c>
      <c r="I245" s="7" t="s">
        <v>830</v>
      </c>
      <c r="J245" s="103">
        <v>1.258</v>
      </c>
      <c r="K245" s="104" t="s">
        <v>41</v>
      </c>
      <c r="L245" s="104"/>
      <c r="M245" s="99" t="s">
        <v>590</v>
      </c>
      <c r="N245" s="104" t="str">
        <f>IF(K245="","",K245&amp;COUNTIF($K$4:K245,K245))</f>
        <v>Cumbria Business Rates Pool5</v>
      </c>
      <c r="O245" s="104" t="str">
        <f>IF(D245="NA","NA",D245&amp;COUNTIF($D$4:D245,D245))</f>
        <v>E09206</v>
      </c>
      <c r="P245" s="104" t="str">
        <f>IF(E245="NA","NA",E245&amp;COUNTIF($E$4:E245,E245))</f>
        <v>NA</v>
      </c>
      <c r="Q245" s="104" t="str">
        <f t="shared" si="7"/>
        <v>South Lakeland</v>
      </c>
      <c r="R245" s="153" t="s">
        <v>1335</v>
      </c>
      <c r="S245" s="192">
        <f t="shared" si="8"/>
        <v>0.50319999999999998</v>
      </c>
      <c r="T245" s="194">
        <v>0.65</v>
      </c>
    </row>
    <row r="246" spans="1:20" x14ac:dyDescent="0.25">
      <c r="A246" s="98">
        <v>243</v>
      </c>
      <c r="B246" s="99" t="s">
        <v>592</v>
      </c>
      <c r="C246" s="100" t="s">
        <v>591</v>
      </c>
      <c r="D246" s="101" t="s">
        <v>132</v>
      </c>
      <c r="E246" s="101" t="s">
        <v>36</v>
      </c>
      <c r="F246" s="101">
        <v>0.4</v>
      </c>
      <c r="G246" s="102">
        <v>0</v>
      </c>
      <c r="H246" s="7" t="s">
        <v>830</v>
      </c>
      <c r="I246" s="7" t="s">
        <v>830</v>
      </c>
      <c r="J246" s="103">
        <v>0.71328499999999995</v>
      </c>
      <c r="K246" s="104" t="s">
        <v>133</v>
      </c>
      <c r="L246" s="104"/>
      <c r="M246" s="99" t="s">
        <v>592</v>
      </c>
      <c r="N246" s="104" t="str">
        <f>IF(K246="","",K246&amp;COUNTIF($K$4:K246,K246))</f>
        <v>Norfolk Business Rates Pool6</v>
      </c>
      <c r="O246" s="104" t="str">
        <f>IF(D246="NA","NA",D246&amp;COUNTIF($D$4:D246,D246))</f>
        <v>E26207</v>
      </c>
      <c r="P246" s="104" t="str">
        <f>IF(E246="NA","NA",E246&amp;COUNTIF($E$4:E246,E246))</f>
        <v>NA</v>
      </c>
      <c r="Q246" s="104" t="str">
        <f t="shared" si="7"/>
        <v>South Norfolk</v>
      </c>
      <c r="R246" s="153" t="s">
        <v>1335</v>
      </c>
      <c r="S246" s="192">
        <f t="shared" si="8"/>
        <v>0.28531400000000001</v>
      </c>
      <c r="T246" s="194">
        <v>0.68500000000000005</v>
      </c>
    </row>
    <row r="247" spans="1:20" x14ac:dyDescent="0.25">
      <c r="A247" s="98">
        <v>244</v>
      </c>
      <c r="B247" s="99" t="s">
        <v>594</v>
      </c>
      <c r="C247" s="100" t="s">
        <v>593</v>
      </c>
      <c r="D247" s="101" t="s">
        <v>215</v>
      </c>
      <c r="E247" s="101" t="s">
        <v>36</v>
      </c>
      <c r="F247" s="101">
        <v>0.4</v>
      </c>
      <c r="G247" s="102">
        <v>0</v>
      </c>
      <c r="H247" s="7" t="s">
        <v>830</v>
      </c>
      <c r="I247" s="7" t="s">
        <v>837</v>
      </c>
      <c r="J247" s="103">
        <v>0.62665599999999999</v>
      </c>
      <c r="K247" s="104" t="s">
        <v>216</v>
      </c>
      <c r="L247" s="104"/>
      <c r="M247" s="99" t="s">
        <v>594</v>
      </c>
      <c r="N247" s="104" t="str">
        <f>IF(K247="","",K247&amp;COUNTIF($K$4:K247,K247))</f>
        <v>Northamptonshire Business Rates Pool5</v>
      </c>
      <c r="O247" s="104" t="str">
        <f>IF(D247="NA","NA",D247&amp;COUNTIF($D$4:D247,D247))</f>
        <v>E28206</v>
      </c>
      <c r="P247" s="104" t="str">
        <f>IF(E247="NA","NA",E247&amp;COUNTIF($E$4:E247,E247))</f>
        <v>NA</v>
      </c>
      <c r="Q247" s="104" t="str">
        <f t="shared" si="7"/>
        <v>South Northamptonshire</v>
      </c>
      <c r="R247" s="153" t="s">
        <v>1335</v>
      </c>
      <c r="S247" s="192">
        <f t="shared" si="8"/>
        <v>0.25066240000000001</v>
      </c>
      <c r="T247" s="194">
        <v>0.69499999999999995</v>
      </c>
    </row>
    <row r="248" spans="1:20" x14ac:dyDescent="0.25">
      <c r="A248" s="98">
        <v>245</v>
      </c>
      <c r="B248" s="99" t="s">
        <v>596</v>
      </c>
      <c r="C248" s="100" t="s">
        <v>595</v>
      </c>
      <c r="D248" s="101" t="s">
        <v>191</v>
      </c>
      <c r="E248" s="101" t="s">
        <v>36</v>
      </c>
      <c r="F248" s="101">
        <v>0.4</v>
      </c>
      <c r="G248" s="102">
        <v>0</v>
      </c>
      <c r="H248" s="7" t="s">
        <v>830</v>
      </c>
      <c r="I248" s="7" t="s">
        <v>830</v>
      </c>
      <c r="J248" s="103">
        <v>1.3515250000000001</v>
      </c>
      <c r="K248" s="104"/>
      <c r="L248" s="104"/>
      <c r="M248" s="99" t="s">
        <v>596</v>
      </c>
      <c r="N248" s="104" t="str">
        <f>IF(K248="","",K248&amp;COUNTIF($K$4:K248,K248))</f>
        <v/>
      </c>
      <c r="O248" s="104" t="str">
        <f>IF(D248="NA","NA",D248&amp;COUNTIF($D$4:D248,D248))</f>
        <v>E31203</v>
      </c>
      <c r="P248" s="104" t="str">
        <f>IF(E248="NA","NA",E248&amp;COUNTIF($E$4:E248,E248))</f>
        <v>NA</v>
      </c>
      <c r="Q248" s="104" t="str">
        <f t="shared" si="7"/>
        <v>South Oxfordshire</v>
      </c>
      <c r="R248" s="153" t="s">
        <v>1335</v>
      </c>
      <c r="S248" s="192">
        <f t="shared" si="8"/>
        <v>0.54061000000000003</v>
      </c>
      <c r="T248" s="194">
        <v>0.72699999999999998</v>
      </c>
    </row>
    <row r="249" spans="1:20" x14ac:dyDescent="0.25">
      <c r="A249" s="98">
        <v>246</v>
      </c>
      <c r="B249" s="99" t="s">
        <v>598</v>
      </c>
      <c r="C249" s="100" t="s">
        <v>597</v>
      </c>
      <c r="D249" s="101" t="s">
        <v>158</v>
      </c>
      <c r="E249" s="101" t="s">
        <v>106</v>
      </c>
      <c r="F249" s="101">
        <v>0.4</v>
      </c>
      <c r="G249" s="102">
        <v>0</v>
      </c>
      <c r="H249" s="7" t="s">
        <v>830</v>
      </c>
      <c r="I249" s="7" t="s">
        <v>830</v>
      </c>
      <c r="J249" s="103">
        <v>1.9</v>
      </c>
      <c r="K249" s="104" t="s">
        <v>914</v>
      </c>
      <c r="L249" s="104"/>
      <c r="M249" s="99" t="s">
        <v>598</v>
      </c>
      <c r="N249" s="104" t="str">
        <f>IF(K249="","",K249&amp;COUNTIF($K$4:K249,K249))</f>
        <v>Lancashire Business Rates Pool7</v>
      </c>
      <c r="O249" s="104" t="str">
        <f>IF(D249="NA","NA",D249&amp;COUNTIF($D$4:D249,D249))</f>
        <v>E232110</v>
      </c>
      <c r="P249" s="104" t="str">
        <f>IF(E249="NA","NA",E249&amp;COUNTIF($E$4:E249,E249))</f>
        <v>E612312</v>
      </c>
      <c r="Q249" s="104" t="str">
        <f t="shared" si="7"/>
        <v>South Ribble</v>
      </c>
      <c r="R249" s="153" t="s">
        <v>1335</v>
      </c>
      <c r="S249" s="192">
        <f t="shared" si="8"/>
        <v>0.76</v>
      </c>
      <c r="T249" s="194">
        <v>0.68799999999999994</v>
      </c>
    </row>
    <row r="250" spans="1:20" x14ac:dyDescent="0.25">
      <c r="A250" s="98">
        <v>247</v>
      </c>
      <c r="B250" s="99" t="s">
        <v>600</v>
      </c>
      <c r="C250" s="100" t="s">
        <v>599</v>
      </c>
      <c r="D250" s="101" t="s">
        <v>432</v>
      </c>
      <c r="E250" s="101" t="s">
        <v>261</v>
      </c>
      <c r="F250" s="101">
        <v>0.4</v>
      </c>
      <c r="G250" s="102">
        <v>0</v>
      </c>
      <c r="H250" s="7" t="s">
        <v>830</v>
      </c>
      <c r="I250" s="7" t="s">
        <v>830</v>
      </c>
      <c r="J250" s="103">
        <v>1.8855489999999999</v>
      </c>
      <c r="K250" s="104"/>
      <c r="L250" s="104"/>
      <c r="M250" s="99" t="s">
        <v>600</v>
      </c>
      <c r="N250" s="104" t="str">
        <f>IF(K250="","",K250&amp;COUNTIF($K$4:K250,K250))</f>
        <v/>
      </c>
      <c r="O250" s="104" t="str">
        <f>IF(D250="NA","NA",D250&amp;COUNTIF($D$4:D250,D250))</f>
        <v>E33203</v>
      </c>
      <c r="P250" s="104" t="str">
        <f>IF(E250="NA","NA",E250&amp;COUNTIF($E$4:E250,E250))</f>
        <v>E61619</v>
      </c>
      <c r="Q250" s="104" t="str">
        <f t="shared" si="7"/>
        <v>South Somerset</v>
      </c>
      <c r="R250" s="153" t="s">
        <v>1335</v>
      </c>
      <c r="S250" s="192">
        <f t="shared" si="8"/>
        <v>0.75421959999999999</v>
      </c>
      <c r="T250" s="194">
        <v>0.68500000000000005</v>
      </c>
    </row>
    <row r="251" spans="1:20" x14ac:dyDescent="0.25">
      <c r="A251" s="98">
        <v>248</v>
      </c>
      <c r="B251" s="99" t="s">
        <v>602</v>
      </c>
      <c r="C251" s="100" t="s">
        <v>601</v>
      </c>
      <c r="D251" s="101" t="s">
        <v>171</v>
      </c>
      <c r="E251" s="101" t="s">
        <v>172</v>
      </c>
      <c r="F251" s="101">
        <v>0.4</v>
      </c>
      <c r="G251" s="102">
        <v>0</v>
      </c>
      <c r="H251" s="7" t="s">
        <v>830</v>
      </c>
      <c r="I251" s="7" t="s">
        <v>830</v>
      </c>
      <c r="J251" s="103">
        <v>0.95543999999999996</v>
      </c>
      <c r="K251" s="104" t="s">
        <v>454</v>
      </c>
      <c r="L251" s="104"/>
      <c r="M251" s="99" t="s">
        <v>602</v>
      </c>
      <c r="N251" s="104" t="str">
        <f>IF(K251="","",K251&amp;COUNTIF($K$4:K251,K251))</f>
        <v>Staffordshire &amp; Stoke on Trent Business Rates Pool2</v>
      </c>
      <c r="O251" s="104" t="str">
        <f>IF(D251="NA","NA",D251&amp;COUNTIF($D$4:D251,D251))</f>
        <v>E34215</v>
      </c>
      <c r="P251" s="104" t="str">
        <f>IF(E251="NA","NA",E251&amp;COUNTIF($E$4:E251,E251))</f>
        <v>E61345</v>
      </c>
      <c r="Q251" s="104" t="str">
        <f t="shared" si="7"/>
        <v>South Staffordshire</v>
      </c>
      <c r="R251" s="153" t="s">
        <v>1335</v>
      </c>
      <c r="S251" s="192">
        <f t="shared" si="8"/>
        <v>0.38217600000000002</v>
      </c>
      <c r="T251" s="194">
        <v>0.68300000000000005</v>
      </c>
    </row>
    <row r="252" spans="1:20" x14ac:dyDescent="0.25">
      <c r="A252" s="98">
        <v>249</v>
      </c>
      <c r="B252" s="99" t="s">
        <v>604</v>
      </c>
      <c r="C252" s="100" t="s">
        <v>603</v>
      </c>
      <c r="D252" s="101" t="s">
        <v>36</v>
      </c>
      <c r="E252" s="101" t="s">
        <v>310</v>
      </c>
      <c r="F252" s="101">
        <v>0.49</v>
      </c>
      <c r="G252" s="102">
        <v>0</v>
      </c>
      <c r="H252" s="7" t="s">
        <v>837</v>
      </c>
      <c r="I252" s="7" t="s">
        <v>830</v>
      </c>
      <c r="J252" s="103">
        <v>0.48547400000000002</v>
      </c>
      <c r="K252" s="104"/>
      <c r="L252" s="104"/>
      <c r="M252" s="99" t="s">
        <v>604</v>
      </c>
      <c r="N252" s="104" t="str">
        <f>IF(K252="","",K252&amp;COUNTIF($K$4:K252,K252))</f>
        <v/>
      </c>
      <c r="O252" s="104" t="str">
        <f>IF(D252="NA","NA",D252&amp;COUNTIF($D$4:D252,D252))</f>
        <v>NA</v>
      </c>
      <c r="P252" s="104" t="str">
        <f>IF(E252="NA","NA",E252&amp;COUNTIF($E$4:E252,E252))</f>
        <v>E61454</v>
      </c>
      <c r="Q252" s="104" t="str">
        <f t="shared" si="7"/>
        <v>South Tyneside</v>
      </c>
      <c r="R252" s="153" t="s">
        <v>1335</v>
      </c>
      <c r="S252" s="192">
        <f t="shared" si="8"/>
        <v>0.23788226000000001</v>
      </c>
      <c r="T252" s="194">
        <v>0.67700000000000005</v>
      </c>
    </row>
    <row r="253" spans="1:20" x14ac:dyDescent="0.25">
      <c r="A253" s="98">
        <v>250</v>
      </c>
      <c r="B253" s="99" t="s">
        <v>606</v>
      </c>
      <c r="C253" s="100" t="s">
        <v>605</v>
      </c>
      <c r="D253" s="101" t="s">
        <v>36</v>
      </c>
      <c r="E253" s="101" t="s">
        <v>84</v>
      </c>
      <c r="F253" s="101">
        <v>0.49</v>
      </c>
      <c r="G253" s="102">
        <v>0</v>
      </c>
      <c r="H253" s="7" t="s">
        <v>830</v>
      </c>
      <c r="I253" s="7" t="s">
        <v>830</v>
      </c>
      <c r="J253" s="103">
        <v>9.4862680000000008</v>
      </c>
      <c r="K253" s="104"/>
      <c r="L253" s="104"/>
      <c r="M253" s="99" t="s">
        <v>606</v>
      </c>
      <c r="N253" s="104" t="str">
        <f>IF(K253="","",K253&amp;COUNTIF($K$4:K253,K253))</f>
        <v/>
      </c>
      <c r="O253" s="104" t="str">
        <f>IF(D253="NA","NA",D253&amp;COUNTIF($D$4:D253,D253))</f>
        <v>NA</v>
      </c>
      <c r="P253" s="104" t="str">
        <f>IF(E253="NA","NA",E253&amp;COUNTIF($E$4:E253,E253))</f>
        <v>E611711</v>
      </c>
      <c r="Q253" s="104" t="str">
        <f t="shared" si="7"/>
        <v>Southampton</v>
      </c>
      <c r="R253" s="153" t="s">
        <v>1335</v>
      </c>
      <c r="S253" s="192">
        <f t="shared" si="8"/>
        <v>4.6482713200000001</v>
      </c>
      <c r="T253" s="194">
        <v>0.72799999999999998</v>
      </c>
    </row>
    <row r="254" spans="1:20" x14ac:dyDescent="0.25">
      <c r="A254" s="98">
        <v>251</v>
      </c>
      <c r="B254" s="99" t="s">
        <v>608</v>
      </c>
      <c r="C254" s="100" t="s">
        <v>607</v>
      </c>
      <c r="D254" s="101" t="s">
        <v>36</v>
      </c>
      <c r="E254" s="101" t="s">
        <v>80</v>
      </c>
      <c r="F254" s="101">
        <v>0.49</v>
      </c>
      <c r="G254" s="102">
        <v>0</v>
      </c>
      <c r="H254" s="7" t="s">
        <v>830</v>
      </c>
      <c r="I254" s="7" t="s">
        <v>830</v>
      </c>
      <c r="J254" s="103">
        <v>1.1830953899999999</v>
      </c>
      <c r="K254" s="104"/>
      <c r="L254" s="104"/>
      <c r="M254" s="99" t="s">
        <v>608</v>
      </c>
      <c r="N254" s="104" t="str">
        <f>IF(K254="","",K254&amp;COUNTIF($K$4:K254,K254))</f>
        <v/>
      </c>
      <c r="O254" s="104" t="str">
        <f>IF(D254="NA","NA",D254&amp;COUNTIF($D$4:D254,D254))</f>
        <v>NA</v>
      </c>
      <c r="P254" s="104" t="str">
        <f>IF(E254="NA","NA",E254&amp;COUNTIF($E$4:E254,E254))</f>
        <v>E611511</v>
      </c>
      <c r="Q254" s="104" t="str">
        <f t="shared" si="7"/>
        <v>Southend-on-Sea</v>
      </c>
      <c r="R254" s="153" t="s">
        <v>1335</v>
      </c>
      <c r="S254" s="192">
        <f t="shared" si="8"/>
        <v>0.57971674109999993</v>
      </c>
      <c r="T254" s="194">
        <v>0.69699999999999995</v>
      </c>
    </row>
    <row r="255" spans="1:20" x14ac:dyDescent="0.25">
      <c r="A255" s="98">
        <v>252</v>
      </c>
      <c r="B255" s="99" t="s">
        <v>610</v>
      </c>
      <c r="C255" s="100" t="s">
        <v>609</v>
      </c>
      <c r="D255" s="101" t="s">
        <v>68</v>
      </c>
      <c r="E255" s="101" t="s">
        <v>36</v>
      </c>
      <c r="F255" s="101">
        <v>0.3</v>
      </c>
      <c r="G255" s="102">
        <v>0</v>
      </c>
      <c r="H255" s="7" t="s">
        <v>837</v>
      </c>
      <c r="I255" s="7" t="s">
        <v>830</v>
      </c>
      <c r="J255" s="103">
        <v>31.417141999999998</v>
      </c>
      <c r="K255" s="104"/>
      <c r="L255" s="104"/>
      <c r="M255" s="99" t="s">
        <v>610</v>
      </c>
      <c r="N255" s="104" t="str">
        <f>IF(K255="","",K255&amp;COUNTIF($K$4:K255,K255))</f>
        <v/>
      </c>
      <c r="O255" s="104" t="str">
        <f>IF(D255="NA","NA",D255&amp;COUNTIF($D$4:D255,D255))</f>
        <v>E510028</v>
      </c>
      <c r="P255" s="104" t="str">
        <f>IF(E255="NA","NA",E255&amp;COUNTIF($E$4:E255,E255))</f>
        <v>NA</v>
      </c>
      <c r="Q255" s="104" t="str">
        <f t="shared" si="7"/>
        <v>Southwark</v>
      </c>
      <c r="R255" s="153" t="s">
        <v>1335</v>
      </c>
      <c r="S255" s="192">
        <f t="shared" si="8"/>
        <v>9.4251425999999991</v>
      </c>
      <c r="T255" s="194">
        <v>0.78200000000000003</v>
      </c>
    </row>
    <row r="256" spans="1:20" x14ac:dyDescent="0.25">
      <c r="A256" s="98">
        <v>253</v>
      </c>
      <c r="B256" s="99" t="s">
        <v>612</v>
      </c>
      <c r="C256" s="100" t="s">
        <v>611</v>
      </c>
      <c r="D256" s="101" t="s">
        <v>287</v>
      </c>
      <c r="E256" s="101" t="s">
        <v>36</v>
      </c>
      <c r="F256" s="101">
        <v>0.4</v>
      </c>
      <c r="G256" s="102">
        <v>0</v>
      </c>
      <c r="H256" s="7" t="s">
        <v>830</v>
      </c>
      <c r="I256" s="7" t="s">
        <v>830</v>
      </c>
      <c r="J256" s="103">
        <v>1.983762</v>
      </c>
      <c r="K256" s="104" t="s">
        <v>929</v>
      </c>
      <c r="L256" s="104"/>
      <c r="M256" s="99" t="s">
        <v>612</v>
      </c>
      <c r="N256" s="104" t="str">
        <f>IF(K256="","",K256&amp;COUNTIF($K$4:K256,K256))</f>
        <v>Surrey-Croydon Business Rates Pool5</v>
      </c>
      <c r="O256" s="104" t="str">
        <f>IF(D256="NA","NA",D256&amp;COUNTIF($D$4:D256,D256))</f>
        <v>E36207</v>
      </c>
      <c r="P256" s="104" t="str">
        <f>IF(E256="NA","NA",E256&amp;COUNTIF($E$4:E256,E256))</f>
        <v>NA</v>
      </c>
      <c r="Q256" s="104" t="str">
        <f t="shared" si="7"/>
        <v>Spelthorne</v>
      </c>
      <c r="R256" s="153" t="s">
        <v>1335</v>
      </c>
      <c r="S256" s="192">
        <f t="shared" si="8"/>
        <v>0.79350480000000001</v>
      </c>
      <c r="T256" s="194">
        <v>0.748</v>
      </c>
    </row>
    <row r="257" spans="1:20" x14ac:dyDescent="0.25">
      <c r="A257" s="98">
        <v>254</v>
      </c>
      <c r="B257" s="99" t="s">
        <v>614</v>
      </c>
      <c r="C257" s="100" t="s">
        <v>613</v>
      </c>
      <c r="D257" s="101" t="s">
        <v>153</v>
      </c>
      <c r="E257" s="101" t="s">
        <v>36</v>
      </c>
      <c r="F257" s="101">
        <v>0.4</v>
      </c>
      <c r="G257" s="102">
        <v>0</v>
      </c>
      <c r="H257" s="7" t="s">
        <v>830</v>
      </c>
      <c r="I257" s="7" t="s">
        <v>830</v>
      </c>
      <c r="J257" s="103">
        <v>0.92489500000000002</v>
      </c>
      <c r="K257" s="104"/>
      <c r="L257" s="104"/>
      <c r="M257" s="99" t="s">
        <v>614</v>
      </c>
      <c r="N257" s="104" t="str">
        <f>IF(K257="","",K257&amp;COUNTIF($K$4:K257,K257))</f>
        <v/>
      </c>
      <c r="O257" s="104" t="str">
        <f>IF(D257="NA","NA",D257&amp;COUNTIF($D$4:D257,D257))</f>
        <v>E19206</v>
      </c>
      <c r="P257" s="104" t="str">
        <f>IF(E257="NA","NA",E257&amp;COUNTIF($E$4:E257,E257))</f>
        <v>NA</v>
      </c>
      <c r="Q257" s="104" t="str">
        <f t="shared" si="7"/>
        <v>St Albans</v>
      </c>
      <c r="R257" s="153" t="s">
        <v>1335</v>
      </c>
      <c r="S257" s="192">
        <f t="shared" si="8"/>
        <v>0.36995800000000001</v>
      </c>
      <c r="T257" s="194">
        <v>0.76900000000000002</v>
      </c>
    </row>
    <row r="258" spans="1:20" x14ac:dyDescent="0.25">
      <c r="A258" s="98">
        <v>255</v>
      </c>
      <c r="B258" s="99" t="s">
        <v>616</v>
      </c>
      <c r="C258" s="100" t="s">
        <v>615</v>
      </c>
      <c r="D258" s="101" t="s">
        <v>64</v>
      </c>
      <c r="E258" s="101" t="s">
        <v>36</v>
      </c>
      <c r="F258" s="101">
        <v>0.4</v>
      </c>
      <c r="G258" s="102">
        <v>0</v>
      </c>
      <c r="H258" s="7" t="s">
        <v>830</v>
      </c>
      <c r="I258" s="7" t="s">
        <v>830</v>
      </c>
      <c r="J258" s="103">
        <v>1.055717</v>
      </c>
      <c r="K258" s="104" t="s">
        <v>65</v>
      </c>
      <c r="L258" s="104"/>
      <c r="M258" s="99" t="s">
        <v>616</v>
      </c>
      <c r="N258" s="104" t="str">
        <f>IF(K258="","",K258&amp;COUNTIF($K$4:K258,K258))</f>
        <v>Suffolk Business Rates Pool5</v>
      </c>
      <c r="O258" s="104" t="str">
        <f>IF(D258="NA","NA",D258&amp;COUNTIF($D$4:D258,D258))</f>
        <v>E35205</v>
      </c>
      <c r="P258" s="104" t="str">
        <f>IF(E258="NA","NA",E258&amp;COUNTIF($E$4:E258,E258))</f>
        <v>NA</v>
      </c>
      <c r="Q258" s="104" t="str">
        <f t="shared" si="7"/>
        <v>St Edmundsbury</v>
      </c>
      <c r="R258" s="153" t="s">
        <v>1335</v>
      </c>
      <c r="S258" s="192">
        <f t="shared" si="8"/>
        <v>0.42228680000000002</v>
      </c>
      <c r="T258" s="194">
        <v>0.73699999999999999</v>
      </c>
    </row>
    <row r="259" spans="1:20" x14ac:dyDescent="0.25">
      <c r="A259" s="98">
        <v>256</v>
      </c>
      <c r="B259" s="99" t="s">
        <v>618</v>
      </c>
      <c r="C259" s="100" t="s">
        <v>617</v>
      </c>
      <c r="D259" s="101" t="s">
        <v>36</v>
      </c>
      <c r="E259" s="101" t="s">
        <v>394</v>
      </c>
      <c r="F259" s="101">
        <v>0.49</v>
      </c>
      <c r="G259" s="102">
        <v>0</v>
      </c>
      <c r="H259" s="7" t="s">
        <v>830</v>
      </c>
      <c r="I259" s="7" t="s">
        <v>830</v>
      </c>
      <c r="J259" s="103">
        <v>2.3497180000000002</v>
      </c>
      <c r="K259" s="104" t="s">
        <v>993</v>
      </c>
      <c r="L259" s="153" t="s">
        <v>1272</v>
      </c>
      <c r="M259" s="99" t="s">
        <v>618</v>
      </c>
      <c r="N259" s="104" t="str">
        <f>IF(K259="","",K259&amp;COUNTIF($K$4:K259,K259))</f>
        <v>Mid Merseyside Business Rates Pool2</v>
      </c>
      <c r="O259" s="104" t="str">
        <f>IF(D259="NA","NA",D259&amp;COUNTIF($D$4:D259,D259))</f>
        <v>NA</v>
      </c>
      <c r="P259" s="104" t="str">
        <f>IF(E259="NA","NA",E259&amp;COUNTIF($E$4:E259,E259))</f>
        <v>E61434</v>
      </c>
      <c r="Q259" s="104" t="str">
        <f t="shared" si="7"/>
        <v>St Helens</v>
      </c>
      <c r="R259" s="153" t="s">
        <v>1335</v>
      </c>
      <c r="S259" s="192">
        <f t="shared" si="8"/>
        <v>1.15136182</v>
      </c>
      <c r="T259" s="194">
        <v>0.69099999999999995</v>
      </c>
    </row>
    <row r="260" spans="1:20" x14ac:dyDescent="0.25">
      <c r="A260" s="98">
        <v>257</v>
      </c>
      <c r="B260" s="99" t="s">
        <v>620</v>
      </c>
      <c r="C260" s="100" t="s">
        <v>619</v>
      </c>
      <c r="D260" s="101" t="s">
        <v>171</v>
      </c>
      <c r="E260" s="101" t="s">
        <v>172</v>
      </c>
      <c r="F260" s="101">
        <v>0.4</v>
      </c>
      <c r="G260" s="102">
        <v>0</v>
      </c>
      <c r="H260" s="7" t="s">
        <v>830</v>
      </c>
      <c r="I260" s="7" t="s">
        <v>830</v>
      </c>
      <c r="J260" s="103">
        <v>1.336846</v>
      </c>
      <c r="K260" s="104" t="s">
        <v>454</v>
      </c>
      <c r="L260" s="104"/>
      <c r="M260" s="99" t="s">
        <v>620</v>
      </c>
      <c r="N260" s="104" t="str">
        <f>IF(K260="","",K260&amp;COUNTIF($K$4:K260,K260))</f>
        <v>Staffordshire &amp; Stoke on Trent Business Rates Pool3</v>
      </c>
      <c r="O260" s="104" t="str">
        <f>IF(D260="NA","NA",D260&amp;COUNTIF($D$4:D260,D260))</f>
        <v>E34216</v>
      </c>
      <c r="P260" s="104" t="str">
        <f>IF(E260="NA","NA",E260&amp;COUNTIF($E$4:E260,E260))</f>
        <v>E61346</v>
      </c>
      <c r="Q260" s="104" t="str">
        <f t="shared" si="7"/>
        <v>Stafford</v>
      </c>
      <c r="R260" s="153" t="s">
        <v>1335</v>
      </c>
      <c r="S260" s="192">
        <f t="shared" si="8"/>
        <v>0.53473840000000006</v>
      </c>
      <c r="T260" s="194">
        <v>0.72099999999999997</v>
      </c>
    </row>
    <row r="261" spans="1:20" x14ac:dyDescent="0.25">
      <c r="A261" s="98">
        <v>258</v>
      </c>
      <c r="B261" s="99" t="s">
        <v>622</v>
      </c>
      <c r="C261" s="100" t="s">
        <v>621</v>
      </c>
      <c r="D261" s="101" t="s">
        <v>171</v>
      </c>
      <c r="E261" s="101" t="s">
        <v>172</v>
      </c>
      <c r="F261" s="101">
        <v>0.4</v>
      </c>
      <c r="G261" s="102">
        <v>0</v>
      </c>
      <c r="H261" s="7" t="s">
        <v>830</v>
      </c>
      <c r="I261" s="7" t="s">
        <v>830</v>
      </c>
      <c r="J261" s="103">
        <v>0.26749499999999998</v>
      </c>
      <c r="K261" s="104" t="s">
        <v>454</v>
      </c>
      <c r="L261" s="104"/>
      <c r="M261" s="99" t="s">
        <v>622</v>
      </c>
      <c r="N261" s="104" t="str">
        <f>IF(K261="","",K261&amp;COUNTIF($K$4:K261,K261))</f>
        <v>Staffordshire &amp; Stoke on Trent Business Rates Pool4</v>
      </c>
      <c r="O261" s="104" t="str">
        <f>IF(D261="NA","NA",D261&amp;COUNTIF($D$4:D261,D261))</f>
        <v>E34217</v>
      </c>
      <c r="P261" s="104" t="str">
        <f>IF(E261="NA","NA",E261&amp;COUNTIF($E$4:E261,E261))</f>
        <v>E61347</v>
      </c>
      <c r="Q261" s="104" t="str">
        <f t="shared" ref="Q261:Q324" si="9">C261</f>
        <v>Staffordshire Moorlands</v>
      </c>
      <c r="R261" s="153" t="s">
        <v>1335</v>
      </c>
      <c r="S261" s="192">
        <f t="shared" ref="S261:S324" si="10">J261*F261</f>
        <v>0.106998</v>
      </c>
      <c r="T261" s="194">
        <v>0.67300000000000004</v>
      </c>
    </row>
    <row r="262" spans="1:20" x14ac:dyDescent="0.25">
      <c r="A262" s="98">
        <v>259</v>
      </c>
      <c r="B262" s="99" t="s">
        <v>624</v>
      </c>
      <c r="C262" s="100" t="s">
        <v>623</v>
      </c>
      <c r="D262" s="101" t="s">
        <v>153</v>
      </c>
      <c r="E262" s="101" t="s">
        <v>36</v>
      </c>
      <c r="F262" s="101">
        <v>0.4</v>
      </c>
      <c r="G262" s="102">
        <v>0</v>
      </c>
      <c r="H262" s="7" t="s">
        <v>830</v>
      </c>
      <c r="I262" s="7" t="s">
        <v>830</v>
      </c>
      <c r="J262" s="103">
        <v>2.76946</v>
      </c>
      <c r="K262" s="104"/>
      <c r="L262" s="104"/>
      <c r="M262" s="99" t="s">
        <v>624</v>
      </c>
      <c r="N262" s="104" t="str">
        <f>IF(K262="","",K262&amp;COUNTIF($K$4:K262,K262))</f>
        <v/>
      </c>
      <c r="O262" s="104" t="str">
        <f>IF(D262="NA","NA",D262&amp;COUNTIF($D$4:D262,D262))</f>
        <v>E19207</v>
      </c>
      <c r="P262" s="104" t="str">
        <f>IF(E262="NA","NA",E262&amp;COUNTIF($E$4:E262,E262))</f>
        <v>NA</v>
      </c>
      <c r="Q262" s="104" t="str">
        <f t="shared" si="9"/>
        <v>Stevenage</v>
      </c>
      <c r="R262" s="153" t="s">
        <v>1335</v>
      </c>
      <c r="S262" s="192">
        <f t="shared" si="10"/>
        <v>1.1077840000000001</v>
      </c>
      <c r="T262" s="194">
        <v>0.75800000000000001</v>
      </c>
    </row>
    <row r="263" spans="1:20" x14ac:dyDescent="0.25">
      <c r="A263" s="98">
        <v>260</v>
      </c>
      <c r="B263" s="99" t="s">
        <v>626</v>
      </c>
      <c r="C263" s="100" t="s">
        <v>625</v>
      </c>
      <c r="D263" s="101" t="s">
        <v>36</v>
      </c>
      <c r="E263" s="101" t="s">
        <v>113</v>
      </c>
      <c r="F263" s="101">
        <v>0.49</v>
      </c>
      <c r="G263" s="102">
        <v>0</v>
      </c>
      <c r="H263" s="7" t="s">
        <v>830</v>
      </c>
      <c r="I263" s="7" t="s">
        <v>830</v>
      </c>
      <c r="J263" s="103">
        <v>2.9293170000000002</v>
      </c>
      <c r="K263" s="104" t="s">
        <v>865</v>
      </c>
      <c r="L263" s="153" t="s">
        <v>1272</v>
      </c>
      <c r="M263" s="99" t="s">
        <v>626</v>
      </c>
      <c r="N263" s="104" t="str">
        <f>IF(K263="","",K263&amp;COUNTIF($K$4:K263,K263))</f>
        <v>Greater Manchester &amp; Cheshire Business Rates Pool9</v>
      </c>
      <c r="O263" s="104" t="str">
        <f>IF(D263="NA","NA",D263&amp;COUNTIF($D$4:D263,D263))</f>
        <v>NA</v>
      </c>
      <c r="P263" s="104" t="str">
        <f>IF(E263="NA","NA",E263&amp;COUNTIF($E$4:E263,E263))</f>
        <v>E61427</v>
      </c>
      <c r="Q263" s="104" t="str">
        <f t="shared" si="9"/>
        <v>Stockport</v>
      </c>
      <c r="R263" s="153" t="s">
        <v>1335</v>
      </c>
      <c r="S263" s="192">
        <f t="shared" si="10"/>
        <v>1.43536533</v>
      </c>
      <c r="T263" s="194">
        <v>0.68200000000000005</v>
      </c>
    </row>
    <row r="264" spans="1:20" x14ac:dyDescent="0.25">
      <c r="A264" s="98">
        <v>261</v>
      </c>
      <c r="B264" s="99" t="s">
        <v>628</v>
      </c>
      <c r="C264" s="100" t="s">
        <v>627</v>
      </c>
      <c r="D264" s="101" t="s">
        <v>36</v>
      </c>
      <c r="E264" s="101" t="s">
        <v>347</v>
      </c>
      <c r="F264" s="101">
        <v>0.49</v>
      </c>
      <c r="G264" s="102">
        <v>0</v>
      </c>
      <c r="H264" s="7" t="s">
        <v>830</v>
      </c>
      <c r="I264" s="7" t="s">
        <v>830</v>
      </c>
      <c r="J264" s="103">
        <v>1.8353029999999999</v>
      </c>
      <c r="K264" s="104"/>
      <c r="L264" s="104"/>
      <c r="M264" s="99" t="s">
        <v>628</v>
      </c>
      <c r="N264" s="104" t="str">
        <f>IF(K264="","",K264&amp;COUNTIF($K$4:K264,K264))</f>
        <v/>
      </c>
      <c r="O264" s="104" t="str">
        <f>IF(D264="NA","NA",D264&amp;COUNTIF($D$4:D264,D264))</f>
        <v>NA</v>
      </c>
      <c r="P264" s="104" t="str">
        <f>IF(E264="NA","NA",E264&amp;COUNTIF($E$4:E264,E264))</f>
        <v>E61074</v>
      </c>
      <c r="Q264" s="104" t="str">
        <f t="shared" si="9"/>
        <v>Stockton-on-Tees</v>
      </c>
      <c r="R264" s="153" t="s">
        <v>1335</v>
      </c>
      <c r="S264" s="192">
        <f t="shared" si="10"/>
        <v>0.89929846999999996</v>
      </c>
      <c r="T264" s="194">
        <v>0.69</v>
      </c>
    </row>
    <row r="265" spans="1:20" x14ac:dyDescent="0.25">
      <c r="A265" s="98">
        <v>262</v>
      </c>
      <c r="B265" s="99" t="s">
        <v>630</v>
      </c>
      <c r="C265" s="100" t="s">
        <v>629</v>
      </c>
      <c r="D265" s="101" t="s">
        <v>36</v>
      </c>
      <c r="E265" s="101" t="s">
        <v>172</v>
      </c>
      <c r="F265" s="101">
        <v>0.49</v>
      </c>
      <c r="G265" s="102">
        <v>0</v>
      </c>
      <c r="H265" s="7" t="s">
        <v>830</v>
      </c>
      <c r="I265" s="7" t="s">
        <v>830</v>
      </c>
      <c r="J265" s="103">
        <v>6</v>
      </c>
      <c r="K265" s="104" t="s">
        <v>454</v>
      </c>
      <c r="L265" s="104"/>
      <c r="M265" s="99" t="s">
        <v>630</v>
      </c>
      <c r="N265" s="104" t="str">
        <f>IF(K265="","",K265&amp;COUNTIF($K$4:K265,K265))</f>
        <v>Staffordshire &amp; Stoke on Trent Business Rates Pool5</v>
      </c>
      <c r="O265" s="104" t="str">
        <f>IF(D265="NA","NA",D265&amp;COUNTIF($D$4:D265,D265))</f>
        <v>NA</v>
      </c>
      <c r="P265" s="104" t="str">
        <f>IF(E265="NA","NA",E265&amp;COUNTIF($E$4:E265,E265))</f>
        <v>E61348</v>
      </c>
      <c r="Q265" s="104" t="str">
        <f t="shared" si="9"/>
        <v>Stoke-on-Trent</v>
      </c>
      <c r="R265" s="153" t="s">
        <v>1335</v>
      </c>
      <c r="S265" s="192">
        <f t="shared" si="10"/>
        <v>2.94</v>
      </c>
      <c r="T265" s="194">
        <v>0.68300000000000005</v>
      </c>
    </row>
    <row r="266" spans="1:20" x14ac:dyDescent="0.25">
      <c r="A266" s="98">
        <v>263</v>
      </c>
      <c r="B266" s="99" t="s">
        <v>632</v>
      </c>
      <c r="C266" s="100" t="s">
        <v>631</v>
      </c>
      <c r="D266" s="101" t="s">
        <v>479</v>
      </c>
      <c r="E266" s="101" t="s">
        <v>36</v>
      </c>
      <c r="F266" s="101">
        <v>0.4</v>
      </c>
      <c r="G266" s="102">
        <v>0</v>
      </c>
      <c r="H266" s="7" t="s">
        <v>830</v>
      </c>
      <c r="I266" s="7" t="s">
        <v>830</v>
      </c>
      <c r="J266" s="103">
        <v>2.053998</v>
      </c>
      <c r="K266" s="104" t="s">
        <v>223</v>
      </c>
      <c r="L266" s="104"/>
      <c r="M266" s="99" t="s">
        <v>632</v>
      </c>
      <c r="N266" s="104" t="str">
        <f>IF(K266="","",K266&amp;COUNTIF($K$4:K266,K266))</f>
        <v>Coventry &amp; Warwickshire Business Rates Pool5</v>
      </c>
      <c r="O266" s="104" t="str">
        <f>IF(D266="NA","NA",D266&amp;COUNTIF($D$4:D266,D266))</f>
        <v>E37204</v>
      </c>
      <c r="P266" s="104" t="str">
        <f>IF(E266="NA","NA",E266&amp;COUNTIF($E$4:E266,E266))</f>
        <v>NA</v>
      </c>
      <c r="Q266" s="104" t="str">
        <f t="shared" si="9"/>
        <v>Stratford-on-Avon</v>
      </c>
      <c r="R266" s="153" t="s">
        <v>1335</v>
      </c>
      <c r="S266" s="192">
        <f t="shared" si="10"/>
        <v>0.82159920000000008</v>
      </c>
      <c r="T266" s="194">
        <v>0.70099999999999996</v>
      </c>
    </row>
    <row r="267" spans="1:20" x14ac:dyDescent="0.25">
      <c r="A267" s="98">
        <v>264</v>
      </c>
      <c r="B267" s="99" t="s">
        <v>634</v>
      </c>
      <c r="C267" s="100" t="s">
        <v>633</v>
      </c>
      <c r="D267" s="107" t="s">
        <v>187</v>
      </c>
      <c r="E267" s="107" t="s">
        <v>36</v>
      </c>
      <c r="F267" s="101">
        <v>0.4</v>
      </c>
      <c r="G267" s="102">
        <v>0</v>
      </c>
      <c r="H267" s="7" t="s">
        <v>830</v>
      </c>
      <c r="I267" s="7" t="s">
        <v>830</v>
      </c>
      <c r="J267" s="103">
        <v>0.47533199999999998</v>
      </c>
      <c r="K267" s="104" t="s">
        <v>188</v>
      </c>
      <c r="L267" s="104"/>
      <c r="M267" s="99" t="s">
        <v>634</v>
      </c>
      <c r="N267" s="104" t="str">
        <f>IF(K267="","",K267&amp;COUNTIF($K$4:K267,K267))</f>
        <v>Gloucestershire Business Rates Pool5</v>
      </c>
      <c r="O267" s="104" t="str">
        <f>IF(D267="NA","NA",D267&amp;COUNTIF($D$4:D267,D267))</f>
        <v>E16205</v>
      </c>
      <c r="P267" s="104" t="str">
        <f>IF(E267="NA","NA",E267&amp;COUNTIF($E$4:E267,E267))</f>
        <v>NA</v>
      </c>
      <c r="Q267" s="104" t="str">
        <f t="shared" si="9"/>
        <v>Stroud</v>
      </c>
      <c r="R267" s="153" t="s">
        <v>1335</v>
      </c>
      <c r="S267" s="192">
        <f t="shared" si="10"/>
        <v>0.19013279999999999</v>
      </c>
      <c r="T267" s="194">
        <v>0.68</v>
      </c>
    </row>
    <row r="268" spans="1:20" x14ac:dyDescent="0.25">
      <c r="A268" s="98">
        <v>265</v>
      </c>
      <c r="B268" s="99" t="s">
        <v>636</v>
      </c>
      <c r="C268" s="100" t="s">
        <v>635</v>
      </c>
      <c r="D268" s="101" t="s">
        <v>64</v>
      </c>
      <c r="E268" s="101" t="s">
        <v>36</v>
      </c>
      <c r="F268" s="101">
        <v>0.4</v>
      </c>
      <c r="G268" s="102">
        <v>0</v>
      </c>
      <c r="H268" s="7" t="s">
        <v>830</v>
      </c>
      <c r="I268" s="7" t="s">
        <v>830</v>
      </c>
      <c r="J268" s="103">
        <v>13.609683</v>
      </c>
      <c r="K268" s="104" t="s">
        <v>65</v>
      </c>
      <c r="L268" s="104"/>
      <c r="M268" s="99" t="s">
        <v>636</v>
      </c>
      <c r="N268" s="104" t="str">
        <f>IF(K268="","",K268&amp;COUNTIF($K$4:K268,K268))</f>
        <v>Suffolk Business Rates Pool6</v>
      </c>
      <c r="O268" s="104" t="str">
        <f>IF(D268="NA","NA",D268&amp;COUNTIF($D$4:D268,D268))</f>
        <v>E35206</v>
      </c>
      <c r="P268" s="104" t="str">
        <f>IF(E268="NA","NA",E268&amp;COUNTIF($E$4:E268,E268))</f>
        <v>NA</v>
      </c>
      <c r="Q268" s="104" t="str">
        <f t="shared" si="9"/>
        <v>Suffolk Coastal</v>
      </c>
      <c r="R268" s="153" t="s">
        <v>1335</v>
      </c>
      <c r="S268" s="192">
        <f t="shared" si="10"/>
        <v>5.4438732000000005</v>
      </c>
      <c r="T268" s="194">
        <v>0.65700000000000003</v>
      </c>
    </row>
    <row r="269" spans="1:20" x14ac:dyDescent="0.25">
      <c r="A269" s="98">
        <v>266</v>
      </c>
      <c r="B269" s="99" t="s">
        <v>638</v>
      </c>
      <c r="C269" s="100" t="s">
        <v>637</v>
      </c>
      <c r="D269" s="101" t="s">
        <v>36</v>
      </c>
      <c r="E269" s="101" t="s">
        <v>310</v>
      </c>
      <c r="F269" s="101">
        <v>0.49</v>
      </c>
      <c r="G269" s="102">
        <v>0</v>
      </c>
      <c r="H269" s="7" t="s">
        <v>830</v>
      </c>
      <c r="I269" s="7" t="s">
        <v>830</v>
      </c>
      <c r="J269" s="103">
        <v>5.9113610000000003</v>
      </c>
      <c r="K269" s="104"/>
      <c r="L269" s="104"/>
      <c r="M269" s="99" t="s">
        <v>638</v>
      </c>
      <c r="N269" s="104" t="str">
        <f>IF(K269="","",K269&amp;COUNTIF($K$4:K269,K269))</f>
        <v/>
      </c>
      <c r="O269" s="104" t="str">
        <f>IF(D269="NA","NA",D269&amp;COUNTIF($D$4:D269,D269))</f>
        <v>NA</v>
      </c>
      <c r="P269" s="104" t="str">
        <f>IF(E269="NA","NA",E269&amp;COUNTIF($E$4:E269,E269))</f>
        <v>E61455</v>
      </c>
      <c r="Q269" s="104" t="str">
        <f t="shared" si="9"/>
        <v>Sunderland</v>
      </c>
      <c r="R269" s="153" t="s">
        <v>1335</v>
      </c>
      <c r="S269" s="192">
        <f t="shared" si="10"/>
        <v>2.8965668899999999</v>
      </c>
      <c r="T269" s="194">
        <v>0.69</v>
      </c>
    </row>
    <row r="270" spans="1:20" x14ac:dyDescent="0.25">
      <c r="A270" s="98">
        <v>267</v>
      </c>
      <c r="B270" s="99" t="s">
        <v>640</v>
      </c>
      <c r="C270" s="100" t="s">
        <v>639</v>
      </c>
      <c r="D270" s="101" t="s">
        <v>287</v>
      </c>
      <c r="E270" s="101" t="s">
        <v>36</v>
      </c>
      <c r="F270" s="101">
        <v>0.4</v>
      </c>
      <c r="G270" s="102">
        <v>0</v>
      </c>
      <c r="H270" s="7" t="s">
        <v>830</v>
      </c>
      <c r="I270" s="7" t="s">
        <v>830</v>
      </c>
      <c r="J270" s="103">
        <v>1.04</v>
      </c>
      <c r="K270" s="104" t="s">
        <v>929</v>
      </c>
      <c r="L270" s="104"/>
      <c r="M270" s="99" t="s">
        <v>640</v>
      </c>
      <c r="N270" s="104" t="str">
        <f>IF(K270="","",K270&amp;COUNTIF($K$4:K270,K270))</f>
        <v>Surrey-Croydon Business Rates Pool6</v>
      </c>
      <c r="O270" s="104" t="str">
        <f>IF(D270="NA","NA",D270&amp;COUNTIF($D$4:D270,D270))</f>
        <v>E36208</v>
      </c>
      <c r="P270" s="104" t="str">
        <f>IF(E270="NA","NA",E270&amp;COUNTIF($E$4:E270,E270))</f>
        <v>NA</v>
      </c>
      <c r="Q270" s="104" t="str">
        <f t="shared" si="9"/>
        <v>Surrey Heath</v>
      </c>
      <c r="R270" s="153" t="s">
        <v>1335</v>
      </c>
      <c r="S270" s="192">
        <f t="shared" si="10"/>
        <v>0.41600000000000004</v>
      </c>
      <c r="T270" s="194">
        <v>0.749</v>
      </c>
    </row>
    <row r="271" spans="1:20" x14ac:dyDescent="0.25">
      <c r="A271" s="98">
        <v>268</v>
      </c>
      <c r="B271" s="99" t="s">
        <v>642</v>
      </c>
      <c r="C271" s="100" t="s">
        <v>641</v>
      </c>
      <c r="D271" s="101" t="s">
        <v>68</v>
      </c>
      <c r="E271" s="101" t="s">
        <v>36</v>
      </c>
      <c r="F271" s="101">
        <v>0.3</v>
      </c>
      <c r="G271" s="102">
        <v>0</v>
      </c>
      <c r="H271" s="7" t="s">
        <v>830</v>
      </c>
      <c r="I271" s="7" t="s">
        <v>830</v>
      </c>
      <c r="J271" s="103">
        <v>0.01</v>
      </c>
      <c r="K271" s="104"/>
      <c r="L271" s="104"/>
      <c r="M271" s="99" t="s">
        <v>642</v>
      </c>
      <c r="N271" s="104" t="str">
        <f>IF(K271="","",K271&amp;COUNTIF($K$4:K271,K271))</f>
        <v/>
      </c>
      <c r="O271" s="104" t="str">
        <f>IF(D271="NA","NA",D271&amp;COUNTIF($D$4:D271,D271))</f>
        <v>E510029</v>
      </c>
      <c r="P271" s="104" t="str">
        <f>IF(E271="NA","NA",E271&amp;COUNTIF($E$4:E271,E271))</f>
        <v>NA</v>
      </c>
      <c r="Q271" s="104" t="str">
        <f t="shared" si="9"/>
        <v>Sutton</v>
      </c>
      <c r="R271" s="153" t="s">
        <v>1335</v>
      </c>
      <c r="S271" s="192">
        <f t="shared" si="10"/>
        <v>3.0000000000000001E-3</v>
      </c>
      <c r="T271" s="194">
        <v>0.751</v>
      </c>
    </row>
    <row r="272" spans="1:20" x14ac:dyDescent="0.25">
      <c r="A272" s="98">
        <v>269</v>
      </c>
      <c r="B272" s="99" t="s">
        <v>644</v>
      </c>
      <c r="C272" s="100" t="s">
        <v>643</v>
      </c>
      <c r="D272" s="101" t="s">
        <v>54</v>
      </c>
      <c r="E272" s="101" t="s">
        <v>55</v>
      </c>
      <c r="F272" s="101">
        <v>0.4</v>
      </c>
      <c r="G272" s="102">
        <v>0</v>
      </c>
      <c r="H272" s="7" t="s">
        <v>830</v>
      </c>
      <c r="I272" s="7" t="s">
        <v>830</v>
      </c>
      <c r="J272" s="103">
        <v>2.0544169999999999</v>
      </c>
      <c r="K272" s="104" t="s">
        <v>56</v>
      </c>
      <c r="L272" s="104"/>
      <c r="M272" s="99" t="s">
        <v>644</v>
      </c>
      <c r="N272" s="104" t="str">
        <f>IF(K272="","",K272&amp;COUNTIF($K$4:K272,K272))</f>
        <v>Kent Business Rates Pool7</v>
      </c>
      <c r="O272" s="104" t="str">
        <f>IF(D272="NA","NA",D272&amp;COUNTIF($D$4:D272,D272))</f>
        <v>E22219</v>
      </c>
      <c r="P272" s="104" t="str">
        <f>IF(E272="NA","NA",E272&amp;COUNTIF($E$4:E272,E272))</f>
        <v>E612210</v>
      </c>
      <c r="Q272" s="104" t="str">
        <f t="shared" si="9"/>
        <v>Swale</v>
      </c>
      <c r="R272" s="153" t="s">
        <v>1335</v>
      </c>
      <c r="S272" s="192">
        <f t="shared" si="10"/>
        <v>0.82176680000000002</v>
      </c>
      <c r="T272" s="194">
        <v>0.70699999999999996</v>
      </c>
    </row>
    <row r="273" spans="1:20" x14ac:dyDescent="0.25">
      <c r="A273" s="98">
        <v>270</v>
      </c>
      <c r="B273" s="99" t="s">
        <v>646</v>
      </c>
      <c r="C273" s="100" t="s">
        <v>645</v>
      </c>
      <c r="D273" s="101" t="s">
        <v>36</v>
      </c>
      <c r="E273" s="101" t="s">
        <v>868</v>
      </c>
      <c r="F273" s="101">
        <v>0.49</v>
      </c>
      <c r="G273" s="102">
        <v>0</v>
      </c>
      <c r="H273" s="7" t="s">
        <v>830</v>
      </c>
      <c r="I273" s="7" t="s">
        <v>830</v>
      </c>
      <c r="J273" s="103">
        <v>2.5695700000000001</v>
      </c>
      <c r="K273" s="104"/>
      <c r="L273" s="104"/>
      <c r="M273" s="99" t="s">
        <v>646</v>
      </c>
      <c r="N273" s="104" t="str">
        <f>IF(K273="","",K273&amp;COUNTIF($K$4:K273,K273))</f>
        <v/>
      </c>
      <c r="O273" s="104" t="str">
        <f>IF(D273="NA","NA",D273&amp;COUNTIF($D$4:D273,D273))</f>
        <v>NA</v>
      </c>
      <c r="P273" s="104" t="str">
        <f>IF(E273="NA","NA",E273&amp;COUNTIF($E$4:E273,E273))</f>
        <v>E61627</v>
      </c>
      <c r="Q273" s="104" t="str">
        <f t="shared" si="9"/>
        <v>Swindon</v>
      </c>
      <c r="R273" s="153" t="s">
        <v>1335</v>
      </c>
      <c r="S273" s="192">
        <f t="shared" si="10"/>
        <v>1.2590893000000001</v>
      </c>
      <c r="T273" s="194">
        <v>0.73499999999999999</v>
      </c>
    </row>
    <row r="274" spans="1:20" x14ac:dyDescent="0.25">
      <c r="A274" s="98">
        <v>271</v>
      </c>
      <c r="B274" s="99" t="s">
        <v>648</v>
      </c>
      <c r="C274" s="100" t="s">
        <v>647</v>
      </c>
      <c r="D274" s="101" t="s">
        <v>36</v>
      </c>
      <c r="E274" s="101" t="s">
        <v>113</v>
      </c>
      <c r="F274" s="101">
        <v>0.49</v>
      </c>
      <c r="G274" s="102">
        <v>0</v>
      </c>
      <c r="H274" s="7" t="s">
        <v>830</v>
      </c>
      <c r="I274" s="7" t="s">
        <v>830</v>
      </c>
      <c r="J274" s="103">
        <v>2.452226</v>
      </c>
      <c r="K274" s="104" t="s">
        <v>865</v>
      </c>
      <c r="L274" s="153" t="s">
        <v>1272</v>
      </c>
      <c r="M274" s="99" t="s">
        <v>648</v>
      </c>
      <c r="N274" s="104" t="str">
        <f>IF(K274="","",K274&amp;COUNTIF($K$4:K274,K274))</f>
        <v>Greater Manchester &amp; Cheshire Business Rates Pool10</v>
      </c>
      <c r="O274" s="104" t="str">
        <f>IF(D274="NA","NA",D274&amp;COUNTIF($D$4:D274,D274))</f>
        <v>NA</v>
      </c>
      <c r="P274" s="104" t="str">
        <f>IF(E274="NA","NA",E274&amp;COUNTIF($E$4:E274,E274))</f>
        <v>E61428</v>
      </c>
      <c r="Q274" s="104" t="str">
        <f t="shared" si="9"/>
        <v>Tameside</v>
      </c>
      <c r="R274" s="153" t="s">
        <v>1335</v>
      </c>
      <c r="S274" s="192">
        <f t="shared" si="10"/>
        <v>1.2015907399999999</v>
      </c>
      <c r="T274" s="194">
        <v>0.65800000000000003</v>
      </c>
    </row>
    <row r="275" spans="1:20" x14ac:dyDescent="0.25">
      <c r="A275" s="98">
        <v>272</v>
      </c>
      <c r="B275" s="99" t="s">
        <v>650</v>
      </c>
      <c r="C275" s="100" t="s">
        <v>649</v>
      </c>
      <c r="D275" s="101" t="s">
        <v>171</v>
      </c>
      <c r="E275" s="101" t="s">
        <v>172</v>
      </c>
      <c r="F275" s="101">
        <v>0.4</v>
      </c>
      <c r="G275" s="102">
        <v>0</v>
      </c>
      <c r="H275" s="7" t="s">
        <v>830</v>
      </c>
      <c r="I275" s="7" t="s">
        <v>830</v>
      </c>
      <c r="J275" s="103">
        <v>0.70819399999999999</v>
      </c>
      <c r="K275" s="104" t="s">
        <v>859</v>
      </c>
      <c r="L275" s="104"/>
      <c r="M275" s="99" t="s">
        <v>650</v>
      </c>
      <c r="N275" s="104" t="str">
        <f>IF(K275="","",K275&amp;COUNTIF($K$4:K275,K275))</f>
        <v>Greater Birmingham &amp; Solihull Business Rates Pool8</v>
      </c>
      <c r="O275" s="104" t="str">
        <f>IF(D275="NA","NA",D275&amp;COUNTIF($D$4:D275,D275))</f>
        <v>E34218</v>
      </c>
      <c r="P275" s="104" t="str">
        <f>IF(E275="NA","NA",E275&amp;COUNTIF($E$4:E275,E275))</f>
        <v>E61349</v>
      </c>
      <c r="Q275" s="104" t="str">
        <f t="shared" si="9"/>
        <v>Tamworth</v>
      </c>
      <c r="R275" s="153" t="s">
        <v>1335</v>
      </c>
      <c r="S275" s="192">
        <f t="shared" si="10"/>
        <v>0.28327760000000002</v>
      </c>
      <c r="T275" s="194">
        <v>0.73099999999999998</v>
      </c>
    </row>
    <row r="276" spans="1:20" x14ac:dyDescent="0.25">
      <c r="A276" s="98">
        <v>273</v>
      </c>
      <c r="B276" s="99" t="s">
        <v>652</v>
      </c>
      <c r="C276" s="100" t="s">
        <v>651</v>
      </c>
      <c r="D276" s="101" t="s">
        <v>287</v>
      </c>
      <c r="E276" s="101" t="s">
        <v>36</v>
      </c>
      <c r="F276" s="101">
        <v>0.4</v>
      </c>
      <c r="G276" s="102">
        <v>0</v>
      </c>
      <c r="H276" s="7" t="s">
        <v>830</v>
      </c>
      <c r="I276" s="7" t="s">
        <v>830</v>
      </c>
      <c r="J276" s="103">
        <v>0.59</v>
      </c>
      <c r="K276" s="104"/>
      <c r="L276" s="104"/>
      <c r="M276" s="99" t="s">
        <v>652</v>
      </c>
      <c r="N276" s="104" t="str">
        <f>IF(K276="","",K276&amp;COUNTIF($K$4:K276,K276))</f>
        <v/>
      </c>
      <c r="O276" s="104" t="str">
        <f>IF(D276="NA","NA",D276&amp;COUNTIF($D$4:D276,D276))</f>
        <v>E36209</v>
      </c>
      <c r="P276" s="104" t="str">
        <f>IF(E276="NA","NA",E276&amp;COUNTIF($E$4:E276,E276))</f>
        <v>NA</v>
      </c>
      <c r="Q276" s="104" t="str">
        <f t="shared" si="9"/>
        <v>Tandridge</v>
      </c>
      <c r="R276" s="153" t="s">
        <v>1335</v>
      </c>
      <c r="S276" s="192">
        <f t="shared" si="10"/>
        <v>0.23599999999999999</v>
      </c>
      <c r="T276" s="194">
        <v>0.70799999999999996</v>
      </c>
    </row>
    <row r="277" spans="1:20" x14ac:dyDescent="0.25">
      <c r="A277" s="98">
        <v>274</v>
      </c>
      <c r="B277" s="99" t="s">
        <v>654</v>
      </c>
      <c r="C277" s="100" t="s">
        <v>653</v>
      </c>
      <c r="D277" s="101" t="s">
        <v>432</v>
      </c>
      <c r="E277" s="101" t="s">
        <v>261</v>
      </c>
      <c r="F277" s="101">
        <v>0.4</v>
      </c>
      <c r="G277" s="102">
        <v>0</v>
      </c>
      <c r="H277" s="7" t="s">
        <v>830</v>
      </c>
      <c r="I277" s="7" t="s">
        <v>830</v>
      </c>
      <c r="J277" s="103">
        <v>1.9797309999999999</v>
      </c>
      <c r="K277" s="104"/>
      <c r="L277" s="104"/>
      <c r="M277" s="99" t="s">
        <v>654</v>
      </c>
      <c r="N277" s="104" t="str">
        <f>IF(K277="","",K277&amp;COUNTIF($K$4:K277,K277))</f>
        <v/>
      </c>
      <c r="O277" s="104" t="str">
        <f>IF(D277="NA","NA",D277&amp;COUNTIF($D$4:D277,D277))</f>
        <v>E33204</v>
      </c>
      <c r="P277" s="104" t="str">
        <f>IF(E277="NA","NA",E277&amp;COUNTIF($E$4:E277,E277))</f>
        <v>E616110</v>
      </c>
      <c r="Q277" s="104" t="str">
        <f t="shared" si="9"/>
        <v>Taunton Deane</v>
      </c>
      <c r="R277" s="153" t="s">
        <v>1335</v>
      </c>
      <c r="S277" s="192">
        <f t="shared" si="10"/>
        <v>0.79189240000000005</v>
      </c>
      <c r="T277" s="194">
        <v>0.69699999999999995</v>
      </c>
    </row>
    <row r="278" spans="1:20" x14ac:dyDescent="0.25">
      <c r="A278" s="98">
        <v>275</v>
      </c>
      <c r="B278" s="99" t="s">
        <v>656</v>
      </c>
      <c r="C278" s="100" t="s">
        <v>655</v>
      </c>
      <c r="D278" s="101" t="s">
        <v>260</v>
      </c>
      <c r="E278" s="101" t="s">
        <v>261</v>
      </c>
      <c r="F278" s="101">
        <v>0.4</v>
      </c>
      <c r="G278" s="102">
        <v>0</v>
      </c>
      <c r="H278" s="7" t="s">
        <v>837</v>
      </c>
      <c r="I278" s="7" t="s">
        <v>830</v>
      </c>
      <c r="J278" s="103">
        <v>0.23532500000000001</v>
      </c>
      <c r="K278" s="104" t="s">
        <v>262</v>
      </c>
      <c r="L278" s="104"/>
      <c r="M278" s="99" t="s">
        <v>656</v>
      </c>
      <c r="N278" s="104" t="str">
        <f>IF(K278="","",K278&amp;COUNTIF($K$4:K278,K278))</f>
        <v>Devon Business Rates Pool6</v>
      </c>
      <c r="O278" s="104" t="str">
        <f>IF(D278="NA","NA",D278&amp;COUNTIF($D$4:D278,D278))</f>
        <v>E11216</v>
      </c>
      <c r="P278" s="104" t="str">
        <f>IF(E278="NA","NA",E278&amp;COUNTIF($E$4:E278,E278))</f>
        <v>E616111</v>
      </c>
      <c r="Q278" s="104" t="str">
        <f t="shared" si="9"/>
        <v>Teignbridge</v>
      </c>
      <c r="R278" s="153" t="s">
        <v>1335</v>
      </c>
      <c r="S278" s="192">
        <f t="shared" si="10"/>
        <v>9.4130000000000005E-2</v>
      </c>
      <c r="T278" s="194">
        <v>0.67200000000000004</v>
      </c>
    </row>
    <row r="279" spans="1:20" x14ac:dyDescent="0.25">
      <c r="A279" s="98">
        <v>276</v>
      </c>
      <c r="B279" s="99" t="s">
        <v>658</v>
      </c>
      <c r="C279" s="100" t="s">
        <v>657</v>
      </c>
      <c r="D279" s="101" t="s">
        <v>36</v>
      </c>
      <c r="E279" s="101" t="s">
        <v>570</v>
      </c>
      <c r="F279" s="101">
        <v>0.49</v>
      </c>
      <c r="G279" s="102">
        <v>0</v>
      </c>
      <c r="H279" s="7" t="s">
        <v>830</v>
      </c>
      <c r="I279" s="7" t="s">
        <v>830</v>
      </c>
      <c r="J279" s="103">
        <v>2.38</v>
      </c>
      <c r="K279" s="104"/>
      <c r="L279" s="104"/>
      <c r="M279" s="99" t="s">
        <v>658</v>
      </c>
      <c r="N279" s="104" t="str">
        <f>IF(K279="","",K279&amp;COUNTIF($K$4:K279,K279))</f>
        <v/>
      </c>
      <c r="O279" s="104" t="str">
        <f>IF(D279="NA","NA",D279&amp;COUNTIF($D$4:D279,D279))</f>
        <v>NA</v>
      </c>
      <c r="P279" s="104" t="str">
        <f>IF(E279="NA","NA",E279&amp;COUNTIF($E$4:E279,E279))</f>
        <v>E61322</v>
      </c>
      <c r="Q279" s="104" t="str">
        <f t="shared" si="9"/>
        <v>Telford and the Wrekin</v>
      </c>
      <c r="R279" s="153" t="s">
        <v>1335</v>
      </c>
      <c r="S279" s="192">
        <f t="shared" si="10"/>
        <v>1.1661999999999999</v>
      </c>
      <c r="T279" s="194">
        <v>0.71399999999999997</v>
      </c>
    </row>
    <row r="280" spans="1:20" x14ac:dyDescent="0.25">
      <c r="A280" s="98">
        <v>277</v>
      </c>
      <c r="B280" s="99" t="s">
        <v>660</v>
      </c>
      <c r="C280" s="100" t="s">
        <v>659</v>
      </c>
      <c r="D280" s="101" t="s">
        <v>79</v>
      </c>
      <c r="E280" s="101" t="s">
        <v>80</v>
      </c>
      <c r="F280" s="101">
        <v>0.4</v>
      </c>
      <c r="G280" s="102">
        <v>0</v>
      </c>
      <c r="H280" s="7" t="s">
        <v>830</v>
      </c>
      <c r="I280" s="7" t="s">
        <v>830</v>
      </c>
      <c r="J280" s="103">
        <v>1.105</v>
      </c>
      <c r="K280" s="104" t="s">
        <v>129</v>
      </c>
      <c r="L280" s="104"/>
      <c r="M280" s="99" t="s">
        <v>660</v>
      </c>
      <c r="N280" s="104" t="str">
        <f>IF(K280="","",K280&amp;COUNTIF($K$4:K280,K280))</f>
        <v>Essex Business Rates Pool8</v>
      </c>
      <c r="O280" s="104" t="str">
        <f>IF(D280="NA","NA",D280&amp;COUNTIF($D$4:D280,D280))</f>
        <v>E152111</v>
      </c>
      <c r="P280" s="104" t="str">
        <f>IF(E280="NA","NA",E280&amp;COUNTIF($E$4:E280,E280))</f>
        <v>E611512</v>
      </c>
      <c r="Q280" s="104" t="str">
        <f t="shared" si="9"/>
        <v>Tendring</v>
      </c>
      <c r="R280" s="153" t="s">
        <v>1335</v>
      </c>
      <c r="S280" s="192">
        <f t="shared" si="10"/>
        <v>0.442</v>
      </c>
      <c r="T280" s="194">
        <v>0.66300000000000003</v>
      </c>
    </row>
    <row r="281" spans="1:20" x14ac:dyDescent="0.25">
      <c r="A281" s="98">
        <v>278</v>
      </c>
      <c r="B281" s="99" t="s">
        <v>662</v>
      </c>
      <c r="C281" s="100" t="s">
        <v>661</v>
      </c>
      <c r="D281" s="101" t="s">
        <v>83</v>
      </c>
      <c r="E281" s="101" t="s">
        <v>84</v>
      </c>
      <c r="F281" s="101">
        <v>0.4</v>
      </c>
      <c r="G281" s="102">
        <v>0</v>
      </c>
      <c r="H281" s="7" t="s">
        <v>830</v>
      </c>
      <c r="I281" s="7" t="s">
        <v>830</v>
      </c>
      <c r="J281" s="103">
        <v>2.73529</v>
      </c>
      <c r="K281" s="104"/>
      <c r="L281" s="104"/>
      <c r="M281" s="99" t="s">
        <v>662</v>
      </c>
      <c r="N281" s="104" t="str">
        <f>IF(K281="","",K281&amp;COUNTIF($K$4:K281,K281))</f>
        <v/>
      </c>
      <c r="O281" s="104" t="str">
        <f>IF(D281="NA","NA",D281&amp;COUNTIF($D$4:D281,D281))</f>
        <v>E172110</v>
      </c>
      <c r="P281" s="104" t="str">
        <f>IF(E281="NA","NA",E281&amp;COUNTIF($E$4:E281,E281))</f>
        <v>E611712</v>
      </c>
      <c r="Q281" s="104" t="str">
        <f t="shared" si="9"/>
        <v>Test Valley</v>
      </c>
      <c r="R281" s="153" t="s">
        <v>1335</v>
      </c>
      <c r="S281" s="192">
        <f t="shared" si="10"/>
        <v>1.0941160000000001</v>
      </c>
      <c r="T281" s="194">
        <v>0.72</v>
      </c>
    </row>
    <row r="282" spans="1:20" x14ac:dyDescent="0.25">
      <c r="A282" s="98">
        <v>279</v>
      </c>
      <c r="B282" s="99" t="s">
        <v>664</v>
      </c>
      <c r="C282" s="100" t="s">
        <v>663</v>
      </c>
      <c r="D282" s="107" t="s">
        <v>187</v>
      </c>
      <c r="E282" s="107" t="s">
        <v>36</v>
      </c>
      <c r="F282" s="101">
        <v>0.4</v>
      </c>
      <c r="G282" s="102">
        <v>0</v>
      </c>
      <c r="H282" s="7" t="s">
        <v>837</v>
      </c>
      <c r="I282" s="7" t="s">
        <v>830</v>
      </c>
      <c r="J282" s="103">
        <v>2.5660660000000002</v>
      </c>
      <c r="K282" s="104"/>
      <c r="L282" s="104"/>
      <c r="M282" s="99" t="s">
        <v>664</v>
      </c>
      <c r="N282" s="104" t="str">
        <f>IF(K282="","",K282&amp;COUNTIF($K$4:K282,K282))</f>
        <v/>
      </c>
      <c r="O282" s="104" t="str">
        <f>IF(D282="NA","NA",D282&amp;COUNTIF($D$4:D282,D282))</f>
        <v>E16206</v>
      </c>
      <c r="P282" s="104" t="str">
        <f>IF(E282="NA","NA",E282&amp;COUNTIF($E$4:E282,E282))</f>
        <v>NA</v>
      </c>
      <c r="Q282" s="104" t="str">
        <f t="shared" si="9"/>
        <v>Tewkesbury</v>
      </c>
      <c r="R282" s="153" t="s">
        <v>1335</v>
      </c>
      <c r="S282" s="192">
        <f t="shared" si="10"/>
        <v>1.0264264000000001</v>
      </c>
      <c r="T282" s="194">
        <v>0.71199999999999997</v>
      </c>
    </row>
    <row r="283" spans="1:20" x14ac:dyDescent="0.25">
      <c r="A283" s="98">
        <v>280</v>
      </c>
      <c r="B283" s="99" t="s">
        <v>666</v>
      </c>
      <c r="C283" s="100" t="s">
        <v>665</v>
      </c>
      <c r="D283" s="101" t="s">
        <v>54</v>
      </c>
      <c r="E283" s="101" t="s">
        <v>55</v>
      </c>
      <c r="F283" s="101">
        <v>0.4</v>
      </c>
      <c r="G283" s="102">
        <v>0</v>
      </c>
      <c r="H283" s="7" t="s">
        <v>830</v>
      </c>
      <c r="I283" s="7" t="s">
        <v>830</v>
      </c>
      <c r="J283" s="103">
        <v>0.13441800000000001</v>
      </c>
      <c r="K283" s="104" t="s">
        <v>56</v>
      </c>
      <c r="L283" s="104"/>
      <c r="M283" s="99" t="s">
        <v>666</v>
      </c>
      <c r="N283" s="104" t="str">
        <f>IF(K283="","",K283&amp;COUNTIF($K$4:K283,K283))</f>
        <v>Kent Business Rates Pool8</v>
      </c>
      <c r="O283" s="104" t="str">
        <f>IF(D283="NA","NA",D283&amp;COUNTIF($D$4:D283,D283))</f>
        <v>E222110</v>
      </c>
      <c r="P283" s="104" t="str">
        <f>IF(E283="NA","NA",E283&amp;COUNTIF($E$4:E283,E283))</f>
        <v>E612211</v>
      </c>
      <c r="Q283" s="104" t="str">
        <f t="shared" si="9"/>
        <v>Thanet</v>
      </c>
      <c r="R283" s="153" t="s">
        <v>1335</v>
      </c>
      <c r="S283" s="192">
        <f t="shared" si="10"/>
        <v>5.3767200000000008E-2</v>
      </c>
      <c r="T283" s="194">
        <v>0.66300000000000003</v>
      </c>
    </row>
    <row r="284" spans="1:20" x14ac:dyDescent="0.25">
      <c r="A284" s="98">
        <v>281</v>
      </c>
      <c r="B284" s="99" t="s">
        <v>668</v>
      </c>
      <c r="C284" s="100" t="s">
        <v>667</v>
      </c>
      <c r="D284" s="101" t="s">
        <v>153</v>
      </c>
      <c r="E284" s="101" t="s">
        <v>36</v>
      </c>
      <c r="F284" s="101">
        <v>0.4</v>
      </c>
      <c r="G284" s="102">
        <v>0</v>
      </c>
      <c r="H284" s="7" t="s">
        <v>830</v>
      </c>
      <c r="I284" s="7" t="s">
        <v>830</v>
      </c>
      <c r="J284" s="103">
        <v>0.93186599999999997</v>
      </c>
      <c r="K284" s="104"/>
      <c r="L284" s="104"/>
      <c r="M284" s="99" t="s">
        <v>668</v>
      </c>
      <c r="N284" s="104" t="str">
        <f>IF(K284="","",K284&amp;COUNTIF($K$4:K284,K284))</f>
        <v/>
      </c>
      <c r="O284" s="104" t="str">
        <f>IF(D284="NA","NA",D284&amp;COUNTIF($D$4:D284,D284))</f>
        <v>E19208</v>
      </c>
      <c r="P284" s="104" t="str">
        <f>IF(E284="NA","NA",E284&amp;COUNTIF($E$4:E284,E284))</f>
        <v>NA</v>
      </c>
      <c r="Q284" s="104" t="str">
        <f t="shared" si="9"/>
        <v>Three Rivers</v>
      </c>
      <c r="R284" s="153" t="s">
        <v>1335</v>
      </c>
      <c r="S284" s="192">
        <f t="shared" si="10"/>
        <v>0.37274640000000003</v>
      </c>
      <c r="T284" s="194">
        <v>0.79300000000000004</v>
      </c>
    </row>
    <row r="285" spans="1:20" x14ac:dyDescent="0.25">
      <c r="A285" s="98">
        <v>282</v>
      </c>
      <c r="B285" s="99" t="s">
        <v>670</v>
      </c>
      <c r="C285" s="100" t="s">
        <v>669</v>
      </c>
      <c r="D285" s="101" t="s">
        <v>36</v>
      </c>
      <c r="E285" s="101" t="s">
        <v>80</v>
      </c>
      <c r="F285" s="101">
        <v>0.49</v>
      </c>
      <c r="G285" s="102">
        <v>0</v>
      </c>
      <c r="H285" s="7" t="s">
        <v>830</v>
      </c>
      <c r="I285" s="7" t="s">
        <v>830</v>
      </c>
      <c r="J285" s="103">
        <v>9.1759780000000006</v>
      </c>
      <c r="K285" s="104" t="s">
        <v>69</v>
      </c>
      <c r="L285" s="104"/>
      <c r="M285" s="99" t="s">
        <v>670</v>
      </c>
      <c r="N285" s="104" t="str">
        <f>IF(K285="","",K285&amp;COUNTIF($K$4:K285,K285))</f>
        <v>East London / South Essex Business Rates Pool4</v>
      </c>
      <c r="O285" s="104" t="str">
        <f>IF(D285="NA","NA",D285&amp;COUNTIF($D$4:D285,D285))</f>
        <v>NA</v>
      </c>
      <c r="P285" s="104" t="str">
        <f>IF(E285="NA","NA",E285&amp;COUNTIF($E$4:E285,E285))</f>
        <v>E611513</v>
      </c>
      <c r="Q285" s="104" t="str">
        <f t="shared" si="9"/>
        <v>Thurrock</v>
      </c>
      <c r="R285" s="153" t="s">
        <v>1335</v>
      </c>
      <c r="S285" s="192">
        <f t="shared" si="10"/>
        <v>4.49622922</v>
      </c>
      <c r="T285" s="194">
        <v>0.72899999999999998</v>
      </c>
    </row>
    <row r="286" spans="1:20" x14ac:dyDescent="0.25">
      <c r="A286" s="98">
        <v>283</v>
      </c>
      <c r="B286" s="99" t="s">
        <v>672</v>
      </c>
      <c r="C286" s="100" t="s">
        <v>671</v>
      </c>
      <c r="D286" s="101" t="s">
        <v>54</v>
      </c>
      <c r="E286" s="101" t="s">
        <v>55</v>
      </c>
      <c r="F286" s="101">
        <v>0.4</v>
      </c>
      <c r="G286" s="102">
        <v>0</v>
      </c>
      <c r="H286" s="7" t="s">
        <v>837</v>
      </c>
      <c r="I286" s="7" t="s">
        <v>830</v>
      </c>
      <c r="J286" s="103">
        <v>1.605</v>
      </c>
      <c r="K286" s="104" t="s">
        <v>56</v>
      </c>
      <c r="L286" s="104"/>
      <c r="M286" s="99" t="s">
        <v>672</v>
      </c>
      <c r="N286" s="104" t="str">
        <f>IF(K286="","",K286&amp;COUNTIF($K$4:K286,K286))</f>
        <v>Kent Business Rates Pool9</v>
      </c>
      <c r="O286" s="104" t="str">
        <f>IF(D286="NA","NA",D286&amp;COUNTIF($D$4:D286,D286))</f>
        <v>E222111</v>
      </c>
      <c r="P286" s="104" t="str">
        <f>IF(E286="NA","NA",E286&amp;COUNTIF($E$4:E286,E286))</f>
        <v>E612212</v>
      </c>
      <c r="Q286" s="104" t="str">
        <f t="shared" si="9"/>
        <v>Tonbridge and Malling</v>
      </c>
      <c r="R286" s="153" t="s">
        <v>1335</v>
      </c>
      <c r="S286" s="192">
        <f t="shared" si="10"/>
        <v>0.64200000000000002</v>
      </c>
      <c r="T286" s="194">
        <v>0.73299999999999998</v>
      </c>
    </row>
    <row r="287" spans="1:20" x14ac:dyDescent="0.25">
      <c r="A287" s="98">
        <v>284</v>
      </c>
      <c r="B287" s="99" t="s">
        <v>674</v>
      </c>
      <c r="C287" s="100" t="s">
        <v>673</v>
      </c>
      <c r="D287" s="101" t="s">
        <v>36</v>
      </c>
      <c r="E287" s="101" t="s">
        <v>261</v>
      </c>
      <c r="F287" s="101">
        <v>0.49</v>
      </c>
      <c r="G287" s="102">
        <v>0</v>
      </c>
      <c r="H287" s="7" t="s">
        <v>830</v>
      </c>
      <c r="I287" s="7" t="s">
        <v>830</v>
      </c>
      <c r="J287" s="103">
        <v>1.806403</v>
      </c>
      <c r="K287" s="104" t="s">
        <v>262</v>
      </c>
      <c r="L287" s="104"/>
      <c r="M287" s="99" t="s">
        <v>674</v>
      </c>
      <c r="N287" s="104" t="str">
        <f>IF(K287="","",K287&amp;COUNTIF($K$4:K287,K287))</f>
        <v>Devon Business Rates Pool7</v>
      </c>
      <c r="O287" s="104" t="str">
        <f>IF(D287="NA","NA",D287&amp;COUNTIF($D$4:D287,D287))</f>
        <v>NA</v>
      </c>
      <c r="P287" s="104" t="str">
        <f>IF(E287="NA","NA",E287&amp;COUNTIF($E$4:E287,E287))</f>
        <v>E616112</v>
      </c>
      <c r="Q287" s="104" t="str">
        <f t="shared" si="9"/>
        <v>Torbay</v>
      </c>
      <c r="R287" s="153" t="s">
        <v>1335</v>
      </c>
      <c r="S287" s="192">
        <f t="shared" si="10"/>
        <v>0.88513746999999998</v>
      </c>
      <c r="T287" s="194">
        <v>0.67100000000000004</v>
      </c>
    </row>
    <row r="288" spans="1:20" x14ac:dyDescent="0.25">
      <c r="A288" s="98">
        <v>285</v>
      </c>
      <c r="B288" s="99" t="s">
        <v>676</v>
      </c>
      <c r="C288" s="100" t="s">
        <v>675</v>
      </c>
      <c r="D288" s="101" t="s">
        <v>260</v>
      </c>
      <c r="E288" s="101" t="s">
        <v>261</v>
      </c>
      <c r="F288" s="101">
        <v>0.4</v>
      </c>
      <c r="G288" s="102">
        <v>0</v>
      </c>
      <c r="H288" s="7" t="s">
        <v>830</v>
      </c>
      <c r="I288" s="7" t="s">
        <v>837</v>
      </c>
      <c r="J288" s="103">
        <v>0.46599800000000002</v>
      </c>
      <c r="K288" s="104" t="s">
        <v>262</v>
      </c>
      <c r="L288" s="104"/>
      <c r="M288" s="99" t="s">
        <v>676</v>
      </c>
      <c r="N288" s="104" t="str">
        <f>IF(K288="","",K288&amp;COUNTIF($K$4:K288,K288))</f>
        <v>Devon Business Rates Pool8</v>
      </c>
      <c r="O288" s="104" t="str">
        <f>IF(D288="NA","NA",D288&amp;COUNTIF($D$4:D288,D288))</f>
        <v>E11217</v>
      </c>
      <c r="P288" s="104" t="str">
        <f>IF(E288="NA","NA",E288&amp;COUNTIF($E$4:E288,E288))</f>
        <v>E616113</v>
      </c>
      <c r="Q288" s="104" t="str">
        <f t="shared" si="9"/>
        <v>Torridge</v>
      </c>
      <c r="R288" s="153" t="s">
        <v>1335</v>
      </c>
      <c r="S288" s="192">
        <f t="shared" si="10"/>
        <v>0.18639920000000001</v>
      </c>
      <c r="T288" s="194">
        <v>0.63300000000000001</v>
      </c>
    </row>
    <row r="289" spans="1:20" x14ac:dyDescent="0.25">
      <c r="A289" s="98">
        <v>286</v>
      </c>
      <c r="B289" s="99" t="s">
        <v>678</v>
      </c>
      <c r="C289" s="100" t="s">
        <v>677</v>
      </c>
      <c r="D289" s="101" t="s">
        <v>68</v>
      </c>
      <c r="E289" s="101" t="s">
        <v>36</v>
      </c>
      <c r="F289" s="101">
        <v>0.3</v>
      </c>
      <c r="G289" s="102">
        <v>0</v>
      </c>
      <c r="H289" s="7" t="s">
        <v>830</v>
      </c>
      <c r="I289" s="7" t="s">
        <v>830</v>
      </c>
      <c r="J289" s="103">
        <v>20</v>
      </c>
      <c r="K289" s="104"/>
      <c r="L289" s="104"/>
      <c r="M289" s="99" t="s">
        <v>678</v>
      </c>
      <c r="N289" s="104" t="str">
        <f>IF(K289="","",K289&amp;COUNTIF($K$4:K289,K289))</f>
        <v/>
      </c>
      <c r="O289" s="104" t="str">
        <f>IF(D289="NA","NA",D289&amp;COUNTIF($D$4:D289,D289))</f>
        <v>E510030</v>
      </c>
      <c r="P289" s="104" t="str">
        <f>IF(E289="NA","NA",E289&amp;COUNTIF($E$4:E289,E289))</f>
        <v>NA</v>
      </c>
      <c r="Q289" s="104" t="str">
        <f t="shared" si="9"/>
        <v>Tower Hamlets</v>
      </c>
      <c r="R289" s="153" t="s">
        <v>1335</v>
      </c>
      <c r="S289" s="192">
        <f t="shared" si="10"/>
        <v>6</v>
      </c>
      <c r="T289" s="194">
        <v>0.73799999999999999</v>
      </c>
    </row>
    <row r="290" spans="1:20" x14ac:dyDescent="0.25">
      <c r="A290" s="98">
        <v>287</v>
      </c>
      <c r="B290" s="99" t="s">
        <v>680</v>
      </c>
      <c r="C290" s="100" t="s">
        <v>679</v>
      </c>
      <c r="D290" s="101" t="s">
        <v>36</v>
      </c>
      <c r="E290" s="101" t="s">
        <v>113</v>
      </c>
      <c r="F290" s="101">
        <v>0.49</v>
      </c>
      <c r="G290" s="102">
        <v>0</v>
      </c>
      <c r="H290" s="7" t="s">
        <v>830</v>
      </c>
      <c r="I290" s="7" t="s">
        <v>830</v>
      </c>
      <c r="J290" s="103">
        <v>27.412099999999999</v>
      </c>
      <c r="K290" s="104" t="s">
        <v>865</v>
      </c>
      <c r="L290" s="153" t="s">
        <v>1272</v>
      </c>
      <c r="M290" s="99" t="s">
        <v>680</v>
      </c>
      <c r="N290" s="104" t="str">
        <f>IF(K290="","",K290&amp;COUNTIF($K$4:K290,K290))</f>
        <v>Greater Manchester &amp; Cheshire Business Rates Pool11</v>
      </c>
      <c r="O290" s="104" t="str">
        <f>IF(D290="NA","NA",D290&amp;COUNTIF($D$4:D290,D290))</f>
        <v>NA</v>
      </c>
      <c r="P290" s="104" t="str">
        <f>IF(E290="NA","NA",E290&amp;COUNTIF($E$4:E290,E290))</f>
        <v>E61429</v>
      </c>
      <c r="Q290" s="104" t="str">
        <f t="shared" si="9"/>
        <v>Trafford</v>
      </c>
      <c r="R290" s="153" t="s">
        <v>1335</v>
      </c>
      <c r="S290" s="192">
        <f t="shared" si="10"/>
        <v>13.431928999999998</v>
      </c>
      <c r="T290" s="194">
        <v>0.71899999999999997</v>
      </c>
    </row>
    <row r="291" spans="1:20" x14ac:dyDescent="0.25">
      <c r="A291" s="98">
        <v>288</v>
      </c>
      <c r="B291" s="99" t="s">
        <v>682</v>
      </c>
      <c r="C291" s="100" t="s">
        <v>681</v>
      </c>
      <c r="D291" s="101" t="s">
        <v>54</v>
      </c>
      <c r="E291" s="101" t="s">
        <v>55</v>
      </c>
      <c r="F291" s="101">
        <v>0.4</v>
      </c>
      <c r="G291" s="102">
        <v>0</v>
      </c>
      <c r="H291" s="7" t="s">
        <v>830</v>
      </c>
      <c r="I291" s="7" t="s">
        <v>830</v>
      </c>
      <c r="J291" s="103">
        <v>1.195746</v>
      </c>
      <c r="K291" s="104" t="s">
        <v>56</v>
      </c>
      <c r="L291" s="104"/>
      <c r="M291" s="99" t="s">
        <v>682</v>
      </c>
      <c r="N291" s="104" t="str">
        <f>IF(K291="","",K291&amp;COUNTIF($K$4:K291,K291))</f>
        <v>Kent Business Rates Pool10</v>
      </c>
      <c r="O291" s="104" t="str">
        <f>IF(D291="NA","NA",D291&amp;COUNTIF($D$4:D291,D291))</f>
        <v>E222112</v>
      </c>
      <c r="P291" s="104" t="str">
        <f>IF(E291="NA","NA",E291&amp;COUNTIF($E$4:E291,E291))</f>
        <v>E612213</v>
      </c>
      <c r="Q291" s="104" t="str">
        <f t="shared" si="9"/>
        <v>Tunbridge Wells</v>
      </c>
      <c r="R291" s="153" t="s">
        <v>1335</v>
      </c>
      <c r="S291" s="192">
        <f t="shared" si="10"/>
        <v>0.47829840000000001</v>
      </c>
      <c r="T291" s="194">
        <v>0.73</v>
      </c>
    </row>
    <row r="292" spans="1:20" x14ac:dyDescent="0.25">
      <c r="A292" s="98">
        <v>289</v>
      </c>
      <c r="B292" s="99" t="s">
        <v>684</v>
      </c>
      <c r="C292" s="100" t="s">
        <v>683</v>
      </c>
      <c r="D292" s="101" t="s">
        <v>79</v>
      </c>
      <c r="E292" s="101" t="s">
        <v>80</v>
      </c>
      <c r="F292" s="101">
        <v>0.4</v>
      </c>
      <c r="G292" s="102">
        <v>0</v>
      </c>
      <c r="H292" s="7" t="s">
        <v>830</v>
      </c>
      <c r="I292" s="7" t="s">
        <v>830</v>
      </c>
      <c r="J292" s="103">
        <v>8.3266869999999997</v>
      </c>
      <c r="K292" s="104" t="s">
        <v>129</v>
      </c>
      <c r="L292" s="104"/>
      <c r="M292" s="99" t="s">
        <v>684</v>
      </c>
      <c r="N292" s="104" t="str">
        <f>IF(K292="","",K292&amp;COUNTIF($K$4:K292,K292))</f>
        <v>Essex Business Rates Pool9</v>
      </c>
      <c r="O292" s="104" t="str">
        <f>IF(D292="NA","NA",D292&amp;COUNTIF($D$4:D292,D292))</f>
        <v>E152112</v>
      </c>
      <c r="P292" s="104" t="str">
        <f>IF(E292="NA","NA",E292&amp;COUNTIF($E$4:E292,E292))</f>
        <v>E611514</v>
      </c>
      <c r="Q292" s="104" t="str">
        <f t="shared" si="9"/>
        <v>Uttlesford</v>
      </c>
      <c r="R292" s="153" t="s">
        <v>1335</v>
      </c>
      <c r="S292" s="192">
        <f t="shared" si="10"/>
        <v>3.3306748000000002</v>
      </c>
      <c r="T292" s="194">
        <v>0.72499999999999998</v>
      </c>
    </row>
    <row r="293" spans="1:20" x14ac:dyDescent="0.25">
      <c r="A293" s="98">
        <v>290</v>
      </c>
      <c r="B293" s="99" t="s">
        <v>686</v>
      </c>
      <c r="C293" s="100" t="s">
        <v>685</v>
      </c>
      <c r="D293" s="101" t="s">
        <v>191</v>
      </c>
      <c r="E293" s="101" t="s">
        <v>36</v>
      </c>
      <c r="F293" s="101">
        <v>0.4</v>
      </c>
      <c r="G293" s="102">
        <v>0</v>
      </c>
      <c r="H293" s="7" t="s">
        <v>830</v>
      </c>
      <c r="I293" s="7" t="s">
        <v>830</v>
      </c>
      <c r="J293" s="103">
        <v>4.7808299999999999</v>
      </c>
      <c r="K293" s="104"/>
      <c r="L293" s="104"/>
      <c r="M293" s="99" t="s">
        <v>686</v>
      </c>
      <c r="N293" s="104" t="str">
        <f>IF(K293="","",K293&amp;COUNTIF($K$4:K293,K293))</f>
        <v/>
      </c>
      <c r="O293" s="104" t="str">
        <f>IF(D293="NA","NA",D293&amp;COUNTIF($D$4:D293,D293))</f>
        <v>E31204</v>
      </c>
      <c r="P293" s="104" t="str">
        <f>IF(E293="NA","NA",E293&amp;COUNTIF($E$4:E293,E293))</f>
        <v>NA</v>
      </c>
      <c r="Q293" s="104" t="str">
        <f t="shared" si="9"/>
        <v>Vale of White Horse</v>
      </c>
      <c r="R293" s="153" t="s">
        <v>1335</v>
      </c>
      <c r="S293" s="192">
        <f t="shared" si="10"/>
        <v>1.9123320000000001</v>
      </c>
      <c r="T293" s="194">
        <v>0.71099999999999997</v>
      </c>
    </row>
    <row r="294" spans="1:20" x14ac:dyDescent="0.25">
      <c r="A294" s="98">
        <v>291</v>
      </c>
      <c r="B294" s="99" t="s">
        <v>688</v>
      </c>
      <c r="C294" s="100" t="s">
        <v>687</v>
      </c>
      <c r="D294" s="101" t="s">
        <v>36</v>
      </c>
      <c r="E294" s="101" t="s">
        <v>125</v>
      </c>
      <c r="F294" s="101">
        <v>0.49</v>
      </c>
      <c r="G294" s="102">
        <v>0</v>
      </c>
      <c r="H294" s="7" t="s">
        <v>830</v>
      </c>
      <c r="I294" s="7" t="s">
        <v>830</v>
      </c>
      <c r="J294" s="103">
        <v>3.2048709999999998</v>
      </c>
      <c r="K294" s="104" t="s">
        <v>126</v>
      </c>
      <c r="L294" s="104"/>
      <c r="M294" s="99" t="s">
        <v>688</v>
      </c>
      <c r="N294" s="104" t="str">
        <f>IF(K294="","",K294&amp;COUNTIF($K$4:K294,K294))</f>
        <v>Leeds City Region Business Rates Pool6</v>
      </c>
      <c r="O294" s="104" t="str">
        <f>IF(D294="NA","NA",D294&amp;COUNTIF($D$4:D294,D294))</f>
        <v>NA</v>
      </c>
      <c r="P294" s="104" t="str">
        <f>IF(E294="NA","NA",E294&amp;COUNTIF($E$4:E294,E294))</f>
        <v>E61475</v>
      </c>
      <c r="Q294" s="104" t="str">
        <f t="shared" si="9"/>
        <v>Wakefield</v>
      </c>
      <c r="R294" s="153" t="s">
        <v>1335</v>
      </c>
      <c r="S294" s="192">
        <f t="shared" si="10"/>
        <v>1.5703867899999999</v>
      </c>
      <c r="T294" s="194">
        <v>0.69899999999999995</v>
      </c>
    </row>
    <row r="295" spans="1:20" x14ac:dyDescent="0.25">
      <c r="A295" s="98">
        <v>292</v>
      </c>
      <c r="B295" s="99" t="s">
        <v>690</v>
      </c>
      <c r="C295" s="100" t="s">
        <v>689</v>
      </c>
      <c r="D295" s="101" t="s">
        <v>36</v>
      </c>
      <c r="E295" s="101" t="s">
        <v>98</v>
      </c>
      <c r="F295" s="101">
        <v>0.49</v>
      </c>
      <c r="G295" s="102">
        <v>0</v>
      </c>
      <c r="H295" s="7" t="s">
        <v>837</v>
      </c>
      <c r="I295" s="7" t="s">
        <v>830</v>
      </c>
      <c r="J295" s="103">
        <v>2.8124690000000001</v>
      </c>
      <c r="K295" s="104"/>
      <c r="L295" s="153" t="s">
        <v>1272</v>
      </c>
      <c r="M295" s="99" t="s">
        <v>690</v>
      </c>
      <c r="N295" s="104" t="str">
        <f>IF(K295="","",K295&amp;COUNTIF($K$4:K295,K295))</f>
        <v/>
      </c>
      <c r="O295" s="104" t="str">
        <f>IF(D295="NA","NA",D295&amp;COUNTIF($D$4:D295,D295))</f>
        <v>NA</v>
      </c>
      <c r="P295" s="104" t="str">
        <f>IF(E295="NA","NA",E295&amp;COUNTIF($E$4:E295,E295))</f>
        <v>E61466</v>
      </c>
      <c r="Q295" s="104" t="str">
        <f t="shared" si="9"/>
        <v>Walsall</v>
      </c>
      <c r="R295" s="153" t="s">
        <v>1335</v>
      </c>
      <c r="S295" s="192">
        <f t="shared" si="10"/>
        <v>1.37810981</v>
      </c>
      <c r="T295" s="194">
        <v>0.68600000000000005</v>
      </c>
    </row>
    <row r="296" spans="1:20" x14ac:dyDescent="0.25">
      <c r="A296" s="98">
        <v>293</v>
      </c>
      <c r="B296" s="99" t="s">
        <v>692</v>
      </c>
      <c r="C296" s="100" t="s">
        <v>691</v>
      </c>
      <c r="D296" s="101" t="s">
        <v>68</v>
      </c>
      <c r="E296" s="101" t="s">
        <v>36</v>
      </c>
      <c r="F296" s="101">
        <v>0.3</v>
      </c>
      <c r="G296" s="102">
        <v>0</v>
      </c>
      <c r="H296" s="7" t="s">
        <v>830</v>
      </c>
      <c r="I296" s="7" t="s">
        <v>830</v>
      </c>
      <c r="J296" s="103">
        <v>0.47281400000000001</v>
      </c>
      <c r="K296" s="104"/>
      <c r="L296" s="104"/>
      <c r="M296" s="99" t="s">
        <v>692</v>
      </c>
      <c r="N296" s="104" t="str">
        <f>IF(K296="","",K296&amp;COUNTIF($K$4:K296,K296))</f>
        <v/>
      </c>
      <c r="O296" s="104" t="str">
        <f>IF(D296="NA","NA",D296&amp;COUNTIF($D$4:D296,D296))</f>
        <v>E510031</v>
      </c>
      <c r="P296" s="104" t="str">
        <f>IF(E296="NA","NA",E296&amp;COUNTIF($E$4:E296,E296))</f>
        <v>NA</v>
      </c>
      <c r="Q296" s="104" t="str">
        <f t="shared" si="9"/>
        <v>Waltham Forest</v>
      </c>
      <c r="R296" s="153" t="s">
        <v>1335</v>
      </c>
      <c r="S296" s="192">
        <f t="shared" si="10"/>
        <v>0.1418442</v>
      </c>
      <c r="T296" s="194">
        <v>0.76900000000000002</v>
      </c>
    </row>
    <row r="297" spans="1:20" x14ac:dyDescent="0.25">
      <c r="A297" s="98">
        <v>294</v>
      </c>
      <c r="B297" s="99" t="s">
        <v>694</v>
      </c>
      <c r="C297" s="100" t="s">
        <v>693</v>
      </c>
      <c r="D297" s="101" t="s">
        <v>68</v>
      </c>
      <c r="E297" s="101" t="s">
        <v>36</v>
      </c>
      <c r="F297" s="101">
        <v>0.3</v>
      </c>
      <c r="G297" s="102">
        <v>0</v>
      </c>
      <c r="H297" s="7" t="s">
        <v>837</v>
      </c>
      <c r="I297" s="7" t="s">
        <v>830</v>
      </c>
      <c r="J297" s="103">
        <v>4.4426119999999996</v>
      </c>
      <c r="K297" s="104"/>
      <c r="L297" s="104"/>
      <c r="M297" s="99" t="s">
        <v>694</v>
      </c>
      <c r="N297" s="104" t="str">
        <f>IF(K297="","",K297&amp;COUNTIF($K$4:K297,K297))</f>
        <v/>
      </c>
      <c r="O297" s="104" t="str">
        <f>IF(D297="NA","NA",D297&amp;COUNTIF($D$4:D297,D297))</f>
        <v>E510032</v>
      </c>
      <c r="P297" s="104" t="str">
        <f>IF(E297="NA","NA",E297&amp;COUNTIF($E$4:E297,E297))</f>
        <v>NA</v>
      </c>
      <c r="Q297" s="104" t="str">
        <f t="shared" si="9"/>
        <v>Wandsworth</v>
      </c>
      <c r="R297" s="153" t="s">
        <v>1335</v>
      </c>
      <c r="S297" s="192">
        <f t="shared" si="10"/>
        <v>1.3327835999999997</v>
      </c>
      <c r="T297" s="194">
        <v>0.78300000000000003</v>
      </c>
    </row>
    <row r="298" spans="1:20" x14ac:dyDescent="0.25">
      <c r="A298" s="98">
        <v>295</v>
      </c>
      <c r="B298" s="99" t="s">
        <v>696</v>
      </c>
      <c r="C298" s="100" t="s">
        <v>695</v>
      </c>
      <c r="D298" s="101" t="s">
        <v>36</v>
      </c>
      <c r="E298" s="101" t="s">
        <v>194</v>
      </c>
      <c r="F298" s="101">
        <v>0.49</v>
      </c>
      <c r="G298" s="102">
        <v>0</v>
      </c>
      <c r="H298" s="7" t="s">
        <v>837</v>
      </c>
      <c r="I298" s="7" t="s">
        <v>830</v>
      </c>
      <c r="J298" s="103">
        <v>4.130185</v>
      </c>
      <c r="K298" s="104" t="s">
        <v>993</v>
      </c>
      <c r="L298" s="104"/>
      <c r="M298" s="99" t="s">
        <v>696</v>
      </c>
      <c r="N298" s="104" t="str">
        <f>IF(K298="","",K298&amp;COUNTIF($K$4:K298,K298))</f>
        <v>Mid Merseyside Business Rates Pool3</v>
      </c>
      <c r="O298" s="104" t="str">
        <f>IF(D298="NA","NA",D298&amp;COUNTIF($D$4:D298,D298))</f>
        <v>NA</v>
      </c>
      <c r="P298" s="104" t="str">
        <f>IF(E298="NA","NA",E298&amp;COUNTIF($E$4:E298,E298))</f>
        <v>E61064</v>
      </c>
      <c r="Q298" s="104" t="str">
        <f t="shared" si="9"/>
        <v>Warrington</v>
      </c>
      <c r="R298" s="153" t="s">
        <v>1335</v>
      </c>
      <c r="S298" s="192">
        <f t="shared" si="10"/>
        <v>2.02379065</v>
      </c>
      <c r="T298" s="194">
        <v>0.71799999999999997</v>
      </c>
    </row>
    <row r="299" spans="1:20" x14ac:dyDescent="0.25">
      <c r="A299" s="98">
        <v>296</v>
      </c>
      <c r="B299" s="99" t="s">
        <v>698</v>
      </c>
      <c r="C299" s="100" t="s">
        <v>697</v>
      </c>
      <c r="D299" s="101" t="s">
        <v>479</v>
      </c>
      <c r="E299" s="101" t="s">
        <v>36</v>
      </c>
      <c r="F299" s="101">
        <v>0.4</v>
      </c>
      <c r="G299" s="102">
        <v>0</v>
      </c>
      <c r="H299" s="7" t="s">
        <v>830</v>
      </c>
      <c r="I299" s="7" t="s">
        <v>830</v>
      </c>
      <c r="J299" s="103">
        <v>4.6242830000000001</v>
      </c>
      <c r="K299" s="104" t="s">
        <v>223</v>
      </c>
      <c r="L299" s="104"/>
      <c r="M299" s="99" t="s">
        <v>698</v>
      </c>
      <c r="N299" s="104" t="str">
        <f>IF(K299="","",K299&amp;COUNTIF($K$4:K299,K299))</f>
        <v>Coventry &amp; Warwickshire Business Rates Pool6</v>
      </c>
      <c r="O299" s="104" t="str">
        <f>IF(D299="NA","NA",D299&amp;COUNTIF($D$4:D299,D299))</f>
        <v>E37205</v>
      </c>
      <c r="P299" s="104" t="str">
        <f>IF(E299="NA","NA",E299&amp;COUNTIF($E$4:E299,E299))</f>
        <v>NA</v>
      </c>
      <c r="Q299" s="104" t="str">
        <f t="shared" si="9"/>
        <v>Warwick</v>
      </c>
      <c r="R299" s="153" t="s">
        <v>1335</v>
      </c>
      <c r="S299" s="192">
        <f t="shared" si="10"/>
        <v>1.8497132000000001</v>
      </c>
      <c r="T299" s="194">
        <v>0.72299999999999998</v>
      </c>
    </row>
    <row r="300" spans="1:20" x14ac:dyDescent="0.25">
      <c r="A300" s="98">
        <v>297</v>
      </c>
      <c r="B300" s="99" t="s">
        <v>700</v>
      </c>
      <c r="C300" s="100" t="s">
        <v>699</v>
      </c>
      <c r="D300" s="101" t="s">
        <v>153</v>
      </c>
      <c r="E300" s="101" t="s">
        <v>36</v>
      </c>
      <c r="F300" s="101">
        <v>0.4</v>
      </c>
      <c r="G300" s="102">
        <v>0</v>
      </c>
      <c r="H300" s="7" t="s">
        <v>830</v>
      </c>
      <c r="I300" s="7" t="s">
        <v>830</v>
      </c>
      <c r="J300" s="103">
        <v>4.4338980000000001</v>
      </c>
      <c r="K300" s="104"/>
      <c r="L300" s="104"/>
      <c r="M300" s="99" t="s">
        <v>700</v>
      </c>
      <c r="N300" s="104" t="str">
        <f>IF(K300="","",K300&amp;COUNTIF($K$4:K300,K300))</f>
        <v/>
      </c>
      <c r="O300" s="104" t="str">
        <f>IF(D300="NA","NA",D300&amp;COUNTIF($D$4:D300,D300))</f>
        <v>E19209</v>
      </c>
      <c r="P300" s="104" t="str">
        <f>IF(E300="NA","NA",E300&amp;COUNTIF($E$4:E300,E300))</f>
        <v>NA</v>
      </c>
      <c r="Q300" s="104" t="str">
        <f t="shared" si="9"/>
        <v>Watford</v>
      </c>
      <c r="R300" s="153" t="s">
        <v>1335</v>
      </c>
      <c r="S300" s="192">
        <f t="shared" si="10"/>
        <v>1.7735592000000002</v>
      </c>
      <c r="T300" s="194">
        <v>0.755</v>
      </c>
    </row>
    <row r="301" spans="1:20" x14ac:dyDescent="0.25">
      <c r="A301" s="98">
        <v>298</v>
      </c>
      <c r="B301" s="99" t="s">
        <v>702</v>
      </c>
      <c r="C301" s="100" t="s">
        <v>701</v>
      </c>
      <c r="D301" s="101" t="s">
        <v>64</v>
      </c>
      <c r="E301" s="101" t="s">
        <v>36</v>
      </c>
      <c r="F301" s="101">
        <v>0.4</v>
      </c>
      <c r="G301" s="102">
        <v>0</v>
      </c>
      <c r="H301" s="7" t="s">
        <v>830</v>
      </c>
      <c r="I301" s="7" t="s">
        <v>830</v>
      </c>
      <c r="J301" s="103">
        <v>1.1212960000000001</v>
      </c>
      <c r="K301" s="104" t="s">
        <v>65</v>
      </c>
      <c r="L301" s="104"/>
      <c r="M301" s="99" t="s">
        <v>702</v>
      </c>
      <c r="N301" s="104" t="str">
        <f>IF(K301="","",K301&amp;COUNTIF($K$4:K301,K301))</f>
        <v>Suffolk Business Rates Pool7</v>
      </c>
      <c r="O301" s="104" t="str">
        <f>IF(D301="NA","NA",D301&amp;COUNTIF($D$4:D301,D301))</f>
        <v>E35207</v>
      </c>
      <c r="P301" s="104" t="str">
        <f>IF(E301="NA","NA",E301&amp;COUNTIF($E$4:E301,E301))</f>
        <v>NA</v>
      </c>
      <c r="Q301" s="104" t="str">
        <f t="shared" si="9"/>
        <v>Waveney</v>
      </c>
      <c r="R301" s="153" t="s">
        <v>1335</v>
      </c>
      <c r="S301" s="192">
        <f t="shared" si="10"/>
        <v>0.44851840000000004</v>
      </c>
      <c r="T301" s="194">
        <v>0.64600000000000002</v>
      </c>
    </row>
    <row r="302" spans="1:20" x14ac:dyDescent="0.25">
      <c r="A302" s="98">
        <v>299</v>
      </c>
      <c r="B302" s="99" t="s">
        <v>704</v>
      </c>
      <c r="C302" s="100" t="s">
        <v>703</v>
      </c>
      <c r="D302" s="101" t="s">
        <v>287</v>
      </c>
      <c r="E302" s="101" t="s">
        <v>36</v>
      </c>
      <c r="F302" s="101">
        <v>0.4</v>
      </c>
      <c r="G302" s="102">
        <v>0</v>
      </c>
      <c r="H302" s="7" t="s">
        <v>830</v>
      </c>
      <c r="I302" s="7" t="s">
        <v>830</v>
      </c>
      <c r="J302" s="103">
        <v>0.53837999999999997</v>
      </c>
      <c r="K302" s="104"/>
      <c r="L302" s="104"/>
      <c r="M302" s="99" t="s">
        <v>704</v>
      </c>
      <c r="N302" s="104" t="str">
        <f>IF(K302="","",K302&amp;COUNTIF($K$4:K302,K302))</f>
        <v/>
      </c>
      <c r="O302" s="104" t="str">
        <f>IF(D302="NA","NA",D302&amp;COUNTIF($D$4:D302,D302))</f>
        <v>E362010</v>
      </c>
      <c r="P302" s="104" t="str">
        <f>IF(E302="NA","NA",E302&amp;COUNTIF($E$4:E302,E302))</f>
        <v>NA</v>
      </c>
      <c r="Q302" s="104" t="str">
        <f t="shared" si="9"/>
        <v>Waverley</v>
      </c>
      <c r="R302" s="153" t="s">
        <v>1335</v>
      </c>
      <c r="S302" s="192">
        <f t="shared" si="10"/>
        <v>0.21535199999999999</v>
      </c>
      <c r="T302" s="194">
        <v>0.748</v>
      </c>
    </row>
    <row r="303" spans="1:20" x14ac:dyDescent="0.25">
      <c r="A303" s="98">
        <v>300</v>
      </c>
      <c r="B303" s="99" t="s">
        <v>706</v>
      </c>
      <c r="C303" s="100" t="s">
        <v>705</v>
      </c>
      <c r="D303" s="101" t="s">
        <v>280</v>
      </c>
      <c r="E303" s="101" t="s">
        <v>140</v>
      </c>
      <c r="F303" s="101">
        <v>0.4</v>
      </c>
      <c r="G303" s="102">
        <v>0</v>
      </c>
      <c r="H303" s="7" t="s">
        <v>830</v>
      </c>
      <c r="I303" s="7" t="s">
        <v>830</v>
      </c>
      <c r="J303" s="103">
        <v>0.62292800000000004</v>
      </c>
      <c r="K303" s="104"/>
      <c r="L303" s="104"/>
      <c r="M303" s="99" t="s">
        <v>706</v>
      </c>
      <c r="N303" s="104" t="str">
        <f>IF(K303="","",K303&amp;COUNTIF($K$4:K303,K303))</f>
        <v/>
      </c>
      <c r="O303" s="104" t="str">
        <f>IF(D303="NA","NA",D303&amp;COUNTIF($D$4:D303,D303))</f>
        <v>E14215</v>
      </c>
      <c r="P303" s="104" t="str">
        <f>IF(E303="NA","NA",E303&amp;COUNTIF($E$4:E303,E303))</f>
        <v>E61146</v>
      </c>
      <c r="Q303" s="104" t="str">
        <f t="shared" si="9"/>
        <v>Wealden</v>
      </c>
      <c r="R303" s="153" t="s">
        <v>1335</v>
      </c>
      <c r="S303" s="192">
        <f t="shared" si="10"/>
        <v>0.24917120000000004</v>
      </c>
      <c r="T303" s="194">
        <v>0.69399999999999995</v>
      </c>
    </row>
    <row r="304" spans="1:20" x14ac:dyDescent="0.25">
      <c r="A304" s="98">
        <v>301</v>
      </c>
      <c r="B304" s="99" t="s">
        <v>708</v>
      </c>
      <c r="C304" s="100" t="s">
        <v>707</v>
      </c>
      <c r="D304" s="101" t="s">
        <v>215</v>
      </c>
      <c r="E304" s="101" t="s">
        <v>36</v>
      </c>
      <c r="F304" s="101">
        <v>0.4</v>
      </c>
      <c r="G304" s="102">
        <v>0</v>
      </c>
      <c r="H304" s="7" t="s">
        <v>830</v>
      </c>
      <c r="I304" s="7" t="s">
        <v>837</v>
      </c>
      <c r="J304" s="103">
        <v>0.19925817999999998</v>
      </c>
      <c r="K304" s="104" t="s">
        <v>216</v>
      </c>
      <c r="L304" s="104"/>
      <c r="M304" s="99" t="s">
        <v>708</v>
      </c>
      <c r="N304" s="104" t="str">
        <f>IF(K304="","",K304&amp;COUNTIF($K$4:K304,K304))</f>
        <v>Northamptonshire Business Rates Pool6</v>
      </c>
      <c r="O304" s="104" t="str">
        <f>IF(D304="NA","NA",D304&amp;COUNTIF($D$4:D304,D304))</f>
        <v>E28207</v>
      </c>
      <c r="P304" s="104" t="str">
        <f>IF(E304="NA","NA",E304&amp;COUNTIF($E$4:E304,E304))</f>
        <v>NA</v>
      </c>
      <c r="Q304" s="104" t="str">
        <f t="shared" si="9"/>
        <v>Wellingborough</v>
      </c>
      <c r="R304" s="153" t="s">
        <v>1335</v>
      </c>
      <c r="S304" s="192">
        <f t="shared" si="10"/>
        <v>7.9703271999999992E-2</v>
      </c>
      <c r="T304" s="194">
        <v>0.69699999999999995</v>
      </c>
    </row>
    <row r="305" spans="1:20" x14ac:dyDescent="0.25">
      <c r="A305" s="98">
        <v>302</v>
      </c>
      <c r="B305" s="99" t="s">
        <v>710</v>
      </c>
      <c r="C305" s="100" t="s">
        <v>709</v>
      </c>
      <c r="D305" s="101" t="s">
        <v>153</v>
      </c>
      <c r="E305" s="101" t="s">
        <v>36</v>
      </c>
      <c r="F305" s="101">
        <v>0.4</v>
      </c>
      <c r="G305" s="102">
        <v>0</v>
      </c>
      <c r="H305" s="7" t="s">
        <v>830</v>
      </c>
      <c r="I305" s="7" t="s">
        <v>830</v>
      </c>
      <c r="J305" s="103">
        <v>1.0392592</v>
      </c>
      <c r="K305" s="104"/>
      <c r="L305" s="104"/>
      <c r="M305" s="99" t="s">
        <v>710</v>
      </c>
      <c r="N305" s="104" t="str">
        <f>IF(K305="","",K305&amp;COUNTIF($K$4:K305,K305))</f>
        <v/>
      </c>
      <c r="O305" s="104" t="str">
        <f>IF(D305="NA","NA",D305&amp;COUNTIF($D$4:D305,D305))</f>
        <v>E192010</v>
      </c>
      <c r="P305" s="104" t="str">
        <f>IF(E305="NA","NA",E305&amp;COUNTIF($E$4:E305,E305))</f>
        <v>NA</v>
      </c>
      <c r="Q305" s="104" t="str">
        <f t="shared" si="9"/>
        <v>Welwyn Hatfield</v>
      </c>
      <c r="R305" s="153" t="s">
        <v>1335</v>
      </c>
      <c r="S305" s="192">
        <f t="shared" si="10"/>
        <v>0.41570368000000002</v>
      </c>
      <c r="T305" s="194">
        <v>0.752</v>
      </c>
    </row>
    <row r="306" spans="1:20" x14ac:dyDescent="0.25">
      <c r="A306" s="98">
        <v>303</v>
      </c>
      <c r="B306" s="99" t="s">
        <v>712</v>
      </c>
      <c r="C306" s="100" t="s">
        <v>711</v>
      </c>
      <c r="D306" s="101" t="s">
        <v>36</v>
      </c>
      <c r="E306" s="101" t="s">
        <v>122</v>
      </c>
      <c r="F306" s="101">
        <v>0.49</v>
      </c>
      <c r="G306" s="102">
        <v>0</v>
      </c>
      <c r="H306" s="7" t="s">
        <v>830</v>
      </c>
      <c r="I306" s="7" t="s">
        <v>830</v>
      </c>
      <c r="J306" s="103">
        <v>0.39</v>
      </c>
      <c r="K306" s="104"/>
      <c r="L306" s="104"/>
      <c r="M306" s="99" t="s">
        <v>712</v>
      </c>
      <c r="N306" s="104" t="str">
        <f>IF(K306="","",K306&amp;COUNTIF($K$4:K306,K306))</f>
        <v/>
      </c>
      <c r="O306" s="104" t="str">
        <f>IF(D306="NA","NA",D306&amp;COUNTIF($D$4:D306,D306))</f>
        <v>NA</v>
      </c>
      <c r="P306" s="104" t="str">
        <f>IF(E306="NA","NA",E306&amp;COUNTIF($E$4:E306,E306))</f>
        <v>E61034</v>
      </c>
      <c r="Q306" s="104" t="str">
        <f t="shared" si="9"/>
        <v>West Berkshire</v>
      </c>
      <c r="R306" s="153" t="s">
        <v>1335</v>
      </c>
      <c r="S306" s="192">
        <f t="shared" si="10"/>
        <v>0.19109999999999999</v>
      </c>
      <c r="T306" s="194">
        <v>0.751</v>
      </c>
    </row>
    <row r="307" spans="1:20" x14ac:dyDescent="0.25">
      <c r="A307" s="98">
        <v>304</v>
      </c>
      <c r="B307" s="99" t="s">
        <v>714</v>
      </c>
      <c r="C307" s="100" t="s">
        <v>713</v>
      </c>
      <c r="D307" s="101" t="s">
        <v>260</v>
      </c>
      <c r="E307" s="101" t="s">
        <v>261</v>
      </c>
      <c r="F307" s="101">
        <v>0.4</v>
      </c>
      <c r="G307" s="102">
        <v>0</v>
      </c>
      <c r="H307" s="7" t="s">
        <v>830</v>
      </c>
      <c r="I307" s="7" t="s">
        <v>830</v>
      </c>
      <c r="J307" s="103">
        <v>0.27890500000000001</v>
      </c>
      <c r="K307" s="104" t="s">
        <v>262</v>
      </c>
      <c r="L307" s="104"/>
      <c r="M307" s="99" t="s">
        <v>714</v>
      </c>
      <c r="N307" s="104" t="str">
        <f>IF(K307="","",K307&amp;COUNTIF($K$4:K307,K307))</f>
        <v>Devon Business Rates Pool9</v>
      </c>
      <c r="O307" s="104" t="str">
        <f>IF(D307="NA","NA",D307&amp;COUNTIF($D$4:D307,D307))</f>
        <v>E11218</v>
      </c>
      <c r="P307" s="104" t="str">
        <f>IF(E307="NA","NA",E307&amp;COUNTIF($E$4:E307,E307))</f>
        <v>E616114</v>
      </c>
      <c r="Q307" s="104" t="str">
        <f t="shared" si="9"/>
        <v>West Devon</v>
      </c>
      <c r="R307" s="153" t="s">
        <v>1335</v>
      </c>
      <c r="S307" s="192">
        <f t="shared" si="10"/>
        <v>0.11156200000000001</v>
      </c>
      <c r="T307" s="194">
        <v>0.67900000000000005</v>
      </c>
    </row>
    <row r="308" spans="1:20" x14ac:dyDescent="0.25">
      <c r="A308" s="98">
        <v>305</v>
      </c>
      <c r="B308" s="99" t="s">
        <v>716</v>
      </c>
      <c r="C308" s="100" t="s">
        <v>715</v>
      </c>
      <c r="D308" s="101" t="s">
        <v>206</v>
      </c>
      <c r="E308" s="101" t="s">
        <v>868</v>
      </c>
      <c r="F308" s="101">
        <v>0.4</v>
      </c>
      <c r="G308" s="102">
        <v>0</v>
      </c>
      <c r="H308" s="7" t="s">
        <v>830</v>
      </c>
      <c r="I308" s="7" t="s">
        <v>830</v>
      </c>
      <c r="J308" s="103">
        <v>1.1564399999999999</v>
      </c>
      <c r="K308" s="104"/>
      <c r="L308" s="104"/>
      <c r="M308" s="99" t="s">
        <v>716</v>
      </c>
      <c r="N308" s="104" t="str">
        <f>IF(K308="","",K308&amp;COUNTIF($K$4:K308,K308))</f>
        <v/>
      </c>
      <c r="O308" s="104" t="str">
        <f>IF(D308="NA","NA",D308&amp;COUNTIF($D$4:D308,D308))</f>
        <v>E12215</v>
      </c>
      <c r="P308" s="104" t="str">
        <f>IF(E308="NA","NA",E308&amp;COUNTIF($E$4:E308,E308))</f>
        <v>E61628</v>
      </c>
      <c r="Q308" s="104" t="str">
        <f t="shared" si="9"/>
        <v>West Dorset</v>
      </c>
      <c r="R308" s="153" t="s">
        <v>1335</v>
      </c>
      <c r="S308" s="192">
        <f t="shared" si="10"/>
        <v>0.46257599999999999</v>
      </c>
      <c r="T308" s="194">
        <v>0.68899999999999995</v>
      </c>
    </row>
    <row r="309" spans="1:20" x14ac:dyDescent="0.25">
      <c r="A309" s="98">
        <v>306</v>
      </c>
      <c r="B309" s="99" t="s">
        <v>718</v>
      </c>
      <c r="C309" s="100" t="s">
        <v>717</v>
      </c>
      <c r="D309" s="101" t="s">
        <v>158</v>
      </c>
      <c r="E309" s="101" t="s">
        <v>106</v>
      </c>
      <c r="F309" s="101">
        <v>0.4</v>
      </c>
      <c r="G309" s="102">
        <v>0</v>
      </c>
      <c r="H309" s="7" t="s">
        <v>830</v>
      </c>
      <c r="I309" s="7" t="s">
        <v>830</v>
      </c>
      <c r="J309" s="103">
        <v>1.589839</v>
      </c>
      <c r="K309" s="104" t="s">
        <v>914</v>
      </c>
      <c r="L309" s="104"/>
      <c r="M309" s="99" t="s">
        <v>718</v>
      </c>
      <c r="N309" s="104" t="str">
        <f>IF(K309="","",K309&amp;COUNTIF($K$4:K309,K309))</f>
        <v>Lancashire Business Rates Pool8</v>
      </c>
      <c r="O309" s="104" t="str">
        <f>IF(D309="NA","NA",D309&amp;COUNTIF($D$4:D309,D309))</f>
        <v>E232111</v>
      </c>
      <c r="P309" s="104" t="str">
        <f>IF(E309="NA","NA",E309&amp;COUNTIF($E$4:E309,E309))</f>
        <v>E612313</v>
      </c>
      <c r="Q309" s="104" t="str">
        <f t="shared" si="9"/>
        <v>West Lancashire</v>
      </c>
      <c r="R309" s="153" t="s">
        <v>1335</v>
      </c>
      <c r="S309" s="192">
        <f t="shared" si="10"/>
        <v>0.63593560000000005</v>
      </c>
      <c r="T309" s="194">
        <v>0.70099999999999996</v>
      </c>
    </row>
    <row r="310" spans="1:20" x14ac:dyDescent="0.25">
      <c r="A310" s="98">
        <v>307</v>
      </c>
      <c r="B310" s="99" t="s">
        <v>720</v>
      </c>
      <c r="C310" s="100" t="s">
        <v>719</v>
      </c>
      <c r="D310" s="101" t="s">
        <v>116</v>
      </c>
      <c r="E310" s="101" t="s">
        <v>36</v>
      </c>
      <c r="F310" s="101">
        <v>0.4</v>
      </c>
      <c r="G310" s="102">
        <v>0</v>
      </c>
      <c r="H310" s="7" t="s">
        <v>830</v>
      </c>
      <c r="I310" s="7" t="s">
        <v>830</v>
      </c>
      <c r="J310" s="103">
        <v>0.37384299999999998</v>
      </c>
      <c r="K310" s="104" t="s">
        <v>117</v>
      </c>
      <c r="L310" s="104"/>
      <c r="M310" s="99" t="s">
        <v>720</v>
      </c>
      <c r="N310" s="104" t="str">
        <f>IF(K310="","",K310&amp;COUNTIF($K$4:K310,K310))</f>
        <v>Lincolnshire Business Rates Pool6</v>
      </c>
      <c r="O310" s="104" t="str">
        <f>IF(D310="NA","NA",D310&amp;COUNTIF($D$4:D310,D310))</f>
        <v>E25207</v>
      </c>
      <c r="P310" s="104" t="str">
        <f>IF(E310="NA","NA",E310&amp;COUNTIF($E$4:E310,E310))</f>
        <v>NA</v>
      </c>
      <c r="Q310" s="104" t="str">
        <f t="shared" si="9"/>
        <v>West Lindsey</v>
      </c>
      <c r="R310" s="153" t="s">
        <v>1335</v>
      </c>
      <c r="S310" s="192">
        <f t="shared" si="10"/>
        <v>0.14953720000000001</v>
      </c>
      <c r="T310" s="194">
        <v>0.66100000000000003</v>
      </c>
    </row>
    <row r="311" spans="1:20" x14ac:dyDescent="0.25">
      <c r="A311" s="98">
        <v>308</v>
      </c>
      <c r="B311" s="99" t="s">
        <v>722</v>
      </c>
      <c r="C311" s="100" t="s">
        <v>721</v>
      </c>
      <c r="D311" s="101" t="s">
        <v>191</v>
      </c>
      <c r="E311" s="101" t="s">
        <v>36</v>
      </c>
      <c r="F311" s="101">
        <v>0.4</v>
      </c>
      <c r="G311" s="102">
        <v>0</v>
      </c>
      <c r="H311" s="7" t="s">
        <v>830</v>
      </c>
      <c r="I311" s="7" t="s">
        <v>830</v>
      </c>
      <c r="J311" s="103">
        <v>1.869939</v>
      </c>
      <c r="K311" s="104" t="s">
        <v>903</v>
      </c>
      <c r="L311" s="104"/>
      <c r="M311" s="99" t="s">
        <v>722</v>
      </c>
      <c r="N311" s="104" t="str">
        <f>IF(K311="","",K311&amp;COUNTIF($K$4:K311,K311))</f>
        <v>North Oxfordshire Business Rates Pool2</v>
      </c>
      <c r="O311" s="104" t="str">
        <f>IF(D311="NA","NA",D311&amp;COUNTIF($D$4:D311,D311))</f>
        <v>E31205</v>
      </c>
      <c r="P311" s="104" t="str">
        <f>IF(E311="NA","NA",E311&amp;COUNTIF($E$4:E311,E311))</f>
        <v>NA</v>
      </c>
      <c r="Q311" s="104" t="str">
        <f t="shared" si="9"/>
        <v>West Oxfordshire</v>
      </c>
      <c r="R311" s="153" t="s">
        <v>1335</v>
      </c>
      <c r="S311" s="192">
        <f t="shared" si="10"/>
        <v>0.74797560000000007</v>
      </c>
      <c r="T311" s="194">
        <v>0.72299999999999998</v>
      </c>
    </row>
    <row r="312" spans="1:20" x14ac:dyDescent="0.25">
      <c r="A312" s="98">
        <v>309</v>
      </c>
      <c r="B312" s="99" t="s">
        <v>724</v>
      </c>
      <c r="C312" s="100" t="s">
        <v>723</v>
      </c>
      <c r="D312" s="101" t="s">
        <v>432</v>
      </c>
      <c r="E312" s="101" t="s">
        <v>261</v>
      </c>
      <c r="F312" s="101">
        <v>0.4</v>
      </c>
      <c r="G312" s="102">
        <v>0</v>
      </c>
      <c r="H312" s="7" t="s">
        <v>830</v>
      </c>
      <c r="I312" s="7" t="s">
        <v>830</v>
      </c>
      <c r="J312" s="103">
        <v>1.3854</v>
      </c>
      <c r="K312" s="104"/>
      <c r="L312" s="104"/>
      <c r="M312" s="99" t="s">
        <v>724</v>
      </c>
      <c r="N312" s="104" t="str">
        <f>IF(K312="","",K312&amp;COUNTIF($K$4:K312,K312))</f>
        <v/>
      </c>
      <c r="O312" s="104" t="str">
        <f>IF(D312="NA","NA",D312&amp;COUNTIF($D$4:D312,D312))</f>
        <v>E33205</v>
      </c>
      <c r="P312" s="104" t="str">
        <f>IF(E312="NA","NA",E312&amp;COUNTIF($E$4:E312,E312))</f>
        <v>E616115</v>
      </c>
      <c r="Q312" s="104" t="str">
        <f t="shared" si="9"/>
        <v>West Somerset</v>
      </c>
      <c r="R312" s="153" t="s">
        <v>1335</v>
      </c>
      <c r="S312" s="192">
        <f t="shared" si="10"/>
        <v>0.55415999999999999</v>
      </c>
      <c r="T312" s="194">
        <v>0.65200000000000002</v>
      </c>
    </row>
    <row r="313" spans="1:20" x14ac:dyDescent="0.25">
      <c r="A313" s="98">
        <v>310</v>
      </c>
      <c r="B313" s="99" t="s">
        <v>726</v>
      </c>
      <c r="C313" s="100" t="s">
        <v>725</v>
      </c>
      <c r="D313" s="101" t="s">
        <v>68</v>
      </c>
      <c r="E313" s="101" t="s">
        <v>36</v>
      </c>
      <c r="F313" s="101">
        <v>0.3</v>
      </c>
      <c r="G313" s="102">
        <v>0</v>
      </c>
      <c r="H313" s="7" t="s">
        <v>830</v>
      </c>
      <c r="I313" s="7" t="s">
        <v>830</v>
      </c>
      <c r="J313" s="103">
        <v>124.88949700000001</v>
      </c>
      <c r="K313" s="104"/>
      <c r="L313" s="104"/>
      <c r="M313" s="99" t="s">
        <v>726</v>
      </c>
      <c r="N313" s="104" t="str">
        <f>IF(K313="","",K313&amp;COUNTIF($K$4:K313,K313))</f>
        <v/>
      </c>
      <c r="O313" s="104" t="str">
        <f>IF(D313="NA","NA",D313&amp;COUNTIF($D$4:D313,D313))</f>
        <v>E510033</v>
      </c>
      <c r="P313" s="104" t="str">
        <f>IF(E313="NA","NA",E313&amp;COUNTIF($E$4:E313,E313))</f>
        <v>NA</v>
      </c>
      <c r="Q313" s="104" t="str">
        <f t="shared" si="9"/>
        <v>Westminster</v>
      </c>
      <c r="R313" s="153" t="s">
        <v>1335</v>
      </c>
      <c r="S313" s="192">
        <f t="shared" si="10"/>
        <v>37.466849099999997</v>
      </c>
      <c r="T313" s="194">
        <v>0.78200000000000003</v>
      </c>
    </row>
    <row r="314" spans="1:20" x14ac:dyDescent="0.25">
      <c r="A314" s="98">
        <v>311</v>
      </c>
      <c r="B314" s="99" t="s">
        <v>728</v>
      </c>
      <c r="C314" s="100" t="s">
        <v>727</v>
      </c>
      <c r="D314" s="101" t="s">
        <v>206</v>
      </c>
      <c r="E314" s="101" t="s">
        <v>868</v>
      </c>
      <c r="F314" s="101">
        <v>0.4</v>
      </c>
      <c r="G314" s="102">
        <v>0</v>
      </c>
      <c r="H314" s="7" t="s">
        <v>830</v>
      </c>
      <c r="I314" s="7" t="s">
        <v>830</v>
      </c>
      <c r="J314" s="103">
        <v>0.56217600000000001</v>
      </c>
      <c r="K314" s="104"/>
      <c r="L314" s="104"/>
      <c r="M314" s="99" t="s">
        <v>728</v>
      </c>
      <c r="N314" s="104" t="str">
        <f>IF(K314="","",K314&amp;COUNTIF($K$4:K314,K314))</f>
        <v/>
      </c>
      <c r="O314" s="104" t="str">
        <f>IF(D314="NA","NA",D314&amp;COUNTIF($D$4:D314,D314))</f>
        <v>E12216</v>
      </c>
      <c r="P314" s="104" t="str">
        <f>IF(E314="NA","NA",E314&amp;COUNTIF($E$4:E314,E314))</f>
        <v>E61629</v>
      </c>
      <c r="Q314" s="104" t="str">
        <f t="shared" si="9"/>
        <v>Weymouth and Portland</v>
      </c>
      <c r="R314" s="153" t="s">
        <v>1335</v>
      </c>
      <c r="S314" s="192">
        <f t="shared" si="10"/>
        <v>0.22487040000000003</v>
      </c>
      <c r="T314" s="194">
        <v>0.67400000000000004</v>
      </c>
    </row>
    <row r="315" spans="1:20" x14ac:dyDescent="0.25">
      <c r="A315" s="98">
        <v>312</v>
      </c>
      <c r="B315" s="99" t="s">
        <v>730</v>
      </c>
      <c r="C315" s="100" t="s">
        <v>729</v>
      </c>
      <c r="D315" s="101" t="s">
        <v>36</v>
      </c>
      <c r="E315" s="101" t="s">
        <v>113</v>
      </c>
      <c r="F315" s="101">
        <v>0.49</v>
      </c>
      <c r="G315" s="102">
        <v>0</v>
      </c>
      <c r="H315" s="7" t="s">
        <v>830</v>
      </c>
      <c r="I315" s="7" t="s">
        <v>830</v>
      </c>
      <c r="J315" s="103">
        <v>1.6723460000000001</v>
      </c>
      <c r="K315" s="104" t="s">
        <v>865</v>
      </c>
      <c r="L315" s="153" t="s">
        <v>1272</v>
      </c>
      <c r="M315" s="99" t="s">
        <v>730</v>
      </c>
      <c r="N315" s="104" t="str">
        <f>IF(K315="","",K315&amp;COUNTIF($K$4:K315,K315))</f>
        <v>Greater Manchester &amp; Cheshire Business Rates Pool12</v>
      </c>
      <c r="O315" s="104" t="str">
        <f>IF(D315="NA","NA",D315&amp;COUNTIF($D$4:D315,D315))</f>
        <v>NA</v>
      </c>
      <c r="P315" s="104" t="str">
        <f>IF(E315="NA","NA",E315&amp;COUNTIF($E$4:E315,E315))</f>
        <v>E614210</v>
      </c>
      <c r="Q315" s="104" t="str">
        <f t="shared" si="9"/>
        <v>Wigan</v>
      </c>
      <c r="R315" s="153" t="s">
        <v>1335</v>
      </c>
      <c r="S315" s="192">
        <f t="shared" si="10"/>
        <v>0.81944954000000003</v>
      </c>
      <c r="T315" s="194">
        <v>0.68</v>
      </c>
    </row>
    <row r="316" spans="1:20" x14ac:dyDescent="0.25">
      <c r="A316" s="98">
        <v>313</v>
      </c>
      <c r="B316" s="99" t="s">
        <v>732</v>
      </c>
      <c r="C316" s="100" t="s">
        <v>731</v>
      </c>
      <c r="D316" s="101" t="s">
        <v>36</v>
      </c>
      <c r="E316" s="101" t="s">
        <v>868</v>
      </c>
      <c r="F316" s="101">
        <v>0.49</v>
      </c>
      <c r="G316" s="102">
        <v>0</v>
      </c>
      <c r="H316" s="7" t="s">
        <v>830</v>
      </c>
      <c r="I316" s="7" t="s">
        <v>830</v>
      </c>
      <c r="J316" s="103">
        <v>2.0018410000000002</v>
      </c>
      <c r="K316" s="104"/>
      <c r="L316" s="104"/>
      <c r="M316" s="99" t="s">
        <v>732</v>
      </c>
      <c r="N316" s="104" t="str">
        <f>IF(K316="","",K316&amp;COUNTIF($K$4:K316,K316))</f>
        <v/>
      </c>
      <c r="O316" s="104" t="str">
        <f>IF(D316="NA","NA",D316&amp;COUNTIF($D$4:D316,D316))</f>
        <v>NA</v>
      </c>
      <c r="P316" s="104" t="str">
        <f>IF(E316="NA","NA",E316&amp;COUNTIF($E$4:E316,E316))</f>
        <v>E616210</v>
      </c>
      <c r="Q316" s="104" t="str">
        <f t="shared" si="9"/>
        <v>Wiltshire UA</v>
      </c>
      <c r="R316" s="153" t="s">
        <v>1335</v>
      </c>
      <c r="S316" s="192">
        <f t="shared" si="10"/>
        <v>0.98090209000000006</v>
      </c>
      <c r="T316" s="194">
        <v>0.70199999999999996</v>
      </c>
    </row>
    <row r="317" spans="1:20" x14ac:dyDescent="0.25">
      <c r="A317" s="98">
        <v>314</v>
      </c>
      <c r="B317" s="99" t="s">
        <v>734</v>
      </c>
      <c r="C317" s="100" t="s">
        <v>733</v>
      </c>
      <c r="D317" s="101" t="s">
        <v>83</v>
      </c>
      <c r="E317" s="101" t="s">
        <v>84</v>
      </c>
      <c r="F317" s="101">
        <v>0.4</v>
      </c>
      <c r="G317" s="102">
        <v>0</v>
      </c>
      <c r="H317" s="7" t="s">
        <v>830</v>
      </c>
      <c r="I317" s="7" t="s">
        <v>830</v>
      </c>
      <c r="J317" s="103">
        <v>0</v>
      </c>
      <c r="K317" s="104"/>
      <c r="L317" s="104"/>
      <c r="M317" s="99" t="s">
        <v>734</v>
      </c>
      <c r="N317" s="104" t="str">
        <f>IF(K317="","",K317&amp;COUNTIF($K$4:K317,K317))</f>
        <v/>
      </c>
      <c r="O317" s="104" t="str">
        <f>IF(D317="NA","NA",D317&amp;COUNTIF($D$4:D317,D317))</f>
        <v>E172111</v>
      </c>
      <c r="P317" s="104" t="str">
        <f>IF(E317="NA","NA",E317&amp;COUNTIF($E$4:E317,E317))</f>
        <v>E611713</v>
      </c>
      <c r="Q317" s="104" t="str">
        <f t="shared" si="9"/>
        <v>Winchester</v>
      </c>
      <c r="R317" s="153" t="s">
        <v>1335</v>
      </c>
      <c r="S317" s="192">
        <f t="shared" si="10"/>
        <v>0</v>
      </c>
      <c r="T317" s="194">
        <v>0.73199999999999998</v>
      </c>
    </row>
    <row r="318" spans="1:20" x14ac:dyDescent="0.25">
      <c r="A318" s="98">
        <v>315</v>
      </c>
      <c r="B318" s="99" t="s">
        <v>736</v>
      </c>
      <c r="C318" s="100" t="s">
        <v>735</v>
      </c>
      <c r="D318" s="101" t="s">
        <v>36</v>
      </c>
      <c r="E318" s="101" t="s">
        <v>122</v>
      </c>
      <c r="F318" s="101">
        <v>0.49</v>
      </c>
      <c r="G318" s="102">
        <v>0</v>
      </c>
      <c r="H318" s="7" t="s">
        <v>837</v>
      </c>
      <c r="I318" s="7" t="s">
        <v>830</v>
      </c>
      <c r="J318" s="103">
        <v>3.6723270000000001</v>
      </c>
      <c r="K318" s="104"/>
      <c r="L318" s="104"/>
      <c r="M318" s="99" t="s">
        <v>736</v>
      </c>
      <c r="N318" s="104" t="str">
        <f>IF(K318="","",K318&amp;COUNTIF($K$4:K318,K318))</f>
        <v/>
      </c>
      <c r="O318" s="104" t="str">
        <f>IF(D318="NA","NA",D318&amp;COUNTIF($D$4:D318,D318))</f>
        <v>NA</v>
      </c>
      <c r="P318" s="104" t="str">
        <f>IF(E318="NA","NA",E318&amp;COUNTIF($E$4:E318,E318))</f>
        <v>E61035</v>
      </c>
      <c r="Q318" s="104" t="str">
        <f t="shared" si="9"/>
        <v>Windsor and Maidenhead</v>
      </c>
      <c r="R318" s="153" t="s">
        <v>1335</v>
      </c>
      <c r="S318" s="192">
        <f t="shared" si="10"/>
        <v>1.7994402300000001</v>
      </c>
      <c r="T318" s="194">
        <v>0.77</v>
      </c>
    </row>
    <row r="319" spans="1:20" x14ac:dyDescent="0.25">
      <c r="A319" s="98">
        <v>316</v>
      </c>
      <c r="B319" s="99" t="s">
        <v>738</v>
      </c>
      <c r="C319" s="100" t="s">
        <v>737</v>
      </c>
      <c r="D319" s="101" t="s">
        <v>36</v>
      </c>
      <c r="E319" s="101" t="s">
        <v>394</v>
      </c>
      <c r="F319" s="101">
        <v>0.49</v>
      </c>
      <c r="G319" s="102">
        <v>0</v>
      </c>
      <c r="H319" s="7" t="s">
        <v>830</v>
      </c>
      <c r="I319" s="7" t="s">
        <v>830</v>
      </c>
      <c r="J319" s="103">
        <v>2.3638050000000002</v>
      </c>
      <c r="K319" s="104"/>
      <c r="L319" s="153" t="s">
        <v>1272</v>
      </c>
      <c r="M319" s="99" t="s">
        <v>738</v>
      </c>
      <c r="N319" s="104" t="str">
        <f>IF(K319="","",K319&amp;COUNTIF($K$4:K319,K319))</f>
        <v/>
      </c>
      <c r="O319" s="104" t="str">
        <f>IF(D319="NA","NA",D319&amp;COUNTIF($D$4:D319,D319))</f>
        <v>NA</v>
      </c>
      <c r="P319" s="104" t="str">
        <f>IF(E319="NA","NA",E319&amp;COUNTIF($E$4:E319,E319))</f>
        <v>E61435</v>
      </c>
      <c r="Q319" s="104" t="str">
        <f t="shared" si="9"/>
        <v>Wirral</v>
      </c>
      <c r="R319" s="153" t="s">
        <v>1335</v>
      </c>
      <c r="S319" s="192">
        <f t="shared" si="10"/>
        <v>1.1582644500000001</v>
      </c>
      <c r="T319" s="194">
        <v>0.68</v>
      </c>
    </row>
    <row r="320" spans="1:20" x14ac:dyDescent="0.25">
      <c r="A320" s="98">
        <v>317</v>
      </c>
      <c r="B320" s="99" t="s">
        <v>740</v>
      </c>
      <c r="C320" s="100" t="s">
        <v>739</v>
      </c>
      <c r="D320" s="101" t="s">
        <v>287</v>
      </c>
      <c r="E320" s="101" t="s">
        <v>36</v>
      </c>
      <c r="F320" s="101">
        <v>0.4</v>
      </c>
      <c r="G320" s="102">
        <v>0</v>
      </c>
      <c r="H320" s="7" t="s">
        <v>830</v>
      </c>
      <c r="I320" s="7" t="s">
        <v>830</v>
      </c>
      <c r="J320" s="103">
        <v>3.3530000000000002</v>
      </c>
      <c r="K320" s="104"/>
      <c r="L320" s="104"/>
      <c r="M320" s="99" t="s">
        <v>740</v>
      </c>
      <c r="N320" s="104" t="str">
        <f>IF(K320="","",K320&amp;COUNTIF($K$4:K320,K320))</f>
        <v/>
      </c>
      <c r="O320" s="104" t="str">
        <f>IF(D320="NA","NA",D320&amp;COUNTIF($D$4:D320,D320))</f>
        <v>E362011</v>
      </c>
      <c r="P320" s="104" t="str">
        <f>IF(E320="NA","NA",E320&amp;COUNTIF($E$4:E320,E320))</f>
        <v>NA</v>
      </c>
      <c r="Q320" s="104" t="str">
        <f t="shared" si="9"/>
        <v>Woking</v>
      </c>
      <c r="R320" s="153" t="s">
        <v>1335</v>
      </c>
      <c r="S320" s="192">
        <f t="shared" si="10"/>
        <v>1.3412000000000002</v>
      </c>
      <c r="T320" s="194">
        <v>0.77500000000000002</v>
      </c>
    </row>
    <row r="321" spans="1:20" x14ac:dyDescent="0.25">
      <c r="A321" s="98">
        <v>318</v>
      </c>
      <c r="B321" s="99" t="s">
        <v>742</v>
      </c>
      <c r="C321" s="100" t="s">
        <v>741</v>
      </c>
      <c r="D321" s="101" t="s">
        <v>36</v>
      </c>
      <c r="E321" s="101" t="s">
        <v>122</v>
      </c>
      <c r="F321" s="101">
        <v>0.49</v>
      </c>
      <c r="G321" s="102">
        <v>0</v>
      </c>
      <c r="H321" s="7" t="s">
        <v>830</v>
      </c>
      <c r="I321" s="7" t="s">
        <v>830</v>
      </c>
      <c r="J321" s="103">
        <v>0</v>
      </c>
      <c r="K321" s="104"/>
      <c r="L321" s="104"/>
      <c r="M321" s="99" t="s">
        <v>742</v>
      </c>
      <c r="N321" s="104" t="str">
        <f>IF(K321="","",K321&amp;COUNTIF($K$4:K321,K321))</f>
        <v/>
      </c>
      <c r="O321" s="104" t="str">
        <f>IF(D321="NA","NA",D321&amp;COUNTIF($D$4:D321,D321))</f>
        <v>NA</v>
      </c>
      <c r="P321" s="104" t="str">
        <f>IF(E321="NA","NA",E321&amp;COUNTIF($E$4:E321,E321))</f>
        <v>E61036</v>
      </c>
      <c r="Q321" s="104" t="str">
        <f t="shared" si="9"/>
        <v>Wokingham</v>
      </c>
      <c r="R321" s="153" t="s">
        <v>1335</v>
      </c>
      <c r="S321" s="192">
        <f t="shared" si="10"/>
        <v>0</v>
      </c>
      <c r="T321" s="194">
        <v>0.73899999999999999</v>
      </c>
    </row>
    <row r="322" spans="1:20" x14ac:dyDescent="0.25">
      <c r="A322" s="98">
        <v>319</v>
      </c>
      <c r="B322" s="99" t="s">
        <v>744</v>
      </c>
      <c r="C322" s="100" t="s">
        <v>743</v>
      </c>
      <c r="D322" s="101" t="s">
        <v>36</v>
      </c>
      <c r="E322" s="101" t="s">
        <v>98</v>
      </c>
      <c r="F322" s="101">
        <v>0.49</v>
      </c>
      <c r="G322" s="102">
        <v>0</v>
      </c>
      <c r="H322" s="7" t="s">
        <v>830</v>
      </c>
      <c r="I322" s="7" t="s">
        <v>837</v>
      </c>
      <c r="J322" s="103">
        <v>0.66348399999999996</v>
      </c>
      <c r="K322" s="104"/>
      <c r="L322" s="153" t="s">
        <v>1272</v>
      </c>
      <c r="M322" s="99" t="s">
        <v>744</v>
      </c>
      <c r="N322" s="104" t="str">
        <f>IF(K322="","",K322&amp;COUNTIF($K$4:K322,K322))</f>
        <v/>
      </c>
      <c r="O322" s="104" t="str">
        <f>IF(D322="NA","NA",D322&amp;COUNTIF($D$4:D322,D322))</f>
        <v>NA</v>
      </c>
      <c r="P322" s="104" t="str">
        <f>IF(E322="NA","NA",E322&amp;COUNTIF($E$4:E322,E322))</f>
        <v>E61467</v>
      </c>
      <c r="Q322" s="104" t="str">
        <f t="shared" si="9"/>
        <v>Wolverhampton</v>
      </c>
      <c r="R322" s="153" t="s">
        <v>1335</v>
      </c>
      <c r="S322" s="192">
        <f t="shared" si="10"/>
        <v>0.32510715999999995</v>
      </c>
      <c r="T322" s="194">
        <v>0.69299999999999995</v>
      </c>
    </row>
    <row r="323" spans="1:20" x14ac:dyDescent="0.25">
      <c r="A323" s="98">
        <v>320</v>
      </c>
      <c r="B323" s="99" t="s">
        <v>746</v>
      </c>
      <c r="C323" s="100" t="s">
        <v>745</v>
      </c>
      <c r="D323" s="101" t="s">
        <v>149</v>
      </c>
      <c r="E323" s="101" t="s">
        <v>150</v>
      </c>
      <c r="F323" s="101">
        <v>0.4</v>
      </c>
      <c r="G323" s="102">
        <v>0</v>
      </c>
      <c r="H323" s="7" t="s">
        <v>837</v>
      </c>
      <c r="I323" s="7" t="s">
        <v>830</v>
      </c>
      <c r="J323" s="103">
        <v>1.584497</v>
      </c>
      <c r="K323" s="104" t="s">
        <v>421</v>
      </c>
      <c r="L323" s="104"/>
      <c r="M323" s="99" t="s">
        <v>746</v>
      </c>
      <c r="N323" s="104" t="str">
        <f>IF(K323="","",K323&amp;COUNTIF($K$4:K323,K323))</f>
        <v>Worcestershire Business Rates Pool1</v>
      </c>
      <c r="O323" s="104" t="str">
        <f>IF(D323="NA","NA",D323&amp;COUNTIF($D$4:D323,D323))</f>
        <v>E18214</v>
      </c>
      <c r="P323" s="104" t="str">
        <f>IF(E323="NA","NA",E323&amp;COUNTIF($E$4:E323,E323))</f>
        <v>E61185</v>
      </c>
      <c r="Q323" s="104" t="str">
        <f t="shared" si="9"/>
        <v>Worcester</v>
      </c>
      <c r="R323" s="153" t="s">
        <v>1335</v>
      </c>
      <c r="S323" s="192">
        <f t="shared" si="10"/>
        <v>0.63379880000000011</v>
      </c>
      <c r="T323" s="194">
        <v>0.72699999999999998</v>
      </c>
    </row>
    <row r="324" spans="1:20" x14ac:dyDescent="0.25">
      <c r="A324" s="98">
        <v>321</v>
      </c>
      <c r="B324" s="99" t="s">
        <v>748</v>
      </c>
      <c r="C324" s="100" t="s">
        <v>747</v>
      </c>
      <c r="D324" s="101" t="s">
        <v>35</v>
      </c>
      <c r="E324" s="101" t="s">
        <v>36</v>
      </c>
      <c r="F324" s="101">
        <v>0.4</v>
      </c>
      <c r="G324" s="102">
        <v>0</v>
      </c>
      <c r="H324" s="7" t="s">
        <v>830</v>
      </c>
      <c r="I324" s="7" t="s">
        <v>830</v>
      </c>
      <c r="J324" s="103">
        <v>1.09276</v>
      </c>
      <c r="K324" s="104" t="s">
        <v>37</v>
      </c>
      <c r="L324" s="104"/>
      <c r="M324" s="99" t="s">
        <v>748</v>
      </c>
      <c r="N324" s="104" t="str">
        <f>IF(K324="","",K324&amp;COUNTIF($K$4:K324,K324))</f>
        <v>West Sussex Business Rates Pool4</v>
      </c>
      <c r="O324" s="104" t="str">
        <f>IF(D324="NA","NA",D324&amp;COUNTIF($D$4:D324,D324))</f>
        <v>E38207</v>
      </c>
      <c r="P324" s="104" t="str">
        <f>IF(E324="NA","NA",E324&amp;COUNTIF($E$4:E324,E324))</f>
        <v>NA</v>
      </c>
      <c r="Q324" s="104" t="str">
        <f t="shared" si="9"/>
        <v>Worthing</v>
      </c>
      <c r="R324" s="153" t="s">
        <v>1335</v>
      </c>
      <c r="S324" s="192">
        <f t="shared" si="10"/>
        <v>0.43710399999999999</v>
      </c>
      <c r="T324" s="194">
        <v>0.70499999999999996</v>
      </c>
    </row>
    <row r="325" spans="1:20" x14ac:dyDescent="0.25">
      <c r="A325" s="98">
        <v>322</v>
      </c>
      <c r="B325" s="99" t="s">
        <v>750</v>
      </c>
      <c r="C325" s="100" t="s">
        <v>749</v>
      </c>
      <c r="D325" s="101" t="s">
        <v>149</v>
      </c>
      <c r="E325" s="101" t="s">
        <v>150</v>
      </c>
      <c r="F325" s="101">
        <v>0.4</v>
      </c>
      <c r="G325" s="102">
        <v>0</v>
      </c>
      <c r="H325" s="7" t="s">
        <v>837</v>
      </c>
      <c r="I325" s="7" t="s">
        <v>830</v>
      </c>
      <c r="J325" s="103">
        <v>1.178893</v>
      </c>
      <c r="K325" s="104" t="s">
        <v>421</v>
      </c>
      <c r="L325" s="104"/>
      <c r="M325" s="99" t="s">
        <v>750</v>
      </c>
      <c r="N325" s="104" t="str">
        <f>IF(K325="","",K325&amp;COUNTIF($K$4:K325,K325))</f>
        <v>Worcestershire Business Rates Pool2</v>
      </c>
      <c r="O325" s="104" t="str">
        <f>IF(D325="NA","NA",D325&amp;COUNTIF($D$4:D325,D325))</f>
        <v>E18215</v>
      </c>
      <c r="P325" s="104" t="str">
        <f>IF(E325="NA","NA",E325&amp;COUNTIF($E$4:E325,E325))</f>
        <v>E61186</v>
      </c>
      <c r="Q325" s="104" t="str">
        <f t="shared" ref="Q325:Q388" si="11">C325</f>
        <v>Wychavon</v>
      </c>
      <c r="R325" s="153" t="s">
        <v>1335</v>
      </c>
      <c r="S325" s="192">
        <f t="shared" ref="S325:S388" si="12">J325*F325</f>
        <v>0.47155720000000001</v>
      </c>
      <c r="T325" s="194">
        <v>0.67900000000000005</v>
      </c>
    </row>
    <row r="326" spans="1:20" x14ac:dyDescent="0.25">
      <c r="A326" s="98">
        <v>323</v>
      </c>
      <c r="B326" s="99" t="s">
        <v>752</v>
      </c>
      <c r="C326" s="100" t="s">
        <v>751</v>
      </c>
      <c r="D326" s="101" t="s">
        <v>59</v>
      </c>
      <c r="E326" s="101" t="s">
        <v>60</v>
      </c>
      <c r="F326" s="101">
        <v>0.4</v>
      </c>
      <c r="G326" s="102">
        <v>0</v>
      </c>
      <c r="H326" s="7" t="s">
        <v>830</v>
      </c>
      <c r="I326" s="7" t="s">
        <v>830</v>
      </c>
      <c r="J326" s="103">
        <v>0</v>
      </c>
      <c r="K326" s="104"/>
      <c r="L326" s="104"/>
      <c r="M326" s="99" t="s">
        <v>752</v>
      </c>
      <c r="N326" s="104" t="str">
        <f>IF(K326="","",K326&amp;COUNTIF($K$4:K326,K326))</f>
        <v/>
      </c>
      <c r="O326" s="104" t="str">
        <f>IF(D326="NA","NA",D326&amp;COUNTIF($D$4:D326,D326))</f>
        <v>E04214</v>
      </c>
      <c r="P326" s="104" t="str">
        <f>IF(E326="NA","NA",E326&amp;COUNTIF($E$4:E326,E326))</f>
        <v>E61045</v>
      </c>
      <c r="Q326" s="104" t="str">
        <f t="shared" si="11"/>
        <v>Wycombe</v>
      </c>
      <c r="R326" s="153" t="s">
        <v>1335</v>
      </c>
      <c r="S326" s="192">
        <f t="shared" si="12"/>
        <v>0</v>
      </c>
      <c r="T326" s="194">
        <v>0.75</v>
      </c>
    </row>
    <row r="327" spans="1:20" x14ac:dyDescent="0.25">
      <c r="A327" s="98">
        <v>324</v>
      </c>
      <c r="B327" s="99" t="s">
        <v>754</v>
      </c>
      <c r="C327" s="100" t="s">
        <v>753</v>
      </c>
      <c r="D327" s="101" t="s">
        <v>158</v>
      </c>
      <c r="E327" s="101" t="s">
        <v>106</v>
      </c>
      <c r="F327" s="101">
        <v>0.4</v>
      </c>
      <c r="G327" s="102">
        <v>0</v>
      </c>
      <c r="H327" s="7" t="s">
        <v>830</v>
      </c>
      <c r="I327" s="7" t="s">
        <v>830</v>
      </c>
      <c r="J327" s="103">
        <v>0.80907317000000001</v>
      </c>
      <c r="K327" s="104" t="s">
        <v>914</v>
      </c>
      <c r="L327" s="104"/>
      <c r="M327" s="99" t="s">
        <v>754</v>
      </c>
      <c r="N327" s="104" t="str">
        <f>IF(K327="","",K327&amp;COUNTIF($K$4:K327,K327))</f>
        <v>Lancashire Business Rates Pool9</v>
      </c>
      <c r="O327" s="104" t="str">
        <f>IF(D327="NA","NA",D327&amp;COUNTIF($D$4:D327,D327))</f>
        <v>E232112</v>
      </c>
      <c r="P327" s="104" t="str">
        <f>IF(E327="NA","NA",E327&amp;COUNTIF($E$4:E327,E327))</f>
        <v>E612314</v>
      </c>
      <c r="Q327" s="104" t="str">
        <f t="shared" si="11"/>
        <v>Wyre</v>
      </c>
      <c r="R327" s="153" t="s">
        <v>1335</v>
      </c>
      <c r="S327" s="192">
        <f t="shared" si="12"/>
        <v>0.32362926800000003</v>
      </c>
      <c r="T327" s="194">
        <v>0.67200000000000004</v>
      </c>
    </row>
    <row r="328" spans="1:20" x14ac:dyDescent="0.25">
      <c r="A328" s="98">
        <v>325</v>
      </c>
      <c r="B328" s="99" t="s">
        <v>756</v>
      </c>
      <c r="C328" s="100" t="s">
        <v>755</v>
      </c>
      <c r="D328" s="101" t="s">
        <v>149</v>
      </c>
      <c r="E328" s="101" t="s">
        <v>150</v>
      </c>
      <c r="F328" s="101">
        <v>0.4</v>
      </c>
      <c r="G328" s="102">
        <v>0</v>
      </c>
      <c r="H328" s="7" t="s">
        <v>830</v>
      </c>
      <c r="I328" s="7" t="s">
        <v>830</v>
      </c>
      <c r="J328" s="103">
        <v>0.90289200000000003</v>
      </c>
      <c r="K328" s="104" t="s">
        <v>421</v>
      </c>
      <c r="L328" s="104"/>
      <c r="M328" s="99" t="s">
        <v>756</v>
      </c>
      <c r="N328" s="104" t="str">
        <f>IF(K328="","",K328&amp;COUNTIF($K$4:K328,K328))</f>
        <v>Worcestershire Business Rates Pool3</v>
      </c>
      <c r="O328" s="104" t="str">
        <f>IF(D328="NA","NA",D328&amp;COUNTIF($D$4:D328,D328))</f>
        <v>E18216</v>
      </c>
      <c r="P328" s="104" t="str">
        <f>IF(E328="NA","NA",E328&amp;COUNTIF($E$4:E328,E328))</f>
        <v>E61187</v>
      </c>
      <c r="Q328" s="104" t="str">
        <f t="shared" si="11"/>
        <v>Wyre Forest</v>
      </c>
      <c r="R328" s="153" t="s">
        <v>1335</v>
      </c>
      <c r="S328" s="192">
        <f t="shared" si="12"/>
        <v>0.36115680000000006</v>
      </c>
      <c r="T328" s="194">
        <v>0.68400000000000005</v>
      </c>
    </row>
    <row r="329" spans="1:20" ht="15.75" thickBot="1" x14ac:dyDescent="0.3">
      <c r="A329" s="108">
        <v>326</v>
      </c>
      <c r="B329" s="109" t="s">
        <v>758</v>
      </c>
      <c r="C329" s="110" t="s">
        <v>757</v>
      </c>
      <c r="D329" s="101" t="s">
        <v>36</v>
      </c>
      <c r="E329" s="101" t="s">
        <v>227</v>
      </c>
      <c r="F329" s="101">
        <v>0.49</v>
      </c>
      <c r="G329" s="102">
        <v>0</v>
      </c>
      <c r="H329" s="7" t="s">
        <v>837</v>
      </c>
      <c r="I329" s="7" t="s">
        <v>830</v>
      </c>
      <c r="J329" s="103">
        <v>8.908455</v>
      </c>
      <c r="K329" s="104" t="s">
        <v>126</v>
      </c>
      <c r="L329" s="104"/>
      <c r="M329" s="109" t="s">
        <v>758</v>
      </c>
      <c r="N329" s="104" t="str">
        <f>IF(K329="","",K329&amp;COUNTIF($K$4:K329,K329))</f>
        <v>Leeds City Region Business Rates Pool7</v>
      </c>
      <c r="O329" s="104" t="str">
        <f>IF(D329="NA","NA",D329&amp;COUNTIF($D$4:D329,D329))</f>
        <v>NA</v>
      </c>
      <c r="P329" s="104" t="str">
        <f>IF(E329="NA","NA",E329&amp;COUNTIF($E$4:E329,E329))</f>
        <v>E61278</v>
      </c>
      <c r="Q329" s="104" t="str">
        <f t="shared" si="11"/>
        <v>York</v>
      </c>
      <c r="R329" s="153" t="s">
        <v>1335</v>
      </c>
      <c r="S329" s="192">
        <f t="shared" si="12"/>
        <v>4.3651429500000001</v>
      </c>
      <c r="T329" s="194">
        <v>0.74</v>
      </c>
    </row>
    <row r="330" spans="1:20" x14ac:dyDescent="0.25">
      <c r="A330" s="111"/>
      <c r="B330" s="111"/>
      <c r="C330" s="111"/>
      <c r="D330" s="7"/>
      <c r="E330" s="7"/>
      <c r="F330" s="7"/>
      <c r="G330" s="7"/>
      <c r="H330" s="7"/>
      <c r="I330" s="7"/>
      <c r="J330" s="112"/>
      <c r="K330" s="104"/>
      <c r="L330" s="104"/>
      <c r="M330" s="111"/>
      <c r="N330" s="104" t="str">
        <f>IF(K330="","",K330&amp;COUNTIF($K$4:K330,K330))</f>
        <v/>
      </c>
      <c r="O330" s="104"/>
      <c r="P330" s="104"/>
      <c r="Q330" s="104"/>
      <c r="R330" s="104"/>
      <c r="S330" s="192"/>
      <c r="T330" s="194"/>
    </row>
    <row r="331" spans="1:20" x14ac:dyDescent="0.25">
      <c r="A331" s="7"/>
      <c r="B331" s="113" t="s">
        <v>89</v>
      </c>
      <c r="C331" s="113" t="s">
        <v>759</v>
      </c>
      <c r="D331" s="7"/>
      <c r="E331" s="7"/>
      <c r="F331" s="113">
        <v>0.01</v>
      </c>
      <c r="G331" s="114" t="s">
        <v>760</v>
      </c>
      <c r="H331" s="7" t="s">
        <v>830</v>
      </c>
      <c r="I331" s="7" t="s">
        <v>830</v>
      </c>
      <c r="J331" s="115">
        <v>0</v>
      </c>
      <c r="K331" s="104"/>
      <c r="L331" s="104"/>
      <c r="M331" s="113" t="s">
        <v>89</v>
      </c>
      <c r="N331" s="104" t="str">
        <f>IF(K331="","",K331&amp;COUNTIF($K$4:K331,K331))</f>
        <v/>
      </c>
      <c r="O331" s="104"/>
      <c r="P331" s="104"/>
      <c r="Q331" s="104" t="str">
        <f t="shared" si="11"/>
        <v>Avon Fire</v>
      </c>
      <c r="R331" s="153" t="s">
        <v>1336</v>
      </c>
      <c r="S331" s="192">
        <f t="shared" si="12"/>
        <v>0</v>
      </c>
      <c r="T331" s="194"/>
    </row>
    <row r="332" spans="1:20" x14ac:dyDescent="0.25">
      <c r="A332" s="7"/>
      <c r="B332" s="113" t="s">
        <v>93</v>
      </c>
      <c r="C332" s="113" t="s">
        <v>761</v>
      </c>
      <c r="D332" s="7"/>
      <c r="E332" s="7"/>
      <c r="F332" s="113">
        <v>0.01</v>
      </c>
      <c r="G332" s="114" t="s">
        <v>760</v>
      </c>
      <c r="H332" s="7" t="s">
        <v>830</v>
      </c>
      <c r="I332" s="7" t="s">
        <v>830</v>
      </c>
      <c r="J332" s="115">
        <v>0</v>
      </c>
      <c r="K332" s="104"/>
      <c r="L332" s="104"/>
      <c r="M332" s="113" t="s">
        <v>93</v>
      </c>
      <c r="N332" s="104" t="str">
        <f>IF(K332="","",K332&amp;COUNTIF($K$4:K332,K332))</f>
        <v/>
      </c>
      <c r="O332" s="104"/>
      <c r="P332" s="104"/>
      <c r="Q332" s="104" t="str">
        <f t="shared" si="11"/>
        <v>Bedfordshire Fire</v>
      </c>
      <c r="R332" s="153" t="s">
        <v>1336</v>
      </c>
      <c r="S332" s="192">
        <f t="shared" si="12"/>
        <v>0</v>
      </c>
      <c r="T332" s="194"/>
    </row>
    <row r="333" spans="1:20" x14ac:dyDescent="0.25">
      <c r="A333" s="7"/>
      <c r="B333" s="113" t="s">
        <v>122</v>
      </c>
      <c r="C333" s="113" t="s">
        <v>762</v>
      </c>
      <c r="D333" s="7"/>
      <c r="E333" s="7"/>
      <c r="F333" s="113">
        <v>0.01</v>
      </c>
      <c r="G333" s="114" t="s">
        <v>760</v>
      </c>
      <c r="H333" s="7" t="s">
        <v>830</v>
      </c>
      <c r="I333" s="7" t="s">
        <v>830</v>
      </c>
      <c r="J333" s="115">
        <v>15.672326999999999</v>
      </c>
      <c r="K333" s="104"/>
      <c r="L333" s="104"/>
      <c r="M333" s="113" t="s">
        <v>122</v>
      </c>
      <c r="N333" s="104" t="str">
        <f>IF(K333="","",K333&amp;COUNTIF($K$4:K333,K333))</f>
        <v/>
      </c>
      <c r="O333" s="104"/>
      <c r="P333" s="104"/>
      <c r="Q333" s="104" t="str">
        <f t="shared" si="11"/>
        <v>Berkshire Fire Authority</v>
      </c>
      <c r="R333" s="153" t="s">
        <v>1336</v>
      </c>
      <c r="S333" s="192">
        <f t="shared" si="12"/>
        <v>0.15672327</v>
      </c>
      <c r="T333" s="194"/>
    </row>
    <row r="334" spans="1:20" x14ac:dyDescent="0.25">
      <c r="A334" s="7"/>
      <c r="B334" s="113" t="s">
        <v>60</v>
      </c>
      <c r="C334" s="113" t="s">
        <v>763</v>
      </c>
      <c r="D334" s="7"/>
      <c r="E334" s="7"/>
      <c r="F334" s="113">
        <v>0.01</v>
      </c>
      <c r="G334" s="114" t="s">
        <v>760</v>
      </c>
      <c r="H334" s="7" t="s">
        <v>830</v>
      </c>
      <c r="I334" s="7" t="s">
        <v>830</v>
      </c>
      <c r="J334" s="115">
        <v>0</v>
      </c>
      <c r="K334" s="104" t="s">
        <v>841</v>
      </c>
      <c r="L334" s="104"/>
      <c r="M334" s="113" t="s">
        <v>60</v>
      </c>
      <c r="N334" s="104" t="str">
        <f>IF(K334="","",K334&amp;COUNTIF($K$4:K334,K334))</f>
        <v>Buckinghamshire Business Rates Pool4</v>
      </c>
      <c r="O334" s="104"/>
      <c r="P334" s="104"/>
      <c r="Q334" s="104" t="str">
        <f t="shared" si="11"/>
        <v>Buckinghamshire Fire</v>
      </c>
      <c r="R334" s="153" t="s">
        <v>1336</v>
      </c>
      <c r="S334" s="192">
        <f t="shared" si="12"/>
        <v>0</v>
      </c>
      <c r="T334" s="194"/>
    </row>
    <row r="335" spans="1:20" x14ac:dyDescent="0.25">
      <c r="A335" s="7"/>
      <c r="B335" s="113" t="s">
        <v>166</v>
      </c>
      <c r="C335" s="113" t="s">
        <v>764</v>
      </c>
      <c r="D335" s="7"/>
      <c r="E335" s="7"/>
      <c r="F335" s="113">
        <v>0.01</v>
      </c>
      <c r="G335" s="114" t="s">
        <v>760</v>
      </c>
      <c r="H335" s="7" t="s">
        <v>830</v>
      </c>
      <c r="I335" s="7" t="s">
        <v>830</v>
      </c>
      <c r="J335" s="115">
        <v>9.7670110000000001</v>
      </c>
      <c r="K335" s="104"/>
      <c r="L335" s="104"/>
      <c r="M335" s="113" t="s">
        <v>166</v>
      </c>
      <c r="N335" s="104" t="str">
        <f>IF(K335="","",K335&amp;COUNTIF($K$4:K335,K335))</f>
        <v/>
      </c>
      <c r="O335" s="104"/>
      <c r="P335" s="104"/>
      <c r="Q335" s="104" t="str">
        <f t="shared" si="11"/>
        <v>Cambridgeshire Fire</v>
      </c>
      <c r="R335" s="153" t="s">
        <v>1336</v>
      </c>
      <c r="S335" s="192">
        <f t="shared" si="12"/>
        <v>9.7670110000000004E-2</v>
      </c>
      <c r="T335" s="194"/>
    </row>
    <row r="336" spans="1:20" x14ac:dyDescent="0.25">
      <c r="A336" s="7"/>
      <c r="B336" s="113" t="s">
        <v>194</v>
      </c>
      <c r="C336" s="113" t="s">
        <v>765</v>
      </c>
      <c r="D336" s="7"/>
      <c r="E336" s="7"/>
      <c r="F336" s="113">
        <v>0.01</v>
      </c>
      <c r="G336" s="114" t="s">
        <v>760</v>
      </c>
      <c r="H336" s="7" t="s">
        <v>830</v>
      </c>
      <c r="I336" s="7" t="s">
        <v>830</v>
      </c>
      <c r="J336" s="115">
        <v>10.618979</v>
      </c>
      <c r="K336" s="104"/>
      <c r="L336" s="104"/>
      <c r="M336" s="113" t="s">
        <v>194</v>
      </c>
      <c r="N336" s="104" t="str">
        <f>IF(K336="","",K336&amp;COUNTIF($K$4:K336,K336))</f>
        <v/>
      </c>
      <c r="O336" s="104"/>
      <c r="P336" s="104"/>
      <c r="Q336" s="104" t="str">
        <f t="shared" si="11"/>
        <v>Cheshire Fire</v>
      </c>
      <c r="R336" s="153" t="s">
        <v>1336</v>
      </c>
      <c r="S336" s="192">
        <f t="shared" si="12"/>
        <v>0.10618978999999999</v>
      </c>
      <c r="T336" s="194"/>
    </row>
    <row r="337" spans="1:20" x14ac:dyDescent="0.25">
      <c r="A337" s="7"/>
      <c r="B337" s="113" t="s">
        <v>347</v>
      </c>
      <c r="C337" s="113" t="s">
        <v>766</v>
      </c>
      <c r="D337" s="7"/>
      <c r="E337" s="7"/>
      <c r="F337" s="113">
        <v>0.01</v>
      </c>
      <c r="G337" s="114" t="s">
        <v>760</v>
      </c>
      <c r="H337" s="7" t="s">
        <v>830</v>
      </c>
      <c r="I337" s="7" t="s">
        <v>830</v>
      </c>
      <c r="J337" s="115">
        <v>3.4684789999999999</v>
      </c>
      <c r="K337" s="104"/>
      <c r="L337" s="104"/>
      <c r="M337" s="113" t="s">
        <v>347</v>
      </c>
      <c r="N337" s="104" t="str">
        <f>IF(K337="","",K337&amp;COUNTIF($K$4:K337,K337))</f>
        <v/>
      </c>
      <c r="O337" s="104"/>
      <c r="P337" s="104"/>
      <c r="Q337" s="104" t="str">
        <f t="shared" si="11"/>
        <v>Cleveland Fire</v>
      </c>
      <c r="R337" s="153" t="s">
        <v>1336</v>
      </c>
      <c r="S337" s="192">
        <f t="shared" si="12"/>
        <v>3.468479E-2</v>
      </c>
      <c r="T337" s="194"/>
    </row>
    <row r="338" spans="1:20" x14ac:dyDescent="0.25">
      <c r="A338" s="7"/>
      <c r="B338" s="113" t="s">
        <v>45</v>
      </c>
      <c r="C338" s="113" t="s">
        <v>767</v>
      </c>
      <c r="D338" s="7"/>
      <c r="E338" s="7"/>
      <c r="F338" s="113">
        <v>0.01</v>
      </c>
      <c r="G338" s="114" t="s">
        <v>760</v>
      </c>
      <c r="H338" s="7" t="s">
        <v>830</v>
      </c>
      <c r="I338" s="7" t="s">
        <v>830</v>
      </c>
      <c r="J338" s="115">
        <v>0</v>
      </c>
      <c r="K338" s="104" t="s">
        <v>1</v>
      </c>
      <c r="L338" s="104"/>
      <c r="M338" s="113" t="s">
        <v>45</v>
      </c>
      <c r="N338" s="104" t="str">
        <f>IF(K338="","",K338&amp;COUNTIF($K$4:K338,K338))</f>
        <v>Derbyshire Business Rates Pool10</v>
      </c>
      <c r="O338" s="104"/>
      <c r="P338" s="104"/>
      <c r="Q338" s="104" t="str">
        <f t="shared" si="11"/>
        <v>Derbyshire Fire</v>
      </c>
      <c r="R338" s="153" t="s">
        <v>1336</v>
      </c>
      <c r="S338" s="192">
        <f t="shared" si="12"/>
        <v>0</v>
      </c>
      <c r="T338" s="194"/>
    </row>
    <row r="339" spans="1:20" x14ac:dyDescent="0.25">
      <c r="A339" s="7"/>
      <c r="B339" s="113" t="s">
        <v>261</v>
      </c>
      <c r="C339" s="113" t="s">
        <v>768</v>
      </c>
      <c r="D339" s="7"/>
      <c r="E339" s="7"/>
      <c r="F339" s="113">
        <v>0.01</v>
      </c>
      <c r="G339" s="114" t="s">
        <v>760</v>
      </c>
      <c r="H339" s="7" t="s">
        <v>830</v>
      </c>
      <c r="I339" s="7" t="s">
        <v>830</v>
      </c>
      <c r="J339" s="115">
        <v>1.4138329999999999</v>
      </c>
      <c r="K339" s="104"/>
      <c r="L339" s="104"/>
      <c r="M339" s="113" t="s">
        <v>261</v>
      </c>
      <c r="N339" s="104" t="str">
        <f>IF(K339="","",K339&amp;COUNTIF($K$4:K339,K339))</f>
        <v/>
      </c>
      <c r="O339" s="104"/>
      <c r="P339" s="104"/>
      <c r="Q339" s="104" t="str">
        <f t="shared" si="11"/>
        <v>Devon and Somerset Fire</v>
      </c>
      <c r="R339" s="153" t="s">
        <v>1336</v>
      </c>
      <c r="S339" s="192">
        <f t="shared" si="12"/>
        <v>1.4138329999999999E-2</v>
      </c>
      <c r="T339" s="194"/>
    </row>
    <row r="340" spans="1:20" x14ac:dyDescent="0.25">
      <c r="A340" s="7"/>
      <c r="B340" s="113" t="s">
        <v>868</v>
      </c>
      <c r="C340" s="113" t="s">
        <v>1116</v>
      </c>
      <c r="D340" s="7"/>
      <c r="E340" s="7"/>
      <c r="F340" s="113">
        <v>0.01</v>
      </c>
      <c r="G340" s="114" t="s">
        <v>760</v>
      </c>
      <c r="H340" s="7" t="s">
        <v>830</v>
      </c>
      <c r="I340" s="7" t="s">
        <v>830</v>
      </c>
      <c r="J340" s="115">
        <v>4.2165110000000006</v>
      </c>
      <c r="K340" s="104"/>
      <c r="L340" s="104"/>
      <c r="M340" s="113" t="s">
        <v>868</v>
      </c>
      <c r="N340" s="104" t="str">
        <f>IF(K340="","",K340&amp;COUNTIF($K$4:K340,K340))</f>
        <v/>
      </c>
      <c r="O340" s="104"/>
      <c r="P340" s="104"/>
      <c r="Q340" s="104" t="str">
        <f t="shared" si="11"/>
        <v>R753 - Dorset &amp; Wiltshire Fire</v>
      </c>
      <c r="R340" s="153" t="s">
        <v>1336</v>
      </c>
      <c r="S340" s="192">
        <f t="shared" si="12"/>
        <v>4.2165110000000006E-2</v>
      </c>
      <c r="T340" s="194"/>
    </row>
    <row r="341" spans="1:20" x14ac:dyDescent="0.25">
      <c r="A341" s="7"/>
      <c r="B341" s="113" t="s">
        <v>237</v>
      </c>
      <c r="C341" s="113" t="s">
        <v>769</v>
      </c>
      <c r="D341" s="7"/>
      <c r="E341" s="7"/>
      <c r="F341" s="113">
        <v>0.01</v>
      </c>
      <c r="G341" s="114" t="s">
        <v>760</v>
      </c>
      <c r="H341" s="7" t="s">
        <v>830</v>
      </c>
      <c r="I341" s="7" t="s">
        <v>830</v>
      </c>
      <c r="J341" s="115">
        <v>0</v>
      </c>
      <c r="K341" s="104"/>
      <c r="L341" s="104"/>
      <c r="M341" s="113" t="s">
        <v>237</v>
      </c>
      <c r="N341" s="104" t="str">
        <f>IF(K341="","",K341&amp;COUNTIF($K$4:K341,K341))</f>
        <v/>
      </c>
      <c r="O341" s="104"/>
      <c r="P341" s="104"/>
      <c r="Q341" s="104" t="str">
        <f t="shared" si="11"/>
        <v>Durham Fire</v>
      </c>
      <c r="R341" s="153" t="s">
        <v>1336</v>
      </c>
      <c r="S341" s="192">
        <f t="shared" si="12"/>
        <v>0</v>
      </c>
      <c r="T341" s="194"/>
    </row>
    <row r="342" spans="1:20" x14ac:dyDescent="0.25">
      <c r="A342" s="7"/>
      <c r="B342" s="113" t="s">
        <v>140</v>
      </c>
      <c r="C342" s="113" t="s">
        <v>770</v>
      </c>
      <c r="D342" s="7"/>
      <c r="E342" s="7"/>
      <c r="F342" s="113">
        <v>0.01</v>
      </c>
      <c r="G342" s="114" t="s">
        <v>760</v>
      </c>
      <c r="H342" s="7" t="s">
        <v>830</v>
      </c>
      <c r="I342" s="7" t="s">
        <v>830</v>
      </c>
      <c r="J342" s="115">
        <v>0</v>
      </c>
      <c r="K342" s="104"/>
      <c r="L342" s="104"/>
      <c r="M342" s="113" t="s">
        <v>140</v>
      </c>
      <c r="N342" s="104" t="str">
        <f>IF(K342="","",K342&amp;COUNTIF($K$4:K342,K342))</f>
        <v/>
      </c>
      <c r="O342" s="104"/>
      <c r="P342" s="104"/>
      <c r="Q342" s="104" t="str">
        <f t="shared" si="11"/>
        <v>East Sussex Fire</v>
      </c>
      <c r="R342" s="153" t="s">
        <v>1336</v>
      </c>
      <c r="S342" s="192">
        <f t="shared" si="12"/>
        <v>0</v>
      </c>
      <c r="T342" s="194"/>
    </row>
    <row r="343" spans="1:20" x14ac:dyDescent="0.25">
      <c r="A343" s="7"/>
      <c r="B343" s="113" t="s">
        <v>80</v>
      </c>
      <c r="C343" s="113" t="s">
        <v>771</v>
      </c>
      <c r="D343" s="7"/>
      <c r="E343" s="7"/>
      <c r="F343" s="113">
        <v>0.01</v>
      </c>
      <c r="G343" s="114" t="s">
        <v>760</v>
      </c>
      <c r="H343" s="7" t="s">
        <v>830</v>
      </c>
      <c r="I343" s="7" t="s">
        <v>830</v>
      </c>
      <c r="J343" s="115">
        <v>0.27439799999999998</v>
      </c>
      <c r="K343" s="104" t="s">
        <v>129</v>
      </c>
      <c r="L343" s="104"/>
      <c r="M343" s="113" t="s">
        <v>80</v>
      </c>
      <c r="N343" s="104" t="str">
        <f>IF(K343="","",K343&amp;COUNTIF($K$4:K343,K343))</f>
        <v>Essex Business Rates Pool10</v>
      </c>
      <c r="O343" s="104"/>
      <c r="P343" s="104"/>
      <c r="Q343" s="104" t="str">
        <f t="shared" si="11"/>
        <v>Essex Fire Authority</v>
      </c>
      <c r="R343" s="153" t="s">
        <v>1336</v>
      </c>
      <c r="S343" s="192">
        <f t="shared" si="12"/>
        <v>2.7439799999999996E-3</v>
      </c>
      <c r="T343" s="194"/>
    </row>
    <row r="344" spans="1:20" x14ac:dyDescent="0.25">
      <c r="A344" s="7"/>
      <c r="B344" s="113" t="s">
        <v>84</v>
      </c>
      <c r="C344" s="113" t="s">
        <v>772</v>
      </c>
      <c r="D344" s="7"/>
      <c r="E344" s="7"/>
      <c r="F344" s="113">
        <v>0.01</v>
      </c>
      <c r="G344" s="114" t="s">
        <v>760</v>
      </c>
      <c r="H344" s="7" t="s">
        <v>830</v>
      </c>
      <c r="I344" s="7" t="s">
        <v>830</v>
      </c>
      <c r="J344" s="115">
        <v>0</v>
      </c>
      <c r="K344" s="104"/>
      <c r="L344" s="104"/>
      <c r="M344" s="113" t="s">
        <v>84</v>
      </c>
      <c r="N344" s="104" t="str">
        <f>IF(K344="","",K344&amp;COUNTIF($K$4:K344,K344))</f>
        <v/>
      </c>
      <c r="O344" s="104"/>
      <c r="P344" s="104"/>
      <c r="Q344" s="104" t="str">
        <f t="shared" si="11"/>
        <v>Hampshire Fire</v>
      </c>
      <c r="R344" s="153" t="s">
        <v>1336</v>
      </c>
      <c r="S344" s="192">
        <f t="shared" si="12"/>
        <v>0</v>
      </c>
      <c r="T344" s="194"/>
    </row>
    <row r="345" spans="1:20" x14ac:dyDescent="0.25">
      <c r="A345" s="7"/>
      <c r="B345" s="113" t="s">
        <v>150</v>
      </c>
      <c r="C345" s="113" t="s">
        <v>773</v>
      </c>
      <c r="D345" s="7"/>
      <c r="E345" s="7"/>
      <c r="F345" s="113">
        <v>0.01</v>
      </c>
      <c r="G345" s="114" t="s">
        <v>760</v>
      </c>
      <c r="H345" s="7" t="s">
        <v>830</v>
      </c>
      <c r="I345" s="7" t="s">
        <v>830</v>
      </c>
      <c r="J345" s="115">
        <v>6.3039729999999992</v>
      </c>
      <c r="K345" s="104"/>
      <c r="L345" s="104"/>
      <c r="M345" s="113" t="s">
        <v>150</v>
      </c>
      <c r="N345" s="104" t="str">
        <f>IF(K345="","",K345&amp;COUNTIF($K$4:K345,K345))</f>
        <v/>
      </c>
      <c r="O345" s="104"/>
      <c r="P345" s="104"/>
      <c r="Q345" s="104" t="str">
        <f t="shared" si="11"/>
        <v>Hereford &amp; Worcester Fire</v>
      </c>
      <c r="R345" s="153" t="s">
        <v>1336</v>
      </c>
      <c r="S345" s="192">
        <f t="shared" si="12"/>
        <v>6.3039729999999988E-2</v>
      </c>
      <c r="T345" s="194"/>
    </row>
    <row r="346" spans="1:20" x14ac:dyDescent="0.25">
      <c r="A346" s="7"/>
      <c r="B346" s="113" t="s">
        <v>275</v>
      </c>
      <c r="C346" s="113" t="s">
        <v>774</v>
      </c>
      <c r="D346" s="7"/>
      <c r="E346" s="7"/>
      <c r="F346" s="113">
        <v>0.01</v>
      </c>
      <c r="G346" s="114" t="s">
        <v>760</v>
      </c>
      <c r="H346" s="7" t="s">
        <v>830</v>
      </c>
      <c r="I346" s="7" t="s">
        <v>830</v>
      </c>
      <c r="J346" s="115">
        <v>4.7522169999999999</v>
      </c>
      <c r="K346" s="104"/>
      <c r="L346" s="104"/>
      <c r="M346" s="113" t="s">
        <v>275</v>
      </c>
      <c r="N346" s="104" t="str">
        <f>IF(K346="","",K346&amp;COUNTIF($K$4:K346,K346))</f>
        <v/>
      </c>
      <c r="O346" s="104"/>
      <c r="P346" s="104"/>
      <c r="Q346" s="104" t="str">
        <f t="shared" si="11"/>
        <v>Humberside Fire</v>
      </c>
      <c r="R346" s="153" t="s">
        <v>1336</v>
      </c>
      <c r="S346" s="192">
        <f t="shared" si="12"/>
        <v>4.7522170000000002E-2</v>
      </c>
      <c r="T346" s="194"/>
    </row>
    <row r="347" spans="1:20" x14ac:dyDescent="0.25">
      <c r="A347" s="7"/>
      <c r="B347" s="113" t="s">
        <v>55</v>
      </c>
      <c r="C347" s="113" t="s">
        <v>775</v>
      </c>
      <c r="D347" s="7"/>
      <c r="E347" s="7"/>
      <c r="F347" s="113">
        <v>0.01</v>
      </c>
      <c r="G347" s="114" t="s">
        <v>760</v>
      </c>
      <c r="H347" s="7" t="s">
        <v>830</v>
      </c>
      <c r="I347" s="7" t="s">
        <v>830</v>
      </c>
      <c r="J347" s="115">
        <v>12.979707000000001</v>
      </c>
      <c r="K347" s="104" t="s">
        <v>56</v>
      </c>
      <c r="L347" s="104"/>
      <c r="M347" s="113" t="s">
        <v>55</v>
      </c>
      <c r="N347" s="104" t="str">
        <f>IF(K347="","",K347&amp;COUNTIF($K$4:K347,K347))</f>
        <v>Kent Business Rates Pool11</v>
      </c>
      <c r="O347" s="104"/>
      <c r="P347" s="104"/>
      <c r="Q347" s="104" t="str">
        <f t="shared" si="11"/>
        <v>Kent Fire</v>
      </c>
      <c r="R347" s="153" t="s">
        <v>1336</v>
      </c>
      <c r="S347" s="192">
        <f t="shared" si="12"/>
        <v>0.12979707000000001</v>
      </c>
      <c r="T347" s="194"/>
    </row>
    <row r="348" spans="1:20" x14ac:dyDescent="0.25">
      <c r="A348" s="7"/>
      <c r="B348" s="113" t="s">
        <v>106</v>
      </c>
      <c r="C348" s="113" t="s">
        <v>776</v>
      </c>
      <c r="D348" s="7"/>
      <c r="E348" s="7"/>
      <c r="F348" s="113">
        <v>0.01</v>
      </c>
      <c r="G348" s="114" t="s">
        <v>760</v>
      </c>
      <c r="H348" s="7" t="s">
        <v>830</v>
      </c>
      <c r="I348" s="7" t="s">
        <v>830</v>
      </c>
      <c r="J348" s="115">
        <v>0</v>
      </c>
      <c r="K348" s="104"/>
      <c r="L348" s="104"/>
      <c r="M348" s="113" t="s">
        <v>106</v>
      </c>
      <c r="N348" s="104" t="str">
        <f>IF(K348="","",K348&amp;COUNTIF($K$4:K348,K348))</f>
        <v/>
      </c>
      <c r="O348" s="104"/>
      <c r="P348" s="104"/>
      <c r="Q348" s="104" t="str">
        <f t="shared" si="11"/>
        <v>Lancashire Fire</v>
      </c>
      <c r="R348" s="153" t="s">
        <v>1336</v>
      </c>
      <c r="S348" s="192">
        <f t="shared" si="12"/>
        <v>0</v>
      </c>
      <c r="T348" s="194"/>
    </row>
    <row r="349" spans="1:20" x14ac:dyDescent="0.25">
      <c r="A349" s="7"/>
      <c r="B349" s="113" t="s">
        <v>102</v>
      </c>
      <c r="C349" s="113" t="s">
        <v>777</v>
      </c>
      <c r="D349" s="7"/>
      <c r="E349" s="7"/>
      <c r="F349" s="113">
        <v>0.01</v>
      </c>
      <c r="G349" s="114" t="s">
        <v>760</v>
      </c>
      <c r="H349" s="7" t="s">
        <v>830</v>
      </c>
      <c r="I349" s="7" t="s">
        <v>830</v>
      </c>
      <c r="J349" s="115">
        <v>0</v>
      </c>
      <c r="K349" s="104" t="s">
        <v>103</v>
      </c>
      <c r="L349" s="104"/>
      <c r="M349" s="113" t="s">
        <v>102</v>
      </c>
      <c r="N349" s="104" t="str">
        <f>IF(K349="","",K349&amp;COUNTIF($K$4:K349,K349))</f>
        <v>Leicestershire Business Rates Pool9</v>
      </c>
      <c r="O349" s="104"/>
      <c r="P349" s="104"/>
      <c r="Q349" s="104" t="str">
        <f t="shared" si="11"/>
        <v>Leicestershire Fire</v>
      </c>
      <c r="R349" s="153" t="s">
        <v>1336</v>
      </c>
      <c r="S349" s="192">
        <f t="shared" si="12"/>
        <v>0</v>
      </c>
      <c r="T349" s="194"/>
    </row>
    <row r="350" spans="1:20" x14ac:dyDescent="0.25">
      <c r="A350" s="7"/>
      <c r="B350" s="113" t="s">
        <v>227</v>
      </c>
      <c r="C350" s="113" t="s">
        <v>778</v>
      </c>
      <c r="D350" s="7"/>
      <c r="E350" s="7"/>
      <c r="F350" s="113">
        <v>0.01</v>
      </c>
      <c r="G350" s="114" t="s">
        <v>760</v>
      </c>
      <c r="H350" s="7" t="s">
        <v>830</v>
      </c>
      <c r="I350" s="7" t="s">
        <v>830</v>
      </c>
      <c r="J350" s="115">
        <v>8.908455</v>
      </c>
      <c r="K350" s="104"/>
      <c r="L350" s="104"/>
      <c r="M350" s="113" t="s">
        <v>227</v>
      </c>
      <c r="N350" s="104" t="str">
        <f>IF(K350="","",K350&amp;COUNTIF($K$4:K350,K350))</f>
        <v/>
      </c>
      <c r="O350" s="104"/>
      <c r="P350" s="104"/>
      <c r="Q350" s="104" t="str">
        <f t="shared" si="11"/>
        <v>North Yorkshire Fire</v>
      </c>
      <c r="R350" s="153" t="s">
        <v>1336</v>
      </c>
      <c r="S350" s="192">
        <f t="shared" si="12"/>
        <v>8.9084549999999998E-2</v>
      </c>
      <c r="T350" s="194"/>
    </row>
    <row r="351" spans="1:20" x14ac:dyDescent="0.25">
      <c r="A351" s="7"/>
      <c r="B351" s="113" t="s">
        <v>51</v>
      </c>
      <c r="C351" s="113" t="s">
        <v>779</v>
      </c>
      <c r="D351" s="7"/>
      <c r="E351" s="7"/>
      <c r="F351" s="113">
        <v>0.01</v>
      </c>
      <c r="G351" s="114" t="s">
        <v>760</v>
      </c>
      <c r="H351" s="7" t="s">
        <v>830</v>
      </c>
      <c r="I351" s="7" t="s">
        <v>830</v>
      </c>
      <c r="J351" s="115">
        <v>4.4281829999999998</v>
      </c>
      <c r="K351" s="104"/>
      <c r="L351" s="104"/>
      <c r="M351" s="113" t="s">
        <v>51</v>
      </c>
      <c r="N351" s="104" t="str">
        <f>IF(K351="","",K351&amp;COUNTIF($K$4:K351,K351))</f>
        <v/>
      </c>
      <c r="O351" s="104"/>
      <c r="P351" s="104"/>
      <c r="Q351" s="104" t="str">
        <f t="shared" si="11"/>
        <v>Nottinghamshire Fire</v>
      </c>
      <c r="R351" s="153" t="s">
        <v>1336</v>
      </c>
      <c r="S351" s="192">
        <f t="shared" si="12"/>
        <v>4.4281830000000001E-2</v>
      </c>
      <c r="T351" s="194"/>
    </row>
    <row r="352" spans="1:20" x14ac:dyDescent="0.25">
      <c r="A352" s="7"/>
      <c r="B352" s="113" t="s">
        <v>570</v>
      </c>
      <c r="C352" s="113" t="s">
        <v>780</v>
      </c>
      <c r="D352" s="7"/>
      <c r="E352" s="7"/>
      <c r="F352" s="113">
        <v>0.01</v>
      </c>
      <c r="G352" s="114" t="s">
        <v>760</v>
      </c>
      <c r="H352" s="7" t="s">
        <v>830</v>
      </c>
      <c r="I352" s="7" t="s">
        <v>830</v>
      </c>
      <c r="J352" s="115">
        <v>0</v>
      </c>
      <c r="K352" s="104"/>
      <c r="L352" s="104"/>
      <c r="M352" s="113" t="s">
        <v>570</v>
      </c>
      <c r="N352" s="104" t="str">
        <f>IF(K352="","",K352&amp;COUNTIF($K$4:K352,K352))</f>
        <v/>
      </c>
      <c r="O352" s="104"/>
      <c r="P352" s="104"/>
      <c r="Q352" s="104" t="str">
        <f t="shared" si="11"/>
        <v>Shropshire Fire</v>
      </c>
      <c r="R352" s="153" t="s">
        <v>1336</v>
      </c>
      <c r="S352" s="192">
        <f t="shared" si="12"/>
        <v>0</v>
      </c>
      <c r="T352" s="194"/>
    </row>
    <row r="353" spans="1:20" x14ac:dyDescent="0.25">
      <c r="A353" s="7"/>
      <c r="B353" s="113" t="s">
        <v>172</v>
      </c>
      <c r="C353" s="113" t="s">
        <v>781</v>
      </c>
      <c r="D353" s="7"/>
      <c r="E353" s="7"/>
      <c r="F353" s="113">
        <v>0.01</v>
      </c>
      <c r="G353" s="114" t="s">
        <v>760</v>
      </c>
      <c r="H353" s="7" t="s">
        <v>830</v>
      </c>
      <c r="I353" s="7" t="s">
        <v>830</v>
      </c>
      <c r="J353" s="115">
        <v>0</v>
      </c>
      <c r="K353" s="104" t="s">
        <v>454</v>
      </c>
      <c r="L353" s="104"/>
      <c r="M353" s="113" t="s">
        <v>172</v>
      </c>
      <c r="N353" s="104" t="str">
        <f>IF(K353="","",K353&amp;COUNTIF($K$4:K353,K353))</f>
        <v>Staffordshire &amp; Stoke on Trent Business Rates Pool6</v>
      </c>
      <c r="O353" s="104"/>
      <c r="P353" s="104"/>
      <c r="Q353" s="104" t="str">
        <f t="shared" si="11"/>
        <v>Staffordshire Fire</v>
      </c>
      <c r="R353" s="153" t="s">
        <v>1336</v>
      </c>
      <c r="S353" s="192">
        <f t="shared" si="12"/>
        <v>0</v>
      </c>
      <c r="T353" s="194"/>
    </row>
    <row r="354" spans="1:20" x14ac:dyDescent="0.25">
      <c r="A354" s="7"/>
      <c r="B354" s="113" t="s">
        <v>113</v>
      </c>
      <c r="C354" s="113" t="s">
        <v>782</v>
      </c>
      <c r="D354" s="7"/>
      <c r="E354" s="7"/>
      <c r="F354" s="113">
        <v>0.01</v>
      </c>
      <c r="G354" s="114" t="s">
        <v>760</v>
      </c>
      <c r="H354" s="7" t="s">
        <v>830</v>
      </c>
      <c r="I354" s="7" t="s">
        <v>830</v>
      </c>
      <c r="J354" s="115">
        <v>0</v>
      </c>
      <c r="K354" s="104"/>
      <c r="L354" s="104"/>
      <c r="M354" s="113" t="s">
        <v>113</v>
      </c>
      <c r="N354" s="104" t="str">
        <f>IF(K354="","",K354&amp;COUNTIF($K$4:K354,K354))</f>
        <v/>
      </c>
      <c r="O354" s="104"/>
      <c r="P354" s="104"/>
      <c r="Q354" s="104" t="str">
        <f t="shared" si="11"/>
        <v>Greater Manchester Fire</v>
      </c>
      <c r="R354" s="153" t="s">
        <v>1336</v>
      </c>
      <c r="S354" s="192">
        <f t="shared" si="12"/>
        <v>0</v>
      </c>
      <c r="T354" s="194"/>
    </row>
    <row r="355" spans="1:20" x14ac:dyDescent="0.25">
      <c r="A355" s="7"/>
      <c r="B355" s="113" t="s">
        <v>394</v>
      </c>
      <c r="C355" s="113" t="s">
        <v>783</v>
      </c>
      <c r="D355" s="7"/>
      <c r="E355" s="7"/>
      <c r="F355" s="113">
        <v>0.01</v>
      </c>
      <c r="G355" s="114" t="s">
        <v>760</v>
      </c>
      <c r="H355" s="7" t="s">
        <v>830</v>
      </c>
      <c r="I355" s="7" t="s">
        <v>830</v>
      </c>
      <c r="J355" s="115">
        <v>15.185007000000001</v>
      </c>
      <c r="K355" s="104"/>
      <c r="L355" s="104"/>
      <c r="M355" s="113" t="s">
        <v>394</v>
      </c>
      <c r="N355" s="104" t="str">
        <f>IF(K355="","",K355&amp;COUNTIF($K$4:K355,K355))</f>
        <v/>
      </c>
      <c r="O355" s="104"/>
      <c r="P355" s="104"/>
      <c r="Q355" s="104" t="str">
        <f t="shared" si="11"/>
        <v>Merseyside Fire</v>
      </c>
      <c r="R355" s="153" t="s">
        <v>1336</v>
      </c>
      <c r="S355" s="192">
        <f t="shared" si="12"/>
        <v>0.15185007</v>
      </c>
      <c r="T355" s="194"/>
    </row>
    <row r="356" spans="1:20" x14ac:dyDescent="0.25">
      <c r="A356" s="7"/>
      <c r="B356" s="113" t="s">
        <v>74</v>
      </c>
      <c r="C356" s="113" t="s">
        <v>784</v>
      </c>
      <c r="D356" s="7"/>
      <c r="E356" s="7"/>
      <c r="F356" s="113">
        <v>0.01</v>
      </c>
      <c r="G356" s="114" t="s">
        <v>760</v>
      </c>
      <c r="H356" s="7" t="s">
        <v>830</v>
      </c>
      <c r="I356" s="7" t="s">
        <v>830</v>
      </c>
      <c r="J356" s="115">
        <v>0</v>
      </c>
      <c r="K356" s="104"/>
      <c r="L356" s="104"/>
      <c r="M356" s="113" t="s">
        <v>74</v>
      </c>
      <c r="N356" s="104" t="str">
        <f>IF(K356="","",K356&amp;COUNTIF($K$4:K356,K356))</f>
        <v/>
      </c>
      <c r="O356" s="104"/>
      <c r="P356" s="104"/>
      <c r="Q356" s="104" t="str">
        <f t="shared" si="11"/>
        <v>South Yorkshire Fire</v>
      </c>
      <c r="R356" s="153" t="s">
        <v>1336</v>
      </c>
      <c r="S356" s="192">
        <f t="shared" si="12"/>
        <v>0</v>
      </c>
      <c r="T356" s="194"/>
    </row>
    <row r="357" spans="1:20" x14ac:dyDescent="0.25">
      <c r="A357" s="7"/>
      <c r="B357" s="113" t="s">
        <v>310</v>
      </c>
      <c r="C357" s="113" t="s">
        <v>785</v>
      </c>
      <c r="D357" s="7"/>
      <c r="E357" s="7"/>
      <c r="F357" s="113">
        <v>0.01</v>
      </c>
      <c r="G357" s="114" t="s">
        <v>760</v>
      </c>
      <c r="H357" s="7" t="s">
        <v>830</v>
      </c>
      <c r="I357" s="7" t="s">
        <v>830</v>
      </c>
      <c r="J357" s="115">
        <v>14.260590000000001</v>
      </c>
      <c r="K357" s="104"/>
      <c r="L357" s="104"/>
      <c r="M357" s="113" t="s">
        <v>310</v>
      </c>
      <c r="N357" s="104" t="str">
        <f>IF(K357="","",K357&amp;COUNTIF($K$4:K357,K357))</f>
        <v/>
      </c>
      <c r="O357" s="104"/>
      <c r="P357" s="104"/>
      <c r="Q357" s="104" t="str">
        <f t="shared" si="11"/>
        <v>Tyne and Wear Fire</v>
      </c>
      <c r="R357" s="153" t="s">
        <v>1336</v>
      </c>
      <c r="S357" s="192">
        <f t="shared" si="12"/>
        <v>0.14260590000000001</v>
      </c>
      <c r="T357" s="194"/>
    </row>
    <row r="358" spans="1:20" x14ac:dyDescent="0.25">
      <c r="A358" s="7"/>
      <c r="B358" s="113" t="s">
        <v>98</v>
      </c>
      <c r="C358" s="113" t="s">
        <v>786</v>
      </c>
      <c r="D358" s="7"/>
      <c r="E358" s="7"/>
      <c r="F358" s="113">
        <v>0.01</v>
      </c>
      <c r="G358" s="114" t="s">
        <v>760</v>
      </c>
      <c r="H358" s="7" t="s">
        <v>830</v>
      </c>
      <c r="I358" s="7" t="s">
        <v>830</v>
      </c>
      <c r="J358" s="115">
        <v>46.073736000000004</v>
      </c>
      <c r="K358" s="104"/>
      <c r="L358" s="104"/>
      <c r="M358" s="113" t="s">
        <v>98</v>
      </c>
      <c r="N358" s="104" t="str">
        <f>IF(K358="","",K358&amp;COUNTIF($K$4:K358,K358))</f>
        <v/>
      </c>
      <c r="O358" s="104"/>
      <c r="P358" s="104"/>
      <c r="Q358" s="104" t="str">
        <f t="shared" si="11"/>
        <v>West Midlands Fire</v>
      </c>
      <c r="R358" s="153" t="s">
        <v>1336</v>
      </c>
      <c r="S358" s="192">
        <f t="shared" si="12"/>
        <v>0.46073736000000004</v>
      </c>
      <c r="T358" s="194"/>
    </row>
    <row r="359" spans="1:20" x14ac:dyDescent="0.25">
      <c r="A359" s="7"/>
      <c r="B359" s="113" t="s">
        <v>125</v>
      </c>
      <c r="C359" s="113" t="s">
        <v>787</v>
      </c>
      <c r="D359" s="7"/>
      <c r="E359" s="7"/>
      <c r="F359" s="113">
        <v>0.01</v>
      </c>
      <c r="G359" s="114" t="s">
        <v>760</v>
      </c>
      <c r="H359" s="7" t="s">
        <v>830</v>
      </c>
      <c r="I359" s="7" t="s">
        <v>830</v>
      </c>
      <c r="J359" s="115">
        <v>26.097453000000002</v>
      </c>
      <c r="K359" s="104"/>
      <c r="L359" s="104"/>
      <c r="M359" s="113" t="s">
        <v>125</v>
      </c>
      <c r="N359" s="104" t="str">
        <f>IF(K359="","",K359&amp;COUNTIF($K$4:K359,K359))</f>
        <v/>
      </c>
      <c r="O359" s="104"/>
      <c r="P359" s="104"/>
      <c r="Q359" s="104" t="str">
        <f t="shared" si="11"/>
        <v>West Yorkshire Fire</v>
      </c>
      <c r="R359" s="153" t="s">
        <v>1336</v>
      </c>
      <c r="S359" s="192">
        <f t="shared" si="12"/>
        <v>0.26097453000000004</v>
      </c>
      <c r="T359" s="194"/>
    </row>
    <row r="360" spans="1:20" x14ac:dyDescent="0.25">
      <c r="A360" s="7"/>
      <c r="B360" s="101"/>
      <c r="C360" s="101"/>
      <c r="D360" s="7"/>
      <c r="E360" s="7"/>
      <c r="F360" s="101"/>
      <c r="G360" s="116"/>
      <c r="H360" s="7"/>
      <c r="I360" s="7"/>
      <c r="J360" s="115"/>
      <c r="K360" s="104"/>
      <c r="L360" s="104"/>
      <c r="M360" s="101"/>
      <c r="N360" s="104" t="str">
        <f>IF(K360="","",K360&amp;COUNTIF($K$4:K360,K360))</f>
        <v/>
      </c>
      <c r="O360" s="104"/>
      <c r="P360" s="104"/>
      <c r="Q360" s="104"/>
      <c r="R360" s="104"/>
      <c r="S360" s="192"/>
      <c r="T360" s="194"/>
    </row>
    <row r="361" spans="1:20" x14ac:dyDescent="0.25">
      <c r="A361" s="7"/>
      <c r="B361" s="101" t="s">
        <v>68</v>
      </c>
      <c r="C361" s="101" t="s">
        <v>788</v>
      </c>
      <c r="D361" s="7"/>
      <c r="E361" s="7"/>
      <c r="F361" s="117">
        <v>0.2</v>
      </c>
      <c r="G361" s="116" t="s">
        <v>789</v>
      </c>
      <c r="H361" s="7" t="s">
        <v>830</v>
      </c>
      <c r="I361" s="7" t="s">
        <v>837</v>
      </c>
      <c r="J361" s="115">
        <v>418.27979361000001</v>
      </c>
      <c r="K361" s="104"/>
      <c r="L361" s="153" t="s">
        <v>1272</v>
      </c>
      <c r="M361" s="101" t="s">
        <v>68</v>
      </c>
      <c r="N361" s="104" t="str">
        <f>IF(K361="","",K361&amp;COUNTIF($K$4:K361,K361))</f>
        <v/>
      </c>
      <c r="O361" s="104"/>
      <c r="P361" s="104"/>
      <c r="Q361" s="104" t="str">
        <f t="shared" si="11"/>
        <v>GLA - all functions</v>
      </c>
      <c r="R361" s="153" t="s">
        <v>790</v>
      </c>
      <c r="S361" s="192">
        <f t="shared" si="12"/>
        <v>83.655958722000008</v>
      </c>
      <c r="T361" s="194"/>
    </row>
    <row r="362" spans="1:20" x14ac:dyDescent="0.25">
      <c r="A362" s="7"/>
      <c r="B362" s="101"/>
      <c r="C362" s="101"/>
      <c r="D362" s="7"/>
      <c r="E362" s="7"/>
      <c r="F362" s="101"/>
      <c r="G362" s="116"/>
      <c r="H362" s="7"/>
      <c r="I362" s="7"/>
      <c r="J362" s="115"/>
      <c r="K362" s="104"/>
      <c r="L362" s="104"/>
      <c r="M362" s="101"/>
      <c r="N362" s="104" t="str">
        <f>IF(K362="","",K362&amp;COUNTIF($K$4:K362,K362))</f>
        <v/>
      </c>
      <c r="O362" s="104"/>
      <c r="P362" s="104"/>
      <c r="Q362" s="104"/>
      <c r="R362" s="104"/>
      <c r="S362" s="192"/>
      <c r="T362" s="194"/>
    </row>
    <row r="363" spans="1:20" x14ac:dyDescent="0.25">
      <c r="A363" s="7"/>
      <c r="B363" s="118" t="s">
        <v>59</v>
      </c>
      <c r="C363" s="118" t="s">
        <v>791</v>
      </c>
      <c r="D363" s="7"/>
      <c r="E363" s="7"/>
      <c r="F363" s="118">
        <v>0.09</v>
      </c>
      <c r="G363" s="119" t="s">
        <v>789</v>
      </c>
      <c r="H363" s="7" t="s">
        <v>830</v>
      </c>
      <c r="I363" s="7" t="s">
        <v>830</v>
      </c>
      <c r="J363" s="115">
        <v>0</v>
      </c>
      <c r="K363" s="104" t="s">
        <v>841</v>
      </c>
      <c r="L363" s="104"/>
      <c r="M363" s="118" t="s">
        <v>59</v>
      </c>
      <c r="N363" s="104" t="str">
        <f>IF(K363="","",K363&amp;COUNTIF($K$4:K363,K363))</f>
        <v>Buckinghamshire Business Rates Pool5</v>
      </c>
      <c r="O363" s="104"/>
      <c r="P363" s="104"/>
      <c r="Q363" s="104" t="str">
        <f t="shared" si="11"/>
        <v>Buckinghamshire</v>
      </c>
      <c r="R363" s="153" t="s">
        <v>1337</v>
      </c>
      <c r="S363" s="192">
        <f t="shared" si="12"/>
        <v>0</v>
      </c>
      <c r="T363" s="194"/>
    </row>
    <row r="364" spans="1:20" x14ac:dyDescent="0.25">
      <c r="A364" s="7"/>
      <c r="B364" s="118" t="s">
        <v>165</v>
      </c>
      <c r="C364" s="118" t="s">
        <v>792</v>
      </c>
      <c r="D364" s="7"/>
      <c r="E364" s="7"/>
      <c r="F364" s="118">
        <v>0.09</v>
      </c>
      <c r="G364" s="119" t="s">
        <v>789</v>
      </c>
      <c r="H364" s="7" t="s">
        <v>830</v>
      </c>
      <c r="I364" s="7" t="s">
        <v>830</v>
      </c>
      <c r="J364" s="115">
        <v>3.552</v>
      </c>
      <c r="K364" s="104"/>
      <c r="L364" s="104"/>
      <c r="M364" s="118" t="s">
        <v>165</v>
      </c>
      <c r="N364" s="104" t="str">
        <f>IF(K364="","",K364&amp;COUNTIF($K$4:K364,K364))</f>
        <v/>
      </c>
      <c r="O364" s="104"/>
      <c r="P364" s="104"/>
      <c r="Q364" s="104" t="str">
        <f t="shared" si="11"/>
        <v>Cambridgeshire</v>
      </c>
      <c r="R364" s="153" t="s">
        <v>1337</v>
      </c>
      <c r="S364" s="192">
        <f t="shared" si="12"/>
        <v>0.31968000000000002</v>
      </c>
      <c r="T364" s="194"/>
    </row>
    <row r="365" spans="1:20" x14ac:dyDescent="0.25">
      <c r="A365" s="7"/>
      <c r="B365" s="118" t="s">
        <v>40</v>
      </c>
      <c r="C365" s="118" t="s">
        <v>793</v>
      </c>
      <c r="D365" s="7"/>
      <c r="E365" s="7"/>
      <c r="F365" s="118">
        <v>0.1</v>
      </c>
      <c r="G365" s="119" t="s">
        <v>789</v>
      </c>
      <c r="H365" s="7" t="s">
        <v>830</v>
      </c>
      <c r="I365" s="7" t="s">
        <v>830</v>
      </c>
      <c r="J365" s="115">
        <v>0</v>
      </c>
      <c r="K365" s="104" t="s">
        <v>41</v>
      </c>
      <c r="L365" s="104"/>
      <c r="M365" s="118" t="s">
        <v>40</v>
      </c>
      <c r="N365" s="104" t="str">
        <f>IF(K365="","",K365&amp;COUNTIF($K$4:K365,K365))</f>
        <v>Cumbria Business Rates Pool6</v>
      </c>
      <c r="O365" s="104"/>
      <c r="P365" s="104"/>
      <c r="Q365" s="104" t="str">
        <f t="shared" si="11"/>
        <v>Cumbria</v>
      </c>
      <c r="R365" s="153" t="s">
        <v>1337</v>
      </c>
      <c r="S365" s="192">
        <f t="shared" si="12"/>
        <v>0</v>
      </c>
      <c r="T365" s="194"/>
    </row>
    <row r="366" spans="1:20" x14ac:dyDescent="0.25">
      <c r="A366" s="7"/>
      <c r="B366" s="118" t="s">
        <v>44</v>
      </c>
      <c r="C366" s="118" t="s">
        <v>794</v>
      </c>
      <c r="D366" s="7"/>
      <c r="E366" s="7"/>
      <c r="F366" s="118">
        <v>0.09</v>
      </c>
      <c r="G366" s="119" t="s">
        <v>789</v>
      </c>
      <c r="H366" s="7" t="s">
        <v>830</v>
      </c>
      <c r="I366" s="7" t="s">
        <v>830</v>
      </c>
      <c r="J366" s="115">
        <v>0</v>
      </c>
      <c r="K366" s="104" t="s">
        <v>1</v>
      </c>
      <c r="L366" s="104"/>
      <c r="M366" s="118" t="s">
        <v>44</v>
      </c>
      <c r="N366" s="104" t="str">
        <f>IF(K366="","",K366&amp;COUNTIF($K$4:K366,K366))</f>
        <v>Derbyshire Business Rates Pool11</v>
      </c>
      <c r="O366" s="104"/>
      <c r="P366" s="104"/>
      <c r="Q366" s="104" t="str">
        <f t="shared" si="11"/>
        <v>Derbyshire</v>
      </c>
      <c r="R366" s="153" t="s">
        <v>1337</v>
      </c>
      <c r="S366" s="192">
        <f t="shared" si="12"/>
        <v>0</v>
      </c>
      <c r="T366" s="194"/>
    </row>
    <row r="367" spans="1:20" x14ac:dyDescent="0.25">
      <c r="A367" s="7"/>
      <c r="B367" s="118" t="s">
        <v>260</v>
      </c>
      <c r="C367" s="118" t="s">
        <v>795</v>
      </c>
      <c r="D367" s="7"/>
      <c r="E367" s="7"/>
      <c r="F367" s="118">
        <v>0.09</v>
      </c>
      <c r="G367" s="119" t="s">
        <v>789</v>
      </c>
      <c r="H367" s="7" t="s">
        <v>830</v>
      </c>
      <c r="I367" s="7" t="s">
        <v>830</v>
      </c>
      <c r="J367" s="115">
        <v>1.4138329999999999</v>
      </c>
      <c r="K367" s="104" t="s">
        <v>262</v>
      </c>
      <c r="L367" s="104"/>
      <c r="M367" s="118" t="s">
        <v>260</v>
      </c>
      <c r="N367" s="104" t="str">
        <f>IF(K367="","",K367&amp;COUNTIF($K$4:K367,K367))</f>
        <v>Devon Business Rates Pool10</v>
      </c>
      <c r="O367" s="104"/>
      <c r="P367" s="104"/>
      <c r="Q367" s="104" t="str">
        <f t="shared" si="11"/>
        <v>Devon</v>
      </c>
      <c r="R367" s="153" t="s">
        <v>1337</v>
      </c>
      <c r="S367" s="192">
        <f t="shared" si="12"/>
        <v>0.12724496999999999</v>
      </c>
      <c r="T367" s="194"/>
    </row>
    <row r="368" spans="1:20" x14ac:dyDescent="0.25">
      <c r="A368" s="7"/>
      <c r="B368" s="118" t="s">
        <v>206</v>
      </c>
      <c r="C368" s="118" t="s">
        <v>796</v>
      </c>
      <c r="D368" s="7"/>
      <c r="E368" s="7"/>
      <c r="F368" s="118">
        <v>0.09</v>
      </c>
      <c r="G368" s="119" t="s">
        <v>789</v>
      </c>
      <c r="H368" s="7" t="s">
        <v>830</v>
      </c>
      <c r="I368" s="7" t="s">
        <v>830</v>
      </c>
      <c r="J368" s="115">
        <v>0</v>
      </c>
      <c r="K368" s="104"/>
      <c r="L368" s="104"/>
      <c r="M368" s="118" t="s">
        <v>206</v>
      </c>
      <c r="N368" s="104" t="str">
        <f>IF(K368="","",K368&amp;COUNTIF($K$4:K368,K368))</f>
        <v/>
      </c>
      <c r="O368" s="104"/>
      <c r="P368" s="104"/>
      <c r="Q368" s="104" t="str">
        <f t="shared" si="11"/>
        <v>Dorset</v>
      </c>
      <c r="R368" s="153" t="s">
        <v>1337</v>
      </c>
      <c r="S368" s="192">
        <f t="shared" si="12"/>
        <v>0</v>
      </c>
      <c r="T368" s="194"/>
    </row>
    <row r="369" spans="1:20" x14ac:dyDescent="0.25">
      <c r="A369" s="7"/>
      <c r="B369" s="118" t="s">
        <v>280</v>
      </c>
      <c r="C369" s="118" t="s">
        <v>797</v>
      </c>
      <c r="D369" s="7"/>
      <c r="E369" s="7"/>
      <c r="F369" s="118">
        <v>0.09</v>
      </c>
      <c r="G369" s="119" t="s">
        <v>789</v>
      </c>
      <c r="H369" s="7" t="s">
        <v>830</v>
      </c>
      <c r="I369" s="7" t="s">
        <v>830</v>
      </c>
      <c r="J369" s="115">
        <v>0</v>
      </c>
      <c r="K369" s="104"/>
      <c r="L369" s="104"/>
      <c r="M369" s="118" t="s">
        <v>280</v>
      </c>
      <c r="N369" s="104" t="str">
        <f>IF(K369="","",K369&amp;COUNTIF($K$4:K369,K369))</f>
        <v/>
      </c>
      <c r="O369" s="104"/>
      <c r="P369" s="104"/>
      <c r="Q369" s="104" t="str">
        <f t="shared" si="11"/>
        <v>East Sussex</v>
      </c>
      <c r="R369" s="153" t="s">
        <v>1337</v>
      </c>
      <c r="S369" s="192">
        <f t="shared" si="12"/>
        <v>0</v>
      </c>
      <c r="T369" s="194"/>
    </row>
    <row r="370" spans="1:20" x14ac:dyDescent="0.25">
      <c r="A370" s="7"/>
      <c r="B370" s="118" t="s">
        <v>79</v>
      </c>
      <c r="C370" s="118" t="s">
        <v>798</v>
      </c>
      <c r="D370" s="7"/>
      <c r="E370" s="7"/>
      <c r="F370" s="118">
        <v>0.09</v>
      </c>
      <c r="G370" s="119" t="s">
        <v>789</v>
      </c>
      <c r="H370" s="7" t="s">
        <v>830</v>
      </c>
      <c r="I370" s="7" t="s">
        <v>830</v>
      </c>
      <c r="J370" s="115">
        <v>0.27439799999999998</v>
      </c>
      <c r="K370" s="104" t="s">
        <v>129</v>
      </c>
      <c r="L370" s="104"/>
      <c r="M370" s="118" t="s">
        <v>79</v>
      </c>
      <c r="N370" s="104" t="str">
        <f>IF(K370="","",K370&amp;COUNTIF($K$4:K370,K370))</f>
        <v>Essex Business Rates Pool11</v>
      </c>
      <c r="O370" s="104"/>
      <c r="P370" s="104"/>
      <c r="Q370" s="104" t="str">
        <f t="shared" si="11"/>
        <v>Essex</v>
      </c>
      <c r="R370" s="153" t="s">
        <v>1337</v>
      </c>
      <c r="S370" s="192">
        <f t="shared" si="12"/>
        <v>2.4695819999999997E-2</v>
      </c>
      <c r="T370" s="194"/>
    </row>
    <row r="371" spans="1:20" x14ac:dyDescent="0.25">
      <c r="A371" s="7"/>
      <c r="B371" s="120" t="s">
        <v>187</v>
      </c>
      <c r="C371" s="120" t="s">
        <v>799</v>
      </c>
      <c r="D371" s="7"/>
      <c r="E371" s="7"/>
      <c r="F371" s="120">
        <v>0.1</v>
      </c>
      <c r="G371" s="119" t="s">
        <v>789</v>
      </c>
      <c r="H371" s="7" t="s">
        <v>830</v>
      </c>
      <c r="I371" s="7" t="s">
        <v>830</v>
      </c>
      <c r="J371" s="115">
        <v>2.5660660000000002</v>
      </c>
      <c r="K371" s="104" t="s">
        <v>188</v>
      </c>
      <c r="L371" s="104"/>
      <c r="M371" s="120" t="s">
        <v>187</v>
      </c>
      <c r="N371" s="104" t="str">
        <f>IF(K371="","",K371&amp;COUNTIF($K$4:K371,K371))</f>
        <v>Gloucestershire Business Rates Pool6</v>
      </c>
      <c r="O371" s="104"/>
      <c r="P371" s="104"/>
      <c r="Q371" s="104" t="str">
        <f t="shared" si="11"/>
        <v>Gloucestershire</v>
      </c>
      <c r="R371" s="153" t="s">
        <v>1337</v>
      </c>
      <c r="S371" s="192">
        <f t="shared" si="12"/>
        <v>0.25660660000000002</v>
      </c>
      <c r="T371" s="194"/>
    </row>
    <row r="372" spans="1:20" x14ac:dyDescent="0.25">
      <c r="A372" s="7"/>
      <c r="B372" s="118" t="s">
        <v>83</v>
      </c>
      <c r="C372" s="118" t="s">
        <v>800</v>
      </c>
      <c r="D372" s="7"/>
      <c r="E372" s="7"/>
      <c r="F372" s="118">
        <v>0.09</v>
      </c>
      <c r="G372" s="119" t="s">
        <v>789</v>
      </c>
      <c r="H372" s="7" t="s">
        <v>830</v>
      </c>
      <c r="I372" s="7" t="s">
        <v>830</v>
      </c>
      <c r="J372" s="115">
        <v>0</v>
      </c>
      <c r="K372" s="104"/>
      <c r="L372" s="104"/>
      <c r="M372" s="118" t="s">
        <v>83</v>
      </c>
      <c r="N372" s="104" t="str">
        <f>IF(K372="","",K372&amp;COUNTIF($K$4:K372,K372))</f>
        <v/>
      </c>
      <c r="O372" s="104"/>
      <c r="P372" s="104"/>
      <c r="Q372" s="104" t="str">
        <f t="shared" si="11"/>
        <v>Hampshire</v>
      </c>
      <c r="R372" s="153" t="s">
        <v>1337</v>
      </c>
      <c r="S372" s="192">
        <f t="shared" si="12"/>
        <v>0</v>
      </c>
      <c r="T372" s="194"/>
    </row>
    <row r="373" spans="1:20" x14ac:dyDescent="0.25">
      <c r="A373" s="7"/>
      <c r="B373" s="118" t="s">
        <v>153</v>
      </c>
      <c r="C373" s="118" t="s">
        <v>801</v>
      </c>
      <c r="D373" s="7"/>
      <c r="E373" s="7"/>
      <c r="F373" s="118">
        <v>0.1</v>
      </c>
      <c r="G373" s="119" t="s">
        <v>789</v>
      </c>
      <c r="H373" s="7" t="s">
        <v>830</v>
      </c>
      <c r="I373" s="7" t="s">
        <v>830</v>
      </c>
      <c r="J373" s="115">
        <v>1.859264</v>
      </c>
      <c r="K373" s="104"/>
      <c r="L373" s="104"/>
      <c r="M373" s="118" t="s">
        <v>153</v>
      </c>
      <c r="N373" s="104" t="str">
        <f>IF(K373="","",K373&amp;COUNTIF($K$4:K373,K373))</f>
        <v/>
      </c>
      <c r="O373" s="104"/>
      <c r="P373" s="104"/>
      <c r="Q373" s="104" t="str">
        <f t="shared" si="11"/>
        <v>Hertfordshire</v>
      </c>
      <c r="R373" s="153" t="s">
        <v>1337</v>
      </c>
      <c r="S373" s="192">
        <f t="shared" si="12"/>
        <v>0.18592640000000002</v>
      </c>
      <c r="T373" s="194"/>
    </row>
    <row r="374" spans="1:20" x14ac:dyDescent="0.25">
      <c r="A374" s="7"/>
      <c r="B374" s="118" t="s">
        <v>54</v>
      </c>
      <c r="C374" s="118" t="s">
        <v>802</v>
      </c>
      <c r="D374" s="7"/>
      <c r="E374" s="7"/>
      <c r="F374" s="118">
        <v>0.09</v>
      </c>
      <c r="G374" s="119" t="s">
        <v>789</v>
      </c>
      <c r="H374" s="7" t="s">
        <v>830</v>
      </c>
      <c r="I374" s="7" t="s">
        <v>830</v>
      </c>
      <c r="J374" s="115">
        <v>6.1516570000000002</v>
      </c>
      <c r="K374" s="104" t="s">
        <v>56</v>
      </c>
      <c r="L374" s="104"/>
      <c r="M374" s="118" t="s">
        <v>54</v>
      </c>
      <c r="N374" s="104" t="str">
        <f>IF(K374="","",K374&amp;COUNTIF($K$4:K374,K374))</f>
        <v>Kent Business Rates Pool12</v>
      </c>
      <c r="O374" s="104"/>
      <c r="P374" s="104"/>
      <c r="Q374" s="104" t="str">
        <f t="shared" si="11"/>
        <v>Kent</v>
      </c>
      <c r="R374" s="153" t="s">
        <v>1337</v>
      </c>
      <c r="S374" s="192">
        <f t="shared" si="12"/>
        <v>0.55364913000000004</v>
      </c>
      <c r="T374" s="194"/>
    </row>
    <row r="375" spans="1:20" x14ac:dyDescent="0.25">
      <c r="A375" s="7"/>
      <c r="B375" s="118" t="s">
        <v>158</v>
      </c>
      <c r="C375" s="118" t="s">
        <v>803</v>
      </c>
      <c r="D375" s="7"/>
      <c r="E375" s="7"/>
      <c r="F375" s="118">
        <v>0.09</v>
      </c>
      <c r="G375" s="119" t="s">
        <v>789</v>
      </c>
      <c r="H375" s="7" t="s">
        <v>830</v>
      </c>
      <c r="I375" s="7" t="s">
        <v>830</v>
      </c>
      <c r="J375" s="115">
        <v>0</v>
      </c>
      <c r="K375" s="104" t="s">
        <v>914</v>
      </c>
      <c r="L375" s="104"/>
      <c r="M375" s="118" t="s">
        <v>158</v>
      </c>
      <c r="N375" s="104" t="str">
        <f>IF(K375="","",K375&amp;COUNTIF($K$4:K375,K375))</f>
        <v>Lancashire Business Rates Pool10</v>
      </c>
      <c r="O375" s="104"/>
      <c r="P375" s="104"/>
      <c r="Q375" s="104" t="str">
        <f t="shared" si="11"/>
        <v>Lancashire</v>
      </c>
      <c r="R375" s="153" t="s">
        <v>1337</v>
      </c>
      <c r="S375" s="192">
        <f t="shared" si="12"/>
        <v>0</v>
      </c>
      <c r="T375" s="194"/>
    </row>
    <row r="376" spans="1:20" x14ac:dyDescent="0.25">
      <c r="A376" s="7"/>
      <c r="B376" s="118" t="s">
        <v>101</v>
      </c>
      <c r="C376" s="118" t="s">
        <v>804</v>
      </c>
      <c r="D376" s="7"/>
      <c r="E376" s="7"/>
      <c r="F376" s="118">
        <v>0.09</v>
      </c>
      <c r="G376" s="119" t="s">
        <v>789</v>
      </c>
      <c r="H376" s="7" t="s">
        <v>830</v>
      </c>
      <c r="I376" s="7" t="s">
        <v>830</v>
      </c>
      <c r="J376" s="115">
        <v>0</v>
      </c>
      <c r="K376" s="104" t="s">
        <v>103</v>
      </c>
      <c r="L376" s="104"/>
      <c r="M376" s="118" t="s">
        <v>101</v>
      </c>
      <c r="N376" s="104" t="str">
        <f>IF(K376="","",K376&amp;COUNTIF($K$4:K376,K376))</f>
        <v>Leicestershire Business Rates Pool10</v>
      </c>
      <c r="O376" s="104"/>
      <c r="P376" s="104"/>
      <c r="Q376" s="104" t="str">
        <f t="shared" si="11"/>
        <v>Leicestershire</v>
      </c>
      <c r="R376" s="153" t="s">
        <v>1337</v>
      </c>
      <c r="S376" s="192">
        <f t="shared" si="12"/>
        <v>0</v>
      </c>
      <c r="T376" s="194"/>
    </row>
    <row r="377" spans="1:20" x14ac:dyDescent="0.25">
      <c r="A377" s="7"/>
      <c r="B377" s="118" t="s">
        <v>116</v>
      </c>
      <c r="C377" s="118" t="s">
        <v>805</v>
      </c>
      <c r="D377" s="7"/>
      <c r="E377" s="7"/>
      <c r="F377" s="118">
        <v>0.1</v>
      </c>
      <c r="G377" s="119" t="s">
        <v>789</v>
      </c>
      <c r="H377" s="7" t="s">
        <v>830</v>
      </c>
      <c r="I377" s="7" t="s">
        <v>830</v>
      </c>
      <c r="J377" s="115">
        <v>1.736273</v>
      </c>
      <c r="K377" s="104" t="s">
        <v>117</v>
      </c>
      <c r="L377" s="104"/>
      <c r="M377" s="118" t="s">
        <v>116</v>
      </c>
      <c r="N377" s="104" t="str">
        <f>IF(K377="","",K377&amp;COUNTIF($K$4:K377,K377))</f>
        <v>Lincolnshire Business Rates Pool7</v>
      </c>
      <c r="O377" s="104"/>
      <c r="P377" s="104"/>
      <c r="Q377" s="104" t="str">
        <f t="shared" si="11"/>
        <v>Lincolnshire</v>
      </c>
      <c r="R377" s="153" t="s">
        <v>1337</v>
      </c>
      <c r="S377" s="192">
        <f t="shared" si="12"/>
        <v>0.17362730000000001</v>
      </c>
      <c r="T377" s="194"/>
    </row>
    <row r="378" spans="1:20" x14ac:dyDescent="0.25">
      <c r="A378" s="7"/>
      <c r="B378" s="118" t="s">
        <v>132</v>
      </c>
      <c r="C378" s="118" t="s">
        <v>806</v>
      </c>
      <c r="D378" s="7"/>
      <c r="E378" s="7"/>
      <c r="F378" s="118">
        <v>0.1</v>
      </c>
      <c r="G378" s="119" t="s">
        <v>789</v>
      </c>
      <c r="H378" s="7" t="s">
        <v>830</v>
      </c>
      <c r="I378" s="7" t="s">
        <v>830</v>
      </c>
      <c r="J378" s="115">
        <v>0</v>
      </c>
      <c r="K378" s="104" t="s">
        <v>133</v>
      </c>
      <c r="L378" s="104"/>
      <c r="M378" s="118" t="s">
        <v>132</v>
      </c>
      <c r="N378" s="104" t="str">
        <f>IF(K378="","",K378&amp;COUNTIF($K$4:K378,K378))</f>
        <v>Norfolk Business Rates Pool7</v>
      </c>
      <c r="O378" s="104"/>
      <c r="P378" s="104"/>
      <c r="Q378" s="104" t="str">
        <f t="shared" si="11"/>
        <v>Norfolk</v>
      </c>
      <c r="R378" s="153" t="s">
        <v>1337</v>
      </c>
      <c r="S378" s="192">
        <f t="shared" si="12"/>
        <v>0</v>
      </c>
      <c r="T378" s="194"/>
    </row>
    <row r="379" spans="1:20" x14ac:dyDescent="0.25">
      <c r="A379" s="7"/>
      <c r="B379" s="118" t="s">
        <v>226</v>
      </c>
      <c r="C379" s="118" t="s">
        <v>228</v>
      </c>
      <c r="D379" s="7"/>
      <c r="E379" s="7"/>
      <c r="F379" s="118">
        <v>0.09</v>
      </c>
      <c r="G379" s="119" t="s">
        <v>789</v>
      </c>
      <c r="H379" s="7" t="s">
        <v>830</v>
      </c>
      <c r="I379" s="7" t="s">
        <v>830</v>
      </c>
      <c r="J379" s="115">
        <v>0</v>
      </c>
      <c r="K379" s="104" t="s">
        <v>817</v>
      </c>
      <c r="L379" s="104"/>
      <c r="M379" s="118" t="s">
        <v>226</v>
      </c>
      <c r="N379" s="104" t="str">
        <f>IF(K379="","",K379&amp;COUNTIF($K$4:K379,K379))</f>
        <v>North Yorkshire Business Rates Pool6</v>
      </c>
      <c r="O379" s="104"/>
      <c r="P379" s="104"/>
      <c r="Q379" s="104" t="str">
        <f t="shared" si="11"/>
        <v>North Yorkshire</v>
      </c>
      <c r="R379" s="153" t="s">
        <v>1337</v>
      </c>
      <c r="S379" s="192">
        <f t="shared" si="12"/>
        <v>0</v>
      </c>
      <c r="T379" s="194"/>
    </row>
    <row r="380" spans="1:20" x14ac:dyDescent="0.25">
      <c r="A380" s="7"/>
      <c r="B380" s="118" t="s">
        <v>215</v>
      </c>
      <c r="C380" s="118" t="s">
        <v>807</v>
      </c>
      <c r="D380" s="7"/>
      <c r="E380" s="7"/>
      <c r="F380" s="118">
        <v>0.1</v>
      </c>
      <c r="G380" s="119" t="s">
        <v>789</v>
      </c>
      <c r="H380" s="7" t="s">
        <v>830</v>
      </c>
      <c r="I380" s="7" t="s">
        <v>837</v>
      </c>
      <c r="J380" s="115">
        <v>7.5601971999999993</v>
      </c>
      <c r="K380" s="104" t="s">
        <v>216</v>
      </c>
      <c r="L380" s="104"/>
      <c r="M380" s="118" t="s">
        <v>215</v>
      </c>
      <c r="N380" s="104" t="str">
        <f>IF(K380="","",K380&amp;COUNTIF($K$4:K380,K380))</f>
        <v>Northamptonshire Business Rates Pool7</v>
      </c>
      <c r="O380" s="104"/>
      <c r="P380" s="104"/>
      <c r="Q380" s="104" t="str">
        <f t="shared" si="11"/>
        <v>Northamptonshire</v>
      </c>
      <c r="R380" s="153" t="s">
        <v>1337</v>
      </c>
      <c r="S380" s="192">
        <f t="shared" si="12"/>
        <v>0.75601971999999995</v>
      </c>
      <c r="T380" s="194"/>
    </row>
    <row r="381" spans="1:20" x14ac:dyDescent="0.25">
      <c r="A381" s="7"/>
      <c r="B381" s="118" t="s">
        <v>50</v>
      </c>
      <c r="C381" s="118" t="s">
        <v>808</v>
      </c>
      <c r="D381" s="7"/>
      <c r="E381" s="7"/>
      <c r="F381" s="118">
        <v>0.09</v>
      </c>
      <c r="G381" s="119" t="s">
        <v>789</v>
      </c>
      <c r="H381" s="7" t="s">
        <v>830</v>
      </c>
      <c r="I381" s="7" t="s">
        <v>830</v>
      </c>
      <c r="J381" s="115">
        <v>4.4281829999999998</v>
      </c>
      <c r="K381" s="104" t="s">
        <v>835</v>
      </c>
      <c r="L381" s="104"/>
      <c r="M381" s="118" t="s">
        <v>50</v>
      </c>
      <c r="N381" s="104" t="str">
        <f>IF(K381="","",K381&amp;COUNTIF($K$4:K381,K381))</f>
        <v>Nottingham Business Rates Pool8</v>
      </c>
      <c r="O381" s="104"/>
      <c r="P381" s="104"/>
      <c r="Q381" s="104" t="str">
        <f t="shared" si="11"/>
        <v>Nottinghamshire</v>
      </c>
      <c r="R381" s="153" t="s">
        <v>1337</v>
      </c>
      <c r="S381" s="192">
        <f t="shared" si="12"/>
        <v>0.39853646999999998</v>
      </c>
      <c r="T381" s="194"/>
    </row>
    <row r="382" spans="1:20" x14ac:dyDescent="0.25">
      <c r="A382" s="7"/>
      <c r="B382" s="118" t="s">
        <v>191</v>
      </c>
      <c r="C382" s="118" t="s">
        <v>809</v>
      </c>
      <c r="D382" s="7"/>
      <c r="E382" s="7"/>
      <c r="F382" s="118">
        <v>0.1</v>
      </c>
      <c r="G382" s="119" t="s">
        <v>789</v>
      </c>
      <c r="H382" s="7" t="s">
        <v>830</v>
      </c>
      <c r="I382" s="7" t="s">
        <v>830</v>
      </c>
      <c r="J382" s="115">
        <v>0</v>
      </c>
      <c r="K382" s="104" t="s">
        <v>903</v>
      </c>
      <c r="L382" s="104"/>
      <c r="M382" s="118" t="s">
        <v>191</v>
      </c>
      <c r="N382" s="104" t="str">
        <f>IF(K382="","",K382&amp;COUNTIF($K$4:K382,K382))</f>
        <v>North Oxfordshire Business Rates Pool3</v>
      </c>
      <c r="O382" s="104"/>
      <c r="P382" s="104"/>
      <c r="Q382" s="104" t="str">
        <f t="shared" si="11"/>
        <v>Oxfordshire</v>
      </c>
      <c r="R382" s="153" t="s">
        <v>1337</v>
      </c>
      <c r="S382" s="192">
        <f t="shared" si="12"/>
        <v>0</v>
      </c>
      <c r="T382" s="194"/>
    </row>
    <row r="383" spans="1:20" x14ac:dyDescent="0.25">
      <c r="A383" s="7"/>
      <c r="B383" s="118" t="s">
        <v>432</v>
      </c>
      <c r="C383" s="118" t="s">
        <v>810</v>
      </c>
      <c r="D383" s="7"/>
      <c r="E383" s="7"/>
      <c r="F383" s="118">
        <v>0.09</v>
      </c>
      <c r="G383" s="119" t="s">
        <v>789</v>
      </c>
      <c r="H383" s="7" t="s">
        <v>830</v>
      </c>
      <c r="I383" s="7" t="s">
        <v>830</v>
      </c>
      <c r="J383" s="115">
        <v>0</v>
      </c>
      <c r="K383" s="104" t="s">
        <v>90</v>
      </c>
      <c r="L383" s="104"/>
      <c r="M383" s="118" t="s">
        <v>432</v>
      </c>
      <c r="N383" s="104" t="str">
        <f>IF(K383="","",K383&amp;COUNTIF($K$4:K383,K383))</f>
        <v>Somerset Business Rates Pool3</v>
      </c>
      <c r="O383" s="104"/>
      <c r="P383" s="104"/>
      <c r="Q383" s="104" t="str">
        <f t="shared" si="11"/>
        <v>Somerset</v>
      </c>
      <c r="R383" s="153" t="s">
        <v>1337</v>
      </c>
      <c r="S383" s="192">
        <f t="shared" si="12"/>
        <v>0</v>
      </c>
      <c r="T383" s="194"/>
    </row>
    <row r="384" spans="1:20" x14ac:dyDescent="0.25">
      <c r="A384" s="7"/>
      <c r="B384" s="118" t="s">
        <v>171</v>
      </c>
      <c r="C384" s="118" t="s">
        <v>811</v>
      </c>
      <c r="D384" s="7"/>
      <c r="E384" s="7"/>
      <c r="F384" s="118">
        <v>0.09</v>
      </c>
      <c r="G384" s="119" t="s">
        <v>789</v>
      </c>
      <c r="H384" s="7" t="s">
        <v>830</v>
      </c>
      <c r="I384" s="7" t="s">
        <v>830</v>
      </c>
      <c r="J384" s="115">
        <v>0</v>
      </c>
      <c r="K384" s="104" t="s">
        <v>454</v>
      </c>
      <c r="L384" s="104"/>
      <c r="M384" s="118" t="s">
        <v>171</v>
      </c>
      <c r="N384" s="104" t="str">
        <f>IF(K384="","",K384&amp;COUNTIF($K$4:K384,K384))</f>
        <v>Staffordshire &amp; Stoke on Trent Business Rates Pool7</v>
      </c>
      <c r="O384" s="104"/>
      <c r="P384" s="104"/>
      <c r="Q384" s="104" t="str">
        <f t="shared" si="11"/>
        <v>Staffordshire</v>
      </c>
      <c r="R384" s="153" t="s">
        <v>1337</v>
      </c>
      <c r="S384" s="192">
        <f t="shared" si="12"/>
        <v>0</v>
      </c>
      <c r="T384" s="194"/>
    </row>
    <row r="385" spans="1:20" x14ac:dyDescent="0.25">
      <c r="A385" s="7"/>
      <c r="B385" s="118" t="s">
        <v>64</v>
      </c>
      <c r="C385" s="118" t="s">
        <v>812</v>
      </c>
      <c r="D385" s="7"/>
      <c r="E385" s="7"/>
      <c r="F385" s="118">
        <v>0.1</v>
      </c>
      <c r="G385" s="119" t="s">
        <v>789</v>
      </c>
      <c r="H385" s="7" t="s">
        <v>830</v>
      </c>
      <c r="I385" s="7" t="s">
        <v>830</v>
      </c>
      <c r="J385" s="115">
        <v>0</v>
      </c>
      <c r="K385" s="104" t="s">
        <v>65</v>
      </c>
      <c r="L385" s="104"/>
      <c r="M385" s="118" t="s">
        <v>64</v>
      </c>
      <c r="N385" s="104" t="str">
        <f>IF(K385="","",K385&amp;COUNTIF($K$4:K385,K385))</f>
        <v>Suffolk Business Rates Pool8</v>
      </c>
      <c r="O385" s="104"/>
      <c r="P385" s="104"/>
      <c r="Q385" s="104" t="str">
        <f t="shared" si="11"/>
        <v>Suffolk</v>
      </c>
      <c r="R385" s="153" t="s">
        <v>1337</v>
      </c>
      <c r="S385" s="192">
        <f t="shared" si="12"/>
        <v>0</v>
      </c>
      <c r="T385" s="194"/>
    </row>
    <row r="386" spans="1:20" x14ac:dyDescent="0.25">
      <c r="A386" s="7"/>
      <c r="B386" s="118" t="s">
        <v>287</v>
      </c>
      <c r="C386" s="118" t="s">
        <v>813</v>
      </c>
      <c r="D386" s="7"/>
      <c r="E386" s="7"/>
      <c r="F386" s="118">
        <v>0.1</v>
      </c>
      <c r="G386" s="119" t="s">
        <v>789</v>
      </c>
      <c r="H386" s="7" t="s">
        <v>830</v>
      </c>
      <c r="I386" s="7" t="s">
        <v>830</v>
      </c>
      <c r="J386" s="115">
        <v>2.8</v>
      </c>
      <c r="K386" s="104" t="s">
        <v>929</v>
      </c>
      <c r="L386" s="104"/>
      <c r="M386" s="118" t="s">
        <v>287</v>
      </c>
      <c r="N386" s="104" t="str">
        <f>IF(K386="","",K386&amp;COUNTIF($K$4:K386,K386))</f>
        <v>Surrey-Croydon Business Rates Pool7</v>
      </c>
      <c r="O386" s="104"/>
      <c r="P386" s="104"/>
      <c r="Q386" s="104" t="str">
        <f t="shared" si="11"/>
        <v>Surrey</v>
      </c>
      <c r="R386" s="153" t="s">
        <v>1337</v>
      </c>
      <c r="S386" s="192">
        <f t="shared" si="12"/>
        <v>0.27999999999999997</v>
      </c>
      <c r="T386" s="194"/>
    </row>
    <row r="387" spans="1:20" x14ac:dyDescent="0.25">
      <c r="A387" s="7"/>
      <c r="B387" s="118" t="s">
        <v>479</v>
      </c>
      <c r="C387" s="118" t="s">
        <v>814</v>
      </c>
      <c r="D387" s="7"/>
      <c r="E387" s="7"/>
      <c r="F387" s="118">
        <v>0.1</v>
      </c>
      <c r="G387" s="119" t="s">
        <v>789</v>
      </c>
      <c r="H387" s="7" t="s">
        <v>830</v>
      </c>
      <c r="I387" s="7" t="s">
        <v>830</v>
      </c>
      <c r="J387" s="115">
        <v>0</v>
      </c>
      <c r="K387" s="104" t="s">
        <v>223</v>
      </c>
      <c r="L387" s="104"/>
      <c r="M387" s="118" t="s">
        <v>479</v>
      </c>
      <c r="N387" s="104" t="str">
        <f>IF(K387="","",K387&amp;COUNTIF($K$4:K387,K387))</f>
        <v>Coventry &amp; Warwickshire Business Rates Pool7</v>
      </c>
      <c r="O387" s="104"/>
      <c r="P387" s="104"/>
      <c r="Q387" s="104" t="str">
        <f t="shared" si="11"/>
        <v>Warwickshire</v>
      </c>
      <c r="R387" s="153" t="s">
        <v>1337</v>
      </c>
      <c r="S387" s="192">
        <f t="shared" si="12"/>
        <v>0</v>
      </c>
      <c r="T387" s="194"/>
    </row>
    <row r="388" spans="1:20" x14ac:dyDescent="0.25">
      <c r="A388" s="7"/>
      <c r="B388" s="118" t="s">
        <v>35</v>
      </c>
      <c r="C388" s="118" t="s">
        <v>815</v>
      </c>
      <c r="D388" s="7"/>
      <c r="E388" s="7"/>
      <c r="F388" s="118">
        <v>0.1</v>
      </c>
      <c r="G388" s="119" t="s">
        <v>789</v>
      </c>
      <c r="H388" s="7" t="s">
        <v>830</v>
      </c>
      <c r="I388" s="7" t="s">
        <v>830</v>
      </c>
      <c r="J388" s="115">
        <v>0</v>
      </c>
      <c r="K388" s="104" t="s">
        <v>37</v>
      </c>
      <c r="L388" s="104"/>
      <c r="M388" s="118" t="s">
        <v>35</v>
      </c>
      <c r="N388" s="104" t="str">
        <f>IF(K388="","",K388&amp;COUNTIF($K$4:K388,K388))</f>
        <v>West Sussex Business Rates Pool5</v>
      </c>
      <c r="O388" s="104"/>
      <c r="P388" s="104"/>
      <c r="Q388" s="104" t="str">
        <f t="shared" si="11"/>
        <v>West Sussex</v>
      </c>
      <c r="R388" s="153" t="s">
        <v>1337</v>
      </c>
      <c r="S388" s="192">
        <f t="shared" si="12"/>
        <v>0</v>
      </c>
      <c r="T388" s="194"/>
    </row>
    <row r="389" spans="1:20" x14ac:dyDescent="0.25">
      <c r="A389" s="7"/>
      <c r="B389" s="118" t="s">
        <v>149</v>
      </c>
      <c r="C389" s="118" t="s">
        <v>816</v>
      </c>
      <c r="D389" s="7"/>
      <c r="E389" s="7"/>
      <c r="F389" s="118">
        <v>0.09</v>
      </c>
      <c r="G389" s="119" t="s">
        <v>789</v>
      </c>
      <c r="H389" s="7" t="s">
        <v>830</v>
      </c>
      <c r="I389" s="7" t="s">
        <v>830</v>
      </c>
      <c r="J389" s="115">
        <v>4.7007779999999997</v>
      </c>
      <c r="K389" s="104" t="s">
        <v>421</v>
      </c>
      <c r="L389" s="104"/>
      <c r="M389" s="118" t="s">
        <v>149</v>
      </c>
      <c r="N389" s="104" t="str">
        <f>IF(K389="","",K389&amp;COUNTIF($K$4:K389,K389))</f>
        <v>Worcestershire Business Rates Pool4</v>
      </c>
      <c r="O389" s="104"/>
      <c r="P389" s="104"/>
      <c r="Q389" s="104" t="str">
        <f>C389</f>
        <v>Worcestershire</v>
      </c>
      <c r="R389" s="153" t="s">
        <v>1337</v>
      </c>
      <c r="S389" s="192">
        <f>J389*F389</f>
        <v>0.42307001999999994</v>
      </c>
      <c r="T389" s="194"/>
    </row>
  </sheetData>
  <autoFilter ref="A3:R389"/>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9715EF2-DADC-4171-8620-D5D8BB9A540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Calculator</vt:lpstr>
      <vt:lpstr>Working Sheet</vt:lpstr>
      <vt:lpstr>KI 2017-18</vt:lpstr>
      <vt:lpstr>KI 2018-19</vt:lpstr>
      <vt:lpstr>KI 2018-19 (P)</vt:lpstr>
      <vt:lpstr>Data</vt:lpstr>
      <vt:lpstr>Data!Part2</vt:lpstr>
      <vt:lpstr>Calculator!Print_Area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Brand</dc:creator>
  <cp:lastModifiedBy>John Norman</cp:lastModifiedBy>
  <cp:lastPrinted>2018-04-18T10:32:49Z</cp:lastPrinted>
  <dcterms:created xsi:type="dcterms:W3CDTF">2016-08-02T13:54:43Z</dcterms:created>
  <dcterms:modified xsi:type="dcterms:W3CDTF">2018-07-20T08:19:14Z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ece807dc-5289-428f-8933-7c5a7e5006c3</vt:lpwstr>
  </property>
  <property fmtid="{D5CDD505-2E9C-101B-9397-08002B2CF9AE}" pid="3" name="bjSaver">
    <vt:lpwstr>x83X+1/811XqcBvxUzZI2s9tCYeE/WZu</vt:lpwstr>
  </property>
  <property fmtid="{D5CDD505-2E9C-101B-9397-08002B2CF9AE}" pid="4" name="bjDocumentSecurityLabel">
    <vt:lpwstr>No Marking</vt:lpwstr>
  </property>
</Properties>
</file>