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charts/chart11.xml" ContentType="application/vnd.openxmlformats-officedocument.drawingml.chart+xml"/>
  <Override PartName="/xl/drawings/drawing6.xml" ContentType="application/vnd.openxmlformats-officedocument.drawingml.chartshapes+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3.xml" ContentType="application/vnd.openxmlformats-officedocument.drawing+xml"/>
  <Override PartName="/xl/charts/chart18.xml" ContentType="application/vnd.openxmlformats-officedocument.drawingml.chart+xml"/>
  <Override PartName="/xl/drawings/drawing14.xml" ContentType="application/vnd.openxmlformats-officedocument.drawingml.chartshapes+xml"/>
  <Override PartName="/xl/charts/chart1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20.xml" ContentType="application/vnd.openxmlformats-officedocument.drawingml.chart+xml"/>
  <Override PartName="/xl/drawings/drawing17.xml" ContentType="application/vnd.openxmlformats-officedocument.drawingml.chartshapes+xml"/>
  <Override PartName="/xl/charts/chart21.xml" ContentType="application/vnd.openxmlformats-officedocument.drawingml.chart+xml"/>
  <Override PartName="/xl/drawings/drawing1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2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25.xml" ContentType="application/vnd.openxmlformats-officedocument.drawingml.chart+xml"/>
  <Override PartName="/xl/drawings/drawing23.xml" ContentType="application/vnd.openxmlformats-officedocument.drawingml.chartshapes+xml"/>
  <Override PartName="/xl/charts/chart26.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27.xml" ContentType="application/vnd.openxmlformats-officedocument.drawingml.chart+xml"/>
  <Override PartName="/xl/drawings/drawing26.xml" ContentType="application/vnd.openxmlformats-officedocument.drawingml.chartshapes+xml"/>
  <Override PartName="/xl/charts/chart28.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updateLinks="never" codeName="ThisWorkbook" defaultThemeVersion="153222"/>
  <mc:AlternateContent xmlns:mc="http://schemas.openxmlformats.org/markup-compatibility/2006">
    <mc:Choice Requires="x15">
      <x15ac:absPath xmlns:x15ac="http://schemas.microsoft.com/office/spreadsheetml/2010/11/ac" url="O:\Business Planning &amp; Performance\21 Corporate Scorecard and EDT Reports\1718\Corporate Branding Version\old versions\"/>
    </mc:Choice>
  </mc:AlternateContent>
  <workbookProtection workbookPassword="BBC7" lockStructure="1"/>
  <bookViews>
    <workbookView xWindow="0" yWindow="0" windowWidth="19200" windowHeight="6630" firstSheet="5" activeTab="14"/>
  </bookViews>
  <sheets>
    <sheet name="CSC 17-18 Front Page" sheetId="2" r:id="rId1"/>
    <sheet name="1 EA 1    " sheetId="3" r:id="rId2"/>
    <sheet name="1 EA 2" sheetId="5" r:id="rId3"/>
    <sheet name="1 EA 2 Data Sheet" sheetId="6" state="veryHidden" r:id="rId4"/>
    <sheet name="1 EA 3  " sheetId="7" r:id="rId5"/>
    <sheet name="1 EA 4" sheetId="9" r:id="rId6"/>
    <sheet name="4 EA 5" sheetId="11" r:id="rId7"/>
    <sheet name="4 EA 5 Data Sheet" sheetId="12" state="veryHidden" r:id="rId8"/>
    <sheet name="4 EA 6" sheetId="13" r:id="rId9"/>
    <sheet name="4 EA 7 " sheetId="15" r:id="rId10"/>
    <sheet name="5 EA 8  " sheetId="17" r:id="rId11"/>
    <sheet name="5 EA 9   " sheetId="19" r:id="rId12"/>
    <sheet name="6 EA 10   " sheetId="21" r:id="rId13"/>
    <sheet name="7 EA 11" sheetId="23" r:id="rId14"/>
    <sheet name="7 EA 12 " sheetId="26" r:id="rId15"/>
    <sheet name="7 EA 12 Data Sheet" sheetId="27" state="veryHidden" r:id="rId16"/>
    <sheet name="7 EA 11 Data Sheet - Bame" sheetId="24" state="veryHidden" r:id="rId17"/>
    <sheet name="7 EA 11 Data Sheet Female Execs" sheetId="25" state="veryHidden" r:id="rId18"/>
    <sheet name="6 EA 10 Data Sheet" sheetId="22" state="veryHidden" r:id="rId19"/>
    <sheet name="5 EA 9 Data Sheet" sheetId="20" state="veryHidden" r:id="rId20"/>
    <sheet name="5 EA 8 Data Sheet" sheetId="18" state="veryHidden" r:id="rId21"/>
    <sheet name="4 EA 7 Data Sheet" sheetId="16" state="veryHidden" r:id="rId22"/>
    <sheet name="4 EA 6 Data Sheet" sheetId="14" state="veryHidden" r:id="rId23"/>
    <sheet name="1 EA 4 Data Sheet" sheetId="10" state="veryHidden" r:id="rId24"/>
    <sheet name="1 EA 3 Data Sheet" sheetId="8" state="veryHidden" r:id="rId25"/>
    <sheet name="1 EA 1  Data Sheet" sheetId="4" state="veryHidden" r:id="rId26"/>
  </sheets>
  <definedNames>
    <definedName name="HTML_CodePage" hidden="1">1252</definedName>
    <definedName name="HTML_Control" localSheetId="25" hidden="1">{"'Charts'!$A$1138:$AA$1204","'Main Menu'!$AN$22"}</definedName>
    <definedName name="HTML_Control" localSheetId="4" hidden="1">{"'Charts'!$A$1138:$AA$1204","'Main Menu'!$AN$22"}</definedName>
    <definedName name="HTML_Control" localSheetId="24" hidden="1">{"'Charts'!$A$1138:$AA$1204","'Main Menu'!$AN$22"}</definedName>
    <definedName name="HTML_Control" localSheetId="5" hidden="1">{"'Charts'!$A$1138:$AA$1204","'Main Menu'!$AN$22"}</definedName>
    <definedName name="HTML_Control" localSheetId="23" hidden="1">{"'Charts'!$A$1138:$AA$1204","'Main Menu'!$AN$22"}</definedName>
    <definedName name="HTML_Control" localSheetId="0" hidden="1">{"'Charts'!$A$1138:$AA$1204","'Main Menu'!$AN$22"}</definedName>
    <definedName name="HTML_Control" hidden="1">{"'Charts'!$A$1138:$AA$1204","'Main Menu'!$AN$22"}</definedName>
    <definedName name="HTML_Control_1EA1" hidden="1">{"'Charts'!$A$1138:$AA$1204","'Main Menu'!$AN$22"}</definedName>
    <definedName name="HTML_Control_1EA2" hidden="1">{"'Charts'!$A$1138:$AA$1204","'Main Menu'!$AN$22"}</definedName>
    <definedName name="HTML_Control_1EA3" hidden="1">{"'Charts'!$A$1138:$AA$1204","'Main Menu'!$AN$22"}</definedName>
    <definedName name="HTML_Control_1EA4" hidden="1">{"'Charts'!$A$1138:$AA$1204","'Main Menu'!$AN$22"}</definedName>
    <definedName name="HTML_Control_4EA5" hidden="1">{"'Charts'!$A$1138:$AA$1204","'Main Menu'!$AN$22"}</definedName>
    <definedName name="HTML_Control_4EA6" hidden="1">{"'Charts'!$A$1138:$AA$1204","'Main Menu'!$AN$22"}</definedName>
    <definedName name="HTML_Control_4EA7" hidden="1">{"'Charts'!$A$1138:$AA$1204","'Main Menu'!$AN$22"}</definedName>
    <definedName name="HTML_Control_5EA8" hidden="1">{"'Charts'!$A$1138:$AA$1204","'Main Menu'!$AN$22"}</definedName>
    <definedName name="HTML_Control_5EA9" hidden="1">{"'Charts'!$A$1138:$AA$1204","'Main Menu'!$AN$22"}</definedName>
    <definedName name="HTML_Control_6EA10" hidden="1">{"'Charts'!$A$1138:$AA$1204","'Main Menu'!$AN$22"}</definedName>
    <definedName name="HTML_Control_7EA11" hidden="1">{"'Charts'!$A$1138:$AA$1204","'Main Menu'!$AN$22"}</definedName>
    <definedName name="HTML_Control_7EA12" hidden="1">{"'Charts'!$A$1138:$AA$1204","'Main Menu'!$AN$22"}</definedName>
    <definedName name="HTML_Description" hidden="1">"Injuries Insights page"</definedName>
    <definedName name="HTML_Email" hidden="1">"michael.andrews@boots.co.uk"</definedName>
    <definedName name="HTML_Header" hidden="1">"Main Menu"</definedName>
    <definedName name="HTML_LastUpdate" hidden="1">"02/04/2003"</definedName>
    <definedName name="HTML_LineAfter" hidden="1">FALSE</definedName>
    <definedName name="HTML_LineBefore" hidden="1">FALSE</definedName>
    <definedName name="HTML_Name" hidden="1">"Michael Andrews"</definedName>
    <definedName name="HTML_OBDlg2" hidden="1">TRUE</definedName>
    <definedName name="HTML_OBDlg4" hidden="1">TRUE</definedName>
    <definedName name="HTML_OS" hidden="1">0</definedName>
    <definedName name="HTML_PathFile" hidden="1">"h:\MyHTML.htm"</definedName>
    <definedName name="HTML_Title" hidden="1">"Supply Chain KPIs"</definedName>
    <definedName name="_xlnm.Print_Area" localSheetId="14">'7 EA 12 '!$A$1:$I$44</definedName>
    <definedName name="Print_Area_1EA4" localSheetId="23">'1 EA 4 Data Sheet'!$A$1:$J$82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1" l="1"/>
  <c r="D116" i="27" l="1"/>
  <c r="C116" i="27"/>
  <c r="D115" i="27"/>
  <c r="C115" i="27"/>
  <c r="D114" i="27"/>
  <c r="C114" i="27"/>
  <c r="D113" i="27"/>
  <c r="C113" i="27"/>
  <c r="D112" i="27"/>
  <c r="C112" i="27"/>
  <c r="D111" i="27"/>
  <c r="C111" i="27"/>
  <c r="D110" i="27"/>
  <c r="C110" i="27"/>
  <c r="D109" i="27"/>
  <c r="C109" i="27"/>
  <c r="D108" i="27"/>
  <c r="C108" i="27"/>
  <c r="D107" i="27"/>
  <c r="C107" i="27"/>
  <c r="D106" i="27"/>
  <c r="C106" i="27"/>
  <c r="D105" i="27"/>
  <c r="C105" i="27"/>
  <c r="D104" i="27"/>
  <c r="C104" i="27"/>
  <c r="D103" i="27"/>
  <c r="C103" i="27"/>
  <c r="D102" i="27"/>
  <c r="C102" i="27"/>
  <c r="D101" i="27"/>
  <c r="C101" i="27"/>
  <c r="D100" i="27"/>
  <c r="C100" i="27"/>
  <c r="D99" i="27"/>
  <c r="C99" i="27"/>
  <c r="D98" i="27"/>
  <c r="C98" i="27"/>
  <c r="D97" i="27"/>
  <c r="C97" i="27"/>
  <c r="D96" i="27"/>
  <c r="C96" i="27"/>
  <c r="D95" i="27"/>
  <c r="C95" i="27"/>
  <c r="D94" i="27"/>
  <c r="C94" i="27"/>
  <c r="D93" i="27"/>
  <c r="C93" i="27"/>
  <c r="D92" i="27"/>
  <c r="C92" i="27"/>
  <c r="D91" i="27"/>
  <c r="C91" i="27"/>
  <c r="D90" i="27"/>
  <c r="C90" i="27"/>
  <c r="D89" i="27"/>
  <c r="C89" i="27"/>
  <c r="D88" i="27"/>
  <c r="C88" i="27"/>
  <c r="D87" i="27"/>
  <c r="C87" i="27"/>
  <c r="D86" i="27"/>
  <c r="C86" i="27"/>
  <c r="D85" i="27"/>
  <c r="C85" i="27"/>
  <c r="D84" i="27"/>
  <c r="C84" i="27"/>
  <c r="D83" i="27"/>
  <c r="C83" i="27"/>
  <c r="C82" i="27"/>
  <c r="F77" i="27"/>
  <c r="B16" i="27" s="1"/>
  <c r="A8" i="26" s="1"/>
  <c r="E77" i="27"/>
  <c r="E76" i="27"/>
  <c r="F76" i="27" s="1"/>
  <c r="F75" i="27"/>
  <c r="E75" i="27"/>
  <c r="E74" i="27"/>
  <c r="F74" i="27" s="1"/>
  <c r="F73" i="27"/>
  <c r="E73" i="27"/>
  <c r="E72" i="27"/>
  <c r="F72" i="27" s="1"/>
  <c r="F71" i="27"/>
  <c r="E71" i="27"/>
  <c r="E70" i="27"/>
  <c r="F70" i="27" s="1"/>
  <c r="F69" i="27"/>
  <c r="E69" i="27"/>
  <c r="E68" i="27"/>
  <c r="F68" i="27" s="1"/>
  <c r="F67" i="27"/>
  <c r="E67" i="27"/>
  <c r="E66" i="27"/>
  <c r="F66" i="27" s="1"/>
  <c r="F65" i="27"/>
  <c r="E65" i="27"/>
  <c r="E64" i="27"/>
  <c r="F64" i="27" s="1"/>
  <c r="F63" i="27"/>
  <c r="E63" i="27"/>
  <c r="E62" i="27"/>
  <c r="F62" i="27" s="1"/>
  <c r="F61" i="27"/>
  <c r="E61" i="27"/>
  <c r="E60" i="27"/>
  <c r="F60" i="27" s="1"/>
  <c r="F59" i="27"/>
  <c r="E59" i="27"/>
  <c r="E58" i="27"/>
  <c r="F58" i="27" s="1"/>
  <c r="F57" i="27"/>
  <c r="E57" i="27"/>
  <c r="E56" i="27"/>
  <c r="F56" i="27" s="1"/>
  <c r="F55" i="27"/>
  <c r="E55" i="27"/>
  <c r="E54" i="27"/>
  <c r="F54" i="27" s="1"/>
  <c r="F53" i="27"/>
  <c r="E53" i="27"/>
  <c r="E52" i="27"/>
  <c r="F52" i="27" s="1"/>
  <c r="F51" i="27"/>
  <c r="E51" i="27"/>
  <c r="E50" i="27"/>
  <c r="F50" i="27" s="1"/>
  <c r="F49" i="27"/>
  <c r="E49" i="27"/>
  <c r="E48" i="27"/>
  <c r="F48" i="27" s="1"/>
  <c r="F47" i="27"/>
  <c r="E47" i="27"/>
  <c r="E46" i="27"/>
  <c r="F46" i="27" s="1"/>
  <c r="F45" i="27"/>
  <c r="E45" i="27"/>
  <c r="E44" i="27"/>
  <c r="F44" i="27" s="1"/>
  <c r="F43" i="27"/>
  <c r="E43" i="27"/>
  <c r="E42" i="27"/>
  <c r="F42" i="27" s="1"/>
  <c r="F41" i="27"/>
  <c r="E41" i="27"/>
  <c r="E40" i="27"/>
  <c r="F40" i="27" s="1"/>
  <c r="F39" i="27"/>
  <c r="E39" i="27"/>
  <c r="E38" i="27"/>
  <c r="F38" i="27" s="1"/>
  <c r="F37" i="27"/>
  <c r="E37" i="27"/>
  <c r="E36" i="27"/>
  <c r="F36" i="27" s="1"/>
  <c r="F35" i="27"/>
  <c r="E35" i="27"/>
  <c r="E34" i="27"/>
  <c r="F34" i="27" s="1"/>
  <c r="F33" i="27"/>
  <c r="E33" i="27"/>
  <c r="E32" i="27"/>
  <c r="F32" i="27" s="1"/>
  <c r="F31" i="27"/>
  <c r="E31" i="27"/>
  <c r="E30" i="27"/>
  <c r="F30" i="27" s="1"/>
  <c r="F29" i="27"/>
  <c r="E29" i="27"/>
  <c r="E28" i="27"/>
  <c r="F28" i="27" s="1"/>
  <c r="F27" i="27"/>
  <c r="E27" i="27"/>
  <c r="E26" i="27"/>
  <c r="F26" i="27" s="1"/>
  <c r="F25" i="27"/>
  <c r="E25" i="27"/>
  <c r="E24" i="27"/>
  <c r="F24" i="27" s="1"/>
  <c r="F23" i="27"/>
  <c r="E23" i="27"/>
  <c r="B15" i="27"/>
  <c r="D8" i="26" s="1"/>
  <c r="B14" i="27"/>
  <c r="B8" i="26" s="1"/>
  <c r="I44" i="26"/>
  <c r="G44" i="26"/>
  <c r="A44" i="26"/>
  <c r="G10" i="26"/>
  <c r="F8" i="26"/>
  <c r="F30" i="25" l="1"/>
  <c r="F29" i="25"/>
  <c r="B16" i="25" s="1"/>
  <c r="C10" i="23" s="1"/>
  <c r="E29" i="25"/>
  <c r="E28" i="25"/>
  <c r="F28" i="25" s="1"/>
  <c r="F27" i="25"/>
  <c r="E27" i="25"/>
  <c r="E26" i="25"/>
  <c r="F26" i="25" s="1"/>
  <c r="F25" i="25"/>
  <c r="E25" i="25"/>
  <c r="E24" i="25"/>
  <c r="F24" i="25" s="1"/>
  <c r="F23" i="25"/>
  <c r="E23" i="25"/>
  <c r="B15" i="25"/>
  <c r="B14" i="25"/>
  <c r="B36" i="24"/>
  <c r="B35" i="24"/>
  <c r="D30" i="24"/>
  <c r="E30" i="24" s="1"/>
  <c r="D29" i="24"/>
  <c r="E29" i="24" s="1"/>
  <c r="B16" i="24" s="1"/>
  <c r="C8" i="23" s="1"/>
  <c r="D28" i="24"/>
  <c r="E28" i="24" s="1"/>
  <c r="D27" i="24"/>
  <c r="E27" i="24" s="1"/>
  <c r="D26" i="24"/>
  <c r="E26" i="24" s="1"/>
  <c r="D25" i="24"/>
  <c r="E25" i="24" s="1"/>
  <c r="D24" i="24"/>
  <c r="E24" i="24" s="1"/>
  <c r="D23" i="24"/>
  <c r="E23" i="24" s="1"/>
  <c r="B15" i="24"/>
  <c r="E8" i="23" s="1"/>
  <c r="B14" i="24"/>
  <c r="I53" i="23"/>
  <c r="G53" i="23"/>
  <c r="A53" i="23"/>
  <c r="I52" i="23"/>
  <c r="G52" i="23"/>
  <c r="A52" i="23"/>
  <c r="I51" i="23"/>
  <c r="G51" i="23"/>
  <c r="A51" i="23"/>
  <c r="I50" i="23"/>
  <c r="G50" i="23"/>
  <c r="A50" i="23"/>
  <c r="F10" i="23"/>
  <c r="E10" i="23"/>
  <c r="D10" i="23"/>
  <c r="F8" i="23"/>
  <c r="D8" i="23"/>
  <c r="E17" i="21" l="1"/>
  <c r="S55" i="22"/>
  <c r="E16" i="21"/>
  <c r="S54" i="22"/>
  <c r="B44" i="22" s="1"/>
  <c r="D44" i="22" s="1"/>
  <c r="G54" i="22"/>
  <c r="E15" i="21"/>
  <c r="S53" i="22"/>
  <c r="E14" i="21"/>
  <c r="G48" i="22"/>
  <c r="G47" i="22"/>
  <c r="G46" i="22"/>
  <c r="D45" i="22"/>
  <c r="H44" i="22"/>
  <c r="H43" i="22"/>
  <c r="E43" i="22" s="1"/>
  <c r="D43" i="22"/>
  <c r="B43" i="22"/>
  <c r="B40" i="22"/>
  <c r="H39" i="22"/>
  <c r="H40" i="22" s="1"/>
  <c r="H41" i="22" s="1"/>
  <c r="E39" i="22"/>
  <c r="B39" i="22"/>
  <c r="D42" i="22" s="1"/>
  <c r="G38" i="22"/>
  <c r="F38" i="22"/>
  <c r="D36" i="22"/>
  <c r="F36" i="22" s="1"/>
  <c r="G36" i="22" s="1"/>
  <c r="B36" i="22"/>
  <c r="E35" i="22"/>
  <c r="E36" i="22" s="1"/>
  <c r="E37" i="22" s="1"/>
  <c r="D35" i="22"/>
  <c r="B35" i="22"/>
  <c r="F31" i="22"/>
  <c r="G31" i="22" s="1"/>
  <c r="E31" i="22"/>
  <c r="E32" i="22" s="1"/>
  <c r="E33" i="22" s="1"/>
  <c r="E34" i="22" s="1"/>
  <c r="D31" i="22"/>
  <c r="D32" i="22" s="1"/>
  <c r="F30" i="22"/>
  <c r="G30" i="22" s="1"/>
  <c r="G29" i="22"/>
  <c r="F29" i="22"/>
  <c r="F28" i="22"/>
  <c r="G28" i="22" s="1"/>
  <c r="G27" i="22"/>
  <c r="F27" i="22"/>
  <c r="F26" i="22"/>
  <c r="G26" i="22" s="1"/>
  <c r="G25" i="22"/>
  <c r="F25" i="22"/>
  <c r="F24" i="22"/>
  <c r="G24" i="22" s="1"/>
  <c r="I47" i="21"/>
  <c r="G47" i="21"/>
  <c r="A47" i="21"/>
  <c r="I46" i="21"/>
  <c r="G46" i="21"/>
  <c r="A46" i="21"/>
  <c r="I45" i="21"/>
  <c r="G45" i="21"/>
  <c r="A45" i="21"/>
  <c r="I44" i="21"/>
  <c r="G44" i="21"/>
  <c r="A44" i="21"/>
  <c r="G11" i="21"/>
  <c r="H9" i="21"/>
  <c r="E44" i="22" l="1"/>
  <c r="E45" i="22" s="1"/>
  <c r="F13" i="21" s="1"/>
  <c r="F43" i="22"/>
  <c r="G43" i="22" s="1"/>
  <c r="F44" i="22"/>
  <c r="G44" i="22" s="1"/>
  <c r="F42" i="22"/>
  <c r="G42" i="22" s="1"/>
  <c r="E13" i="21"/>
  <c r="B14" i="22"/>
  <c r="C9" i="21" s="1"/>
  <c r="D33" i="22"/>
  <c r="F32" i="22"/>
  <c r="G32" i="22" s="1"/>
  <c r="F41" i="22"/>
  <c r="G41" i="22" s="1"/>
  <c r="H42" i="22"/>
  <c r="E42" i="22" s="1"/>
  <c r="F37" i="22"/>
  <c r="G37" i="22" s="1"/>
  <c r="D39" i="22"/>
  <c r="H45" i="22"/>
  <c r="F33" i="22" l="1"/>
  <c r="G33" i="22" s="1"/>
  <c r="D34" i="22"/>
  <c r="F39" i="22"/>
  <c r="G39" i="22" s="1"/>
  <c r="F40" i="22"/>
  <c r="G40" i="22" s="1"/>
  <c r="B15" i="22"/>
  <c r="D9" i="21" s="1"/>
  <c r="H46" i="22"/>
  <c r="F45" i="22"/>
  <c r="G45" i="22" s="1"/>
  <c r="B16" i="22" l="1"/>
  <c r="A9" i="21" s="1"/>
  <c r="C13" i="21"/>
  <c r="F35" i="22"/>
  <c r="G35" i="22" s="1"/>
  <c r="F34" i="22"/>
  <c r="G34" i="22" s="1"/>
  <c r="F36" i="20" l="1"/>
  <c r="D36" i="20"/>
  <c r="F35" i="20"/>
  <c r="D35" i="20"/>
  <c r="H34" i="20"/>
  <c r="H35" i="20" s="1"/>
  <c r="F34" i="20"/>
  <c r="D34" i="20"/>
  <c r="I33" i="20"/>
  <c r="J33" i="20" s="1"/>
  <c r="G33" i="20" s="1"/>
  <c r="H33" i="20"/>
  <c r="F33" i="20"/>
  <c r="D33" i="20"/>
  <c r="F32" i="20"/>
  <c r="D32" i="20"/>
  <c r="F31" i="20"/>
  <c r="D31" i="20"/>
  <c r="H30" i="20"/>
  <c r="H31" i="20" s="1"/>
  <c r="F30" i="20"/>
  <c r="D30" i="20"/>
  <c r="I29" i="20"/>
  <c r="I30" i="20" s="1"/>
  <c r="I31" i="20" s="1"/>
  <c r="I32" i="20" s="1"/>
  <c r="H29" i="20"/>
  <c r="F29" i="20"/>
  <c r="D29" i="20"/>
  <c r="F28" i="20"/>
  <c r="D28" i="20"/>
  <c r="F27" i="20"/>
  <c r="D27" i="20"/>
  <c r="H26" i="20"/>
  <c r="H27" i="20" s="1"/>
  <c r="F26" i="20"/>
  <c r="D26" i="20"/>
  <c r="I25" i="20"/>
  <c r="I26" i="20" s="1"/>
  <c r="I27" i="20" s="1"/>
  <c r="I28" i="20" s="1"/>
  <c r="H25" i="20"/>
  <c r="F25" i="20"/>
  <c r="D25" i="20"/>
  <c r="J24" i="20"/>
  <c r="G24" i="20" s="1"/>
  <c r="F24" i="20"/>
  <c r="D24" i="20"/>
  <c r="D21" i="20"/>
  <c r="E21" i="20" s="1"/>
  <c r="L19" i="20"/>
  <c r="N14" i="20" s="1"/>
  <c r="N18" i="20"/>
  <c r="N16" i="20"/>
  <c r="N13" i="20"/>
  <c r="N11" i="20"/>
  <c r="N9" i="20"/>
  <c r="N7" i="20"/>
  <c r="I49" i="19"/>
  <c r="G49" i="19"/>
  <c r="A49" i="19"/>
  <c r="I48" i="19"/>
  <c r="G48" i="19"/>
  <c r="A48" i="19"/>
  <c r="I47" i="19"/>
  <c r="G47" i="19"/>
  <c r="A47" i="19"/>
  <c r="I46" i="19"/>
  <c r="G46" i="19"/>
  <c r="A46" i="19"/>
  <c r="G10" i="19"/>
  <c r="F8" i="19"/>
  <c r="E8" i="19"/>
  <c r="H32" i="20" l="1"/>
  <c r="J32" i="20" s="1"/>
  <c r="G32" i="20" s="1"/>
  <c r="J31" i="20"/>
  <c r="G31" i="20" s="1"/>
  <c r="J27" i="20"/>
  <c r="G27" i="20" s="1"/>
  <c r="H28" i="20"/>
  <c r="J28" i="20" s="1"/>
  <c r="G28" i="20" s="1"/>
  <c r="H36" i="20"/>
  <c r="N15" i="20"/>
  <c r="J25" i="20"/>
  <c r="G25" i="20" s="1"/>
  <c r="J29" i="20"/>
  <c r="G29" i="20" s="1"/>
  <c r="N17" i="20"/>
  <c r="I34" i="20"/>
  <c r="I35" i="20" s="1"/>
  <c r="I36" i="20" s="1"/>
  <c r="N6" i="20"/>
  <c r="M6" i="20" s="1"/>
  <c r="M7" i="20" s="1"/>
  <c r="M8" i="20" s="1"/>
  <c r="M9" i="20" s="1"/>
  <c r="M10" i="20" s="1"/>
  <c r="M11" i="20" s="1"/>
  <c r="M12" i="20" s="1"/>
  <c r="M13" i="20" s="1"/>
  <c r="M14" i="20" s="1"/>
  <c r="M15" i="20" s="1"/>
  <c r="M16" i="20" s="1"/>
  <c r="M17" i="20" s="1"/>
  <c r="M18" i="20" s="1"/>
  <c r="N8" i="20"/>
  <c r="N10" i="20"/>
  <c r="N12" i="20"/>
  <c r="J26" i="20"/>
  <c r="G26" i="20" s="1"/>
  <c r="J30" i="20"/>
  <c r="G30" i="20" s="1"/>
  <c r="J34" i="20" l="1"/>
  <c r="G34" i="20" s="1"/>
  <c r="J36" i="20"/>
  <c r="G36" i="20" s="1"/>
  <c r="J35" i="20"/>
  <c r="G35" i="20" l="1"/>
  <c r="B16" i="20" s="1"/>
  <c r="A8" i="19" s="1"/>
  <c r="B14" i="20"/>
  <c r="C8" i="19" s="1"/>
  <c r="F46" i="18" l="1"/>
  <c r="H46" i="18" s="1"/>
  <c r="E43" i="18"/>
  <c r="E44" i="18" s="1"/>
  <c r="D43" i="18"/>
  <c r="F43" i="18" s="1"/>
  <c r="I41" i="18"/>
  <c r="B41" i="18"/>
  <c r="D40" i="18"/>
  <c r="D41" i="18" s="1"/>
  <c r="C40" i="18"/>
  <c r="C41" i="18" s="1"/>
  <c r="B40" i="18"/>
  <c r="J39" i="18"/>
  <c r="E39" i="18"/>
  <c r="E40" i="18" s="1"/>
  <c r="D39" i="18"/>
  <c r="C39" i="18"/>
  <c r="B37" i="18"/>
  <c r="D36" i="18"/>
  <c r="D37" i="18" s="1"/>
  <c r="C36" i="18"/>
  <c r="E36" i="18" s="1"/>
  <c r="B36" i="18"/>
  <c r="F35" i="18"/>
  <c r="E35" i="18"/>
  <c r="D35" i="18"/>
  <c r="C34" i="18"/>
  <c r="B34" i="18"/>
  <c r="C33" i="18"/>
  <c r="B33" i="18"/>
  <c r="F33" i="18" s="1"/>
  <c r="D32" i="18"/>
  <c r="D33" i="18" s="1"/>
  <c r="D34" i="18" s="1"/>
  <c r="F31" i="18"/>
  <c r="E31" i="18"/>
  <c r="E32" i="18" s="1"/>
  <c r="E33" i="18" s="1"/>
  <c r="E34" i="18" s="1"/>
  <c r="D31" i="18"/>
  <c r="D29" i="18"/>
  <c r="D28" i="18"/>
  <c r="F27" i="18"/>
  <c r="E27" i="18"/>
  <c r="E28" i="18" s="1"/>
  <c r="E29" i="18" s="1"/>
  <c r="E30" i="18" s="1"/>
  <c r="D27" i="18"/>
  <c r="D25" i="18"/>
  <c r="D24" i="18"/>
  <c r="F23" i="18"/>
  <c r="E23" i="18"/>
  <c r="E24" i="18" s="1"/>
  <c r="E25" i="18" s="1"/>
  <c r="E26" i="18" s="1"/>
  <c r="D23" i="18"/>
  <c r="I54" i="17"/>
  <c r="G54" i="17"/>
  <c r="A54" i="17"/>
  <c r="I53" i="17"/>
  <c r="G53" i="17"/>
  <c r="A53" i="17"/>
  <c r="I52" i="17"/>
  <c r="G52" i="17"/>
  <c r="A52" i="17"/>
  <c r="I51" i="17"/>
  <c r="G51" i="17"/>
  <c r="A51" i="17"/>
  <c r="G10" i="17"/>
  <c r="E9" i="17"/>
  <c r="G8" i="17"/>
  <c r="E37" i="18" l="1"/>
  <c r="E38" i="18" s="1"/>
  <c r="F29" i="18"/>
  <c r="F36" i="18"/>
  <c r="F40" i="18"/>
  <c r="F24" i="18"/>
  <c r="D38" i="18"/>
  <c r="E41" i="18"/>
  <c r="J41" i="18"/>
  <c r="B42" i="18"/>
  <c r="C45" i="18"/>
  <c r="E45" i="18"/>
  <c r="F25" i="18"/>
  <c r="F28" i="18"/>
  <c r="F34" i="18"/>
  <c r="F41" i="18"/>
  <c r="D44" i="18"/>
  <c r="D26" i="18"/>
  <c r="F26" i="18" s="1"/>
  <c r="D30" i="18"/>
  <c r="F30" i="18" s="1"/>
  <c r="F32" i="18"/>
  <c r="J43" i="18"/>
  <c r="C37" i="18"/>
  <c r="C38" i="18" s="1"/>
  <c r="B38" i="18"/>
  <c r="F39" i="18"/>
  <c r="D45" i="18" l="1"/>
  <c r="F44" i="18"/>
  <c r="B45" i="18"/>
  <c r="J44" i="18"/>
  <c r="D42" i="18"/>
  <c r="K35" i="18" s="1"/>
  <c r="L35" i="18" s="1"/>
  <c r="F38" i="18"/>
  <c r="F37" i="18"/>
  <c r="E46" i="18"/>
  <c r="B15" i="18"/>
  <c r="E8" i="17" s="1"/>
  <c r="C42" i="18"/>
  <c r="E42" i="18" s="1"/>
  <c r="F42" i="18" l="1"/>
  <c r="J45" i="18"/>
  <c r="D46" i="18"/>
  <c r="B14" i="18"/>
  <c r="C8" i="17" s="1"/>
  <c r="F45" i="18"/>
  <c r="H45" i="18" s="1"/>
  <c r="B16" i="18" s="1"/>
  <c r="A8" i="17" s="1"/>
  <c r="D50" i="16" l="1"/>
  <c r="E50" i="16" s="1"/>
  <c r="D49" i="16"/>
  <c r="D48" i="16"/>
  <c r="D47" i="16"/>
  <c r="D46" i="16"/>
  <c r="D41" i="16"/>
  <c r="E41" i="16" s="1"/>
  <c r="D40" i="16"/>
  <c r="D39" i="16"/>
  <c r="D38" i="16"/>
  <c r="D37" i="16"/>
  <c r="E30" i="16"/>
  <c r="D30" i="16"/>
  <c r="E29" i="16"/>
  <c r="D29" i="16"/>
  <c r="E28" i="16"/>
  <c r="D28" i="16"/>
  <c r="E27" i="16"/>
  <c r="D27" i="16"/>
  <c r="E26" i="16"/>
  <c r="D26" i="16"/>
  <c r="E25" i="16"/>
  <c r="D25" i="16"/>
  <c r="E24" i="16"/>
  <c r="D24" i="16"/>
  <c r="E23" i="16"/>
  <c r="D23" i="16"/>
  <c r="B16" i="16"/>
  <c r="B15" i="16"/>
  <c r="B14" i="16"/>
  <c r="I51" i="15"/>
  <c r="G51" i="15"/>
  <c r="A51" i="15"/>
  <c r="I50" i="15"/>
  <c r="G50" i="15"/>
  <c r="A50" i="15"/>
  <c r="I49" i="15"/>
  <c r="G49" i="15"/>
  <c r="A49" i="15"/>
  <c r="I48" i="15"/>
  <c r="G48" i="15"/>
  <c r="A48" i="15"/>
  <c r="G12" i="15"/>
  <c r="F10" i="15"/>
  <c r="E10" i="15"/>
  <c r="D10" i="15"/>
  <c r="C10" i="15"/>
  <c r="H7" i="15"/>
  <c r="E7" i="15"/>
  <c r="D7" i="15"/>
  <c r="C7" i="15"/>
  <c r="C47" i="14" l="1"/>
  <c r="C46" i="14"/>
  <c r="C44" i="14"/>
  <c r="C45" i="14" s="1"/>
  <c r="I39" i="14"/>
  <c r="E39" i="14"/>
  <c r="D39" i="14"/>
  <c r="H39" i="14" s="1"/>
  <c r="I38" i="14"/>
  <c r="E38" i="14"/>
  <c r="D38" i="14"/>
  <c r="H38" i="14" s="1"/>
  <c r="I37" i="14"/>
  <c r="E37" i="14"/>
  <c r="D37" i="14"/>
  <c r="H37" i="14" s="1"/>
  <c r="I36" i="14"/>
  <c r="E36" i="14"/>
  <c r="D36" i="14"/>
  <c r="H36" i="14" s="1"/>
  <c r="I35" i="14"/>
  <c r="E35" i="14"/>
  <c r="D35" i="14"/>
  <c r="H35" i="14" s="1"/>
  <c r="I34" i="14"/>
  <c r="E34" i="14"/>
  <c r="D34" i="14"/>
  <c r="H34" i="14" s="1"/>
  <c r="I33" i="14"/>
  <c r="E33" i="14"/>
  <c r="D33" i="14"/>
  <c r="H33" i="14" s="1"/>
  <c r="I32" i="14"/>
  <c r="E32" i="14"/>
  <c r="D32" i="14"/>
  <c r="H32" i="14" s="1"/>
  <c r="I31" i="14"/>
  <c r="E31" i="14"/>
  <c r="D31" i="14"/>
  <c r="H31" i="14" s="1"/>
  <c r="I30" i="14"/>
  <c r="E30" i="14"/>
  <c r="D30" i="14"/>
  <c r="H30" i="14" s="1"/>
  <c r="D29" i="14"/>
  <c r="H29" i="14" s="1"/>
  <c r="D28" i="14"/>
  <c r="H28" i="14" s="1"/>
  <c r="D27" i="14"/>
  <c r="H27" i="14" s="1"/>
  <c r="D26" i="14"/>
  <c r="H26" i="14" s="1"/>
  <c r="D25" i="14"/>
  <c r="H25" i="14" s="1"/>
  <c r="D24" i="14"/>
  <c r="H24" i="14" s="1"/>
  <c r="D23" i="14"/>
  <c r="H23" i="14" s="1"/>
  <c r="B16" i="14"/>
  <c r="A8" i="13" s="1"/>
  <c r="B15" i="14"/>
  <c r="E29" i="14" s="1"/>
  <c r="I29" i="14" s="1"/>
  <c r="I48" i="13"/>
  <c r="G48" i="13"/>
  <c r="A48" i="13"/>
  <c r="I47" i="13"/>
  <c r="G47" i="13"/>
  <c r="A47" i="13"/>
  <c r="I46" i="13"/>
  <c r="G46" i="13"/>
  <c r="A46" i="13"/>
  <c r="I45" i="13"/>
  <c r="G45" i="13"/>
  <c r="A45" i="13"/>
  <c r="G10" i="13"/>
  <c r="F8" i="13"/>
  <c r="D8" i="13"/>
  <c r="C8" i="13"/>
  <c r="E23" i="14" l="1"/>
  <c r="I23" i="14" s="1"/>
  <c r="E24" i="14"/>
  <c r="I24" i="14" s="1"/>
  <c r="E25" i="14"/>
  <c r="I25" i="14" s="1"/>
  <c r="E26" i="14"/>
  <c r="I26" i="14" s="1"/>
  <c r="E27" i="14"/>
  <c r="I27" i="14" s="1"/>
  <c r="E28" i="14"/>
  <c r="I28" i="14" s="1"/>
  <c r="F46" i="12" l="1"/>
  <c r="G46" i="12" s="1"/>
  <c r="J46" i="12" s="1"/>
  <c r="K46" i="12" s="1"/>
  <c r="F45" i="12"/>
  <c r="B45" i="12"/>
  <c r="F44" i="12"/>
  <c r="G44" i="12" s="1"/>
  <c r="J44" i="12" s="1"/>
  <c r="K44" i="12" s="1"/>
  <c r="E44" i="12"/>
  <c r="E45" i="12" s="1"/>
  <c r="E46" i="12" s="1"/>
  <c r="G43" i="12"/>
  <c r="J43" i="12" s="1"/>
  <c r="K43" i="12" s="1"/>
  <c r="F43" i="12"/>
  <c r="E43" i="12"/>
  <c r="C43" i="12"/>
  <c r="C44" i="12" s="1"/>
  <c r="C45" i="12" s="1"/>
  <c r="C46" i="12" s="1"/>
  <c r="K42" i="12"/>
  <c r="J42" i="12"/>
  <c r="F42" i="12"/>
  <c r="F41" i="12"/>
  <c r="F40" i="12"/>
  <c r="C40" i="12"/>
  <c r="C41" i="12" s="1"/>
  <c r="F39" i="12"/>
  <c r="G39" i="12" s="1"/>
  <c r="J39" i="12" s="1"/>
  <c r="K39" i="12" s="1"/>
  <c r="E39" i="12"/>
  <c r="C39" i="12"/>
  <c r="J38" i="12"/>
  <c r="K38" i="12" s="1"/>
  <c r="F38" i="12"/>
  <c r="F37" i="12"/>
  <c r="F36" i="12"/>
  <c r="F35" i="12"/>
  <c r="G35" i="12" s="1"/>
  <c r="E35" i="12"/>
  <c r="E36" i="12" s="1"/>
  <c r="E37" i="12" s="1"/>
  <c r="C35" i="12"/>
  <c r="C36" i="12" s="1"/>
  <c r="C37" i="12" s="1"/>
  <c r="F34" i="12"/>
  <c r="F33" i="12"/>
  <c r="F32" i="12"/>
  <c r="E32" i="12"/>
  <c r="E33" i="12" s="1"/>
  <c r="F31" i="12"/>
  <c r="G31" i="12" s="1"/>
  <c r="E31" i="12"/>
  <c r="C31" i="12"/>
  <c r="C32" i="12" s="1"/>
  <c r="C33" i="12" s="1"/>
  <c r="C17" i="12"/>
  <c r="B15" i="12"/>
  <c r="H7" i="11"/>
  <c r="F7" i="11"/>
  <c r="D7" i="11"/>
  <c r="A7" i="11"/>
  <c r="G36" i="12" l="1"/>
  <c r="J36" i="12" s="1"/>
  <c r="J35" i="12"/>
  <c r="G32" i="12"/>
  <c r="J31" i="12"/>
  <c r="G40" i="12"/>
  <c r="J40" i="12" s="1"/>
  <c r="K40" i="12" s="1"/>
  <c r="G45" i="12"/>
  <c r="G37" i="12"/>
  <c r="J37" i="12" s="1"/>
  <c r="G41" i="12"/>
  <c r="J41" i="12" s="1"/>
  <c r="K41" i="12" s="1"/>
  <c r="G33" i="12" l="1"/>
  <c r="J32" i="12"/>
  <c r="J45" i="12"/>
  <c r="K45" i="12" s="1"/>
  <c r="B14" i="12"/>
  <c r="B7" i="11" s="1"/>
  <c r="B17" i="12"/>
  <c r="G34" i="12" l="1"/>
  <c r="J34" i="12" s="1"/>
  <c r="J33" i="12"/>
  <c r="F45" i="10" l="1"/>
  <c r="E45" i="10"/>
  <c r="D45" i="10"/>
  <c r="F44" i="10"/>
  <c r="D44" i="10"/>
  <c r="E44" i="10" s="1"/>
  <c r="B16" i="10" s="1"/>
  <c r="A7" i="9" s="1"/>
  <c r="F43" i="10"/>
  <c r="D43" i="10"/>
  <c r="E43" i="10" s="1"/>
  <c r="F42" i="10"/>
  <c r="E42" i="10"/>
  <c r="D42" i="10"/>
  <c r="F41" i="10"/>
  <c r="E41" i="10"/>
  <c r="D41" i="10"/>
  <c r="F40" i="10"/>
  <c r="D40" i="10"/>
  <c r="E40" i="10" s="1"/>
  <c r="F39" i="10"/>
  <c r="D39" i="10"/>
  <c r="E39" i="10" s="1"/>
  <c r="F38" i="10"/>
  <c r="E38" i="10"/>
  <c r="D38" i="10"/>
  <c r="F37" i="10"/>
  <c r="E37" i="10"/>
  <c r="D37" i="10"/>
  <c r="F36" i="10"/>
  <c r="D36" i="10"/>
  <c r="E36" i="10" s="1"/>
  <c r="F35" i="10"/>
  <c r="D35" i="10"/>
  <c r="E35" i="10" s="1"/>
  <c r="F34" i="10"/>
  <c r="E34" i="10"/>
  <c r="D34" i="10"/>
  <c r="F33" i="10"/>
  <c r="E33" i="10"/>
  <c r="D33" i="10"/>
  <c r="F32" i="10"/>
  <c r="D32" i="10"/>
  <c r="E32" i="10" s="1"/>
  <c r="F31" i="10"/>
  <c r="D31" i="10"/>
  <c r="E31" i="10" s="1"/>
  <c r="F30" i="10"/>
  <c r="E30" i="10"/>
  <c r="D30" i="10"/>
  <c r="F29" i="10"/>
  <c r="E29" i="10"/>
  <c r="D29" i="10"/>
  <c r="F28" i="10"/>
  <c r="D28" i="10"/>
  <c r="E28" i="10" s="1"/>
  <c r="E27" i="10"/>
  <c r="D27" i="10"/>
  <c r="D26" i="10"/>
  <c r="E26" i="10" s="1"/>
  <c r="E25" i="10"/>
  <c r="D25" i="10"/>
  <c r="D24" i="10"/>
  <c r="E24" i="10" s="1"/>
  <c r="E21" i="10"/>
  <c r="D21" i="10"/>
  <c r="B15" i="10"/>
  <c r="D7" i="9" s="1"/>
  <c r="B14" i="10"/>
  <c r="I47" i="9"/>
  <c r="G47" i="9"/>
  <c r="A47" i="9"/>
  <c r="I46" i="9"/>
  <c r="G46" i="9"/>
  <c r="A46" i="9"/>
  <c r="I45" i="9"/>
  <c r="G45" i="9"/>
  <c r="A45" i="9"/>
  <c r="I44" i="9"/>
  <c r="G44" i="9"/>
  <c r="A44" i="9"/>
  <c r="I43" i="9"/>
  <c r="G43" i="9"/>
  <c r="A43" i="9"/>
  <c r="G9" i="9"/>
  <c r="F7" i="9"/>
  <c r="B7" i="9"/>
  <c r="C31" i="8" l="1"/>
  <c r="C32" i="8" s="1"/>
  <c r="C33" i="8" s="1"/>
  <c r="C34" i="8" s="1"/>
  <c r="C35" i="8" s="1"/>
  <c r="C36" i="8" s="1"/>
  <c r="C30" i="8"/>
  <c r="D26" i="8"/>
  <c r="E26" i="8" s="1"/>
  <c r="E25" i="8"/>
  <c r="D25" i="8"/>
  <c r="D24" i="8"/>
  <c r="E24" i="8" s="1"/>
  <c r="E23" i="8"/>
  <c r="D23" i="8"/>
  <c r="G47" i="7"/>
  <c r="A47" i="7"/>
  <c r="G46" i="7"/>
  <c r="A46" i="7"/>
  <c r="G45" i="7"/>
  <c r="A45" i="7"/>
  <c r="G44" i="7"/>
  <c r="A44" i="7"/>
  <c r="G10" i="7"/>
  <c r="G8" i="7"/>
  <c r="E8" i="7"/>
  <c r="C8" i="7"/>
  <c r="A8" i="7"/>
  <c r="D306" i="6" l="1"/>
  <c r="D307" i="6" s="1"/>
  <c r="D305" i="6"/>
  <c r="D302" i="6"/>
  <c r="D303" i="6" s="1"/>
  <c r="B14" i="6"/>
  <c r="B16" i="6" s="1"/>
  <c r="B17" i="6" s="1"/>
  <c r="A7" i="5" s="1"/>
  <c r="E251" i="6"/>
  <c r="D251" i="6"/>
  <c r="C251" i="6"/>
  <c r="B251" i="6"/>
  <c r="AH231" i="6"/>
  <c r="AG231" i="6"/>
  <c r="AF231" i="6"/>
  <c r="AE231" i="6"/>
  <c r="AD231" i="6"/>
  <c r="AC231" i="6"/>
  <c r="AB231" i="6"/>
  <c r="AA231" i="6"/>
  <c r="Z231" i="6"/>
  <c r="Y231" i="6"/>
  <c r="X231" i="6"/>
  <c r="W231" i="6"/>
  <c r="V231" i="6"/>
  <c r="U231" i="6"/>
  <c r="T231" i="6"/>
  <c r="S231" i="6"/>
  <c r="R231" i="6"/>
  <c r="Q231" i="6"/>
  <c r="P231" i="6"/>
  <c r="O231" i="6"/>
  <c r="N231" i="6"/>
  <c r="F226" i="6"/>
  <c r="E180" i="6"/>
  <c r="D180" i="6"/>
  <c r="C180" i="6"/>
  <c r="B180" i="6"/>
  <c r="AH166" i="6"/>
  <c r="AG166" i="6"/>
  <c r="AF166" i="6"/>
  <c r="AE166" i="6"/>
  <c r="AD166" i="6"/>
  <c r="AC166" i="6"/>
  <c r="AB166" i="6"/>
  <c r="AA166" i="6"/>
  <c r="Z166" i="6"/>
  <c r="Y166" i="6"/>
  <c r="X166" i="6"/>
  <c r="W166" i="6"/>
  <c r="V166" i="6"/>
  <c r="U166" i="6"/>
  <c r="T166" i="6"/>
  <c r="S166" i="6"/>
  <c r="R166" i="6"/>
  <c r="Q166" i="6"/>
  <c r="P166" i="6"/>
  <c r="O166" i="6"/>
  <c r="N166" i="6"/>
  <c r="E137" i="6"/>
  <c r="D137" i="6"/>
  <c r="C137" i="6"/>
  <c r="B137" i="6"/>
  <c r="I130" i="6"/>
  <c r="AH120" i="6"/>
  <c r="AG120" i="6"/>
  <c r="AF120" i="6"/>
  <c r="AE120" i="6"/>
  <c r="AD120" i="6"/>
  <c r="AC120" i="6"/>
  <c r="AB120" i="6"/>
  <c r="AA120" i="6"/>
  <c r="Z120" i="6"/>
  <c r="Y120" i="6"/>
  <c r="X120" i="6"/>
  <c r="W120" i="6"/>
  <c r="V120" i="6"/>
  <c r="U120" i="6"/>
  <c r="T120" i="6"/>
  <c r="S120" i="6"/>
  <c r="R120" i="6"/>
  <c r="Q120" i="6"/>
  <c r="P120" i="6"/>
  <c r="O120" i="6"/>
  <c r="N120" i="6"/>
  <c r="E89" i="6"/>
  <c r="D89" i="6"/>
  <c r="C89" i="6"/>
  <c r="B89" i="6"/>
  <c r="AH72" i="6"/>
  <c r="AG72" i="6"/>
  <c r="AF72" i="6"/>
  <c r="AE72" i="6"/>
  <c r="AD72" i="6"/>
  <c r="AC72" i="6"/>
  <c r="AB72" i="6"/>
  <c r="AA72" i="6"/>
  <c r="Z72" i="6"/>
  <c r="Y72" i="6"/>
  <c r="X72" i="6"/>
  <c r="W72" i="6"/>
  <c r="V72" i="6"/>
  <c r="U72" i="6"/>
  <c r="T72" i="6"/>
  <c r="S72" i="6"/>
  <c r="R72" i="6"/>
  <c r="Q72" i="6"/>
  <c r="P72" i="6"/>
  <c r="O72" i="6"/>
  <c r="N72" i="6"/>
  <c r="E43" i="6"/>
  <c r="D43" i="6"/>
  <c r="C43" i="6"/>
  <c r="B43" i="6"/>
  <c r="AH25" i="6"/>
  <c r="AG25" i="6"/>
  <c r="AF25" i="6"/>
  <c r="AE25" i="6"/>
  <c r="AD25" i="6"/>
  <c r="AC25" i="6"/>
  <c r="AB25" i="6"/>
  <c r="AA25" i="6"/>
  <c r="Z25" i="6"/>
  <c r="Y25" i="6"/>
  <c r="X25" i="6"/>
  <c r="W25" i="6"/>
  <c r="V25" i="6"/>
  <c r="U25" i="6"/>
  <c r="T25" i="6"/>
  <c r="S25" i="6"/>
  <c r="R25" i="6"/>
  <c r="Q25" i="6"/>
  <c r="P25" i="6"/>
  <c r="O25" i="6"/>
  <c r="N25" i="6"/>
  <c r="E22" i="6"/>
  <c r="D22" i="6"/>
  <c r="B15" i="6"/>
  <c r="E7" i="5" s="1"/>
  <c r="A132" i="5"/>
  <c r="G131" i="5"/>
  <c r="A131" i="5"/>
  <c r="I130" i="5"/>
  <c r="G130" i="5"/>
  <c r="A130" i="5"/>
  <c r="H7" i="5"/>
  <c r="G7" i="5"/>
  <c r="F43" i="6" l="1"/>
  <c r="E44" i="6" s="1"/>
  <c r="K25" i="6" s="1"/>
  <c r="Q26" i="6" s="1"/>
  <c r="F137" i="6"/>
  <c r="C138" i="6" s="1"/>
  <c r="I131" i="6" s="1"/>
  <c r="C7" i="5"/>
  <c r="D7" i="5" s="1"/>
  <c r="F89" i="6"/>
  <c r="C90" i="6" s="1"/>
  <c r="F180" i="6"/>
  <c r="B181" i="6" s="1"/>
  <c r="F251" i="6"/>
  <c r="K30" i="6" l="1"/>
  <c r="C44" i="6"/>
  <c r="I38" i="6" s="1"/>
  <c r="B138" i="6"/>
  <c r="H135" i="6" s="1"/>
  <c r="K26" i="6"/>
  <c r="U26" i="6" s="1"/>
  <c r="E138" i="6"/>
  <c r="K122" i="6" s="1"/>
  <c r="Y121" i="6" s="1"/>
  <c r="E181" i="6"/>
  <c r="K167" i="6" s="1"/>
  <c r="U167" i="6" s="1"/>
  <c r="I122" i="6"/>
  <c r="W121" i="6" s="1"/>
  <c r="I126" i="6"/>
  <c r="I135" i="6"/>
  <c r="K34" i="6"/>
  <c r="I123" i="6"/>
  <c r="AA121" i="6" s="1"/>
  <c r="I127" i="6"/>
  <c r="I132" i="6"/>
  <c r="I121" i="6"/>
  <c r="S121" i="6" s="1"/>
  <c r="K38" i="6"/>
  <c r="I128" i="6"/>
  <c r="I120" i="6"/>
  <c r="O121" i="6" s="1"/>
  <c r="I129" i="6"/>
  <c r="I134" i="6"/>
  <c r="I124" i="6"/>
  <c r="AE121" i="6" s="1"/>
  <c r="I133" i="6"/>
  <c r="I125" i="6"/>
  <c r="D138" i="6"/>
  <c r="J123" i="6" s="1"/>
  <c r="AB121" i="6" s="1"/>
  <c r="B90" i="6"/>
  <c r="H84" i="6" s="1"/>
  <c r="B44" i="6"/>
  <c r="H39" i="6" s="1"/>
  <c r="K27" i="6"/>
  <c r="Y26" i="6" s="1"/>
  <c r="K31" i="6"/>
  <c r="K35" i="6"/>
  <c r="K39" i="6"/>
  <c r="D44" i="6"/>
  <c r="J40" i="6" s="1"/>
  <c r="K28" i="6"/>
  <c r="AC26" i="6" s="1"/>
  <c r="K32" i="6"/>
  <c r="K36" i="6"/>
  <c r="K40" i="6"/>
  <c r="D90" i="6"/>
  <c r="J85" i="6" s="1"/>
  <c r="K29" i="6"/>
  <c r="AG26" i="6" s="1"/>
  <c r="K33" i="6"/>
  <c r="K37" i="6"/>
  <c r="I87" i="6"/>
  <c r="I85" i="6"/>
  <c r="I83" i="6"/>
  <c r="I81" i="6"/>
  <c r="I79" i="6"/>
  <c r="I75" i="6"/>
  <c r="AA73" i="6" s="1"/>
  <c r="I73" i="6"/>
  <c r="S73" i="6" s="1"/>
  <c r="I78" i="6"/>
  <c r="I74" i="6"/>
  <c r="W73" i="6" s="1"/>
  <c r="I76" i="6"/>
  <c r="AE73" i="6" s="1"/>
  <c r="I72" i="6"/>
  <c r="O73" i="6" s="1"/>
  <c r="I86" i="6"/>
  <c r="I84" i="6"/>
  <c r="I82" i="6"/>
  <c r="I80" i="6"/>
  <c r="I77" i="6"/>
  <c r="H178" i="6"/>
  <c r="H177" i="6"/>
  <c r="H176" i="6"/>
  <c r="H175" i="6"/>
  <c r="H174" i="6"/>
  <c r="H173" i="6"/>
  <c r="H172" i="6"/>
  <c r="H171" i="6"/>
  <c r="AH167" i="6" s="1"/>
  <c r="H170" i="6"/>
  <c r="AD167" i="6" s="1"/>
  <c r="H169" i="6"/>
  <c r="Z167" i="6" s="1"/>
  <c r="H168" i="6"/>
  <c r="V167" i="6" s="1"/>
  <c r="H166" i="6"/>
  <c r="N167" i="6" s="1"/>
  <c r="H167" i="6"/>
  <c r="R167" i="6" s="1"/>
  <c r="H83" i="6"/>
  <c r="E90" i="6"/>
  <c r="C252" i="6"/>
  <c r="B252" i="6"/>
  <c r="D181" i="6"/>
  <c r="C181" i="6"/>
  <c r="E252" i="6"/>
  <c r="D252" i="6"/>
  <c r="H132" i="6" l="1"/>
  <c r="K123" i="6"/>
  <c r="AC121" i="6" s="1"/>
  <c r="I32" i="6"/>
  <c r="I34" i="6"/>
  <c r="H79" i="6"/>
  <c r="H124" i="6"/>
  <c r="AD121" i="6" s="1"/>
  <c r="H125" i="6"/>
  <c r="AH121" i="6" s="1"/>
  <c r="H133" i="6"/>
  <c r="H121" i="6"/>
  <c r="R121" i="6" s="1"/>
  <c r="H128" i="6"/>
  <c r="J75" i="6"/>
  <c r="AB73" i="6" s="1"/>
  <c r="I39" i="6"/>
  <c r="K126" i="6"/>
  <c r="H120" i="6"/>
  <c r="N121" i="6" s="1"/>
  <c r="H129" i="6"/>
  <c r="I40" i="6"/>
  <c r="J29" i="6"/>
  <c r="AF26" i="6" s="1"/>
  <c r="I27" i="6"/>
  <c r="W26" i="6" s="1"/>
  <c r="I25" i="6"/>
  <c r="O26" i="6" s="1"/>
  <c r="K178" i="6"/>
  <c r="J25" i="6"/>
  <c r="P26" i="6" s="1"/>
  <c r="I29" i="6"/>
  <c r="AE26" i="6" s="1"/>
  <c r="I31" i="6"/>
  <c r="I33" i="6"/>
  <c r="I37" i="6"/>
  <c r="H36" i="6"/>
  <c r="I35" i="6"/>
  <c r="I26" i="6"/>
  <c r="S26" i="6" s="1"/>
  <c r="K171" i="6"/>
  <c r="I30" i="6"/>
  <c r="I28" i="6"/>
  <c r="AA26" i="6" s="1"/>
  <c r="I36" i="6"/>
  <c r="K133" i="6"/>
  <c r="K124" i="6"/>
  <c r="AG121" i="6" s="1"/>
  <c r="K127" i="6"/>
  <c r="H28" i="6"/>
  <c r="Z26" i="6" s="1"/>
  <c r="K125" i="6"/>
  <c r="H37" i="6"/>
  <c r="K128" i="6"/>
  <c r="K130" i="6"/>
  <c r="H29" i="6"/>
  <c r="AD26" i="6" s="1"/>
  <c r="J83" i="6"/>
  <c r="H74" i="6"/>
  <c r="V73" i="6" s="1"/>
  <c r="H85" i="6"/>
  <c r="H122" i="6"/>
  <c r="V121" i="6" s="1"/>
  <c r="H126" i="6"/>
  <c r="H130" i="6"/>
  <c r="H134" i="6"/>
  <c r="J87" i="6"/>
  <c r="J33" i="6"/>
  <c r="H76" i="6"/>
  <c r="AD73" i="6" s="1"/>
  <c r="H78" i="6"/>
  <c r="H87" i="6"/>
  <c r="J127" i="6"/>
  <c r="K173" i="6"/>
  <c r="H123" i="6"/>
  <c r="Z121" i="6" s="1"/>
  <c r="H127" i="6"/>
  <c r="H131" i="6"/>
  <c r="J37" i="6"/>
  <c r="H77" i="6"/>
  <c r="AH73" i="6" s="1"/>
  <c r="H82" i="6"/>
  <c r="J120" i="6"/>
  <c r="P121" i="6" s="1"/>
  <c r="K177" i="6"/>
  <c r="K168" i="6"/>
  <c r="Y167" i="6" s="1"/>
  <c r="K175" i="6"/>
  <c r="K131" i="6"/>
  <c r="K129" i="6"/>
  <c r="K134" i="6"/>
  <c r="K121" i="6"/>
  <c r="U121" i="6" s="1"/>
  <c r="K170" i="6"/>
  <c r="AG167" i="6" s="1"/>
  <c r="K172" i="6"/>
  <c r="K166" i="6"/>
  <c r="Q167" i="6" s="1"/>
  <c r="H32" i="6"/>
  <c r="H40" i="6"/>
  <c r="K120" i="6"/>
  <c r="Q121" i="6" s="1"/>
  <c r="K135" i="6"/>
  <c r="K132" i="6"/>
  <c r="K169" i="6"/>
  <c r="AC167" i="6" s="1"/>
  <c r="K174" i="6"/>
  <c r="K176" i="6"/>
  <c r="J79" i="6"/>
  <c r="H25" i="6"/>
  <c r="N26" i="6" s="1"/>
  <c r="H33" i="6"/>
  <c r="H73" i="6"/>
  <c r="R73" i="6" s="1"/>
  <c r="H81" i="6"/>
  <c r="H86" i="6"/>
  <c r="J74" i="6"/>
  <c r="X73" i="6" s="1"/>
  <c r="J78" i="6"/>
  <c r="J82" i="6"/>
  <c r="J86" i="6"/>
  <c r="J124" i="6"/>
  <c r="AF121" i="6" s="1"/>
  <c r="J131" i="6"/>
  <c r="G137" i="6"/>
  <c r="J73" i="6"/>
  <c r="T73" i="6" s="1"/>
  <c r="J76" i="6"/>
  <c r="AF73" i="6" s="1"/>
  <c r="J80" i="6"/>
  <c r="J84" i="6"/>
  <c r="J132" i="6"/>
  <c r="J121" i="6"/>
  <c r="T121" i="6" s="1"/>
  <c r="J134" i="6"/>
  <c r="J133" i="6"/>
  <c r="J126" i="6"/>
  <c r="J130" i="6"/>
  <c r="J122" i="6"/>
  <c r="X121" i="6" s="1"/>
  <c r="J129" i="6"/>
  <c r="J125" i="6"/>
  <c r="J72" i="6"/>
  <c r="P73" i="6" s="1"/>
  <c r="J77" i="6"/>
  <c r="J81" i="6"/>
  <c r="J128" i="6"/>
  <c r="J135" i="6"/>
  <c r="J26" i="6"/>
  <c r="T26" i="6" s="1"/>
  <c r="J30" i="6"/>
  <c r="J34" i="6"/>
  <c r="J38" i="6"/>
  <c r="G43" i="6"/>
  <c r="J27" i="6"/>
  <c r="X26" i="6" s="1"/>
  <c r="J31" i="6"/>
  <c r="J35" i="6"/>
  <c r="J39" i="6"/>
  <c r="H26" i="6"/>
  <c r="R26" i="6" s="1"/>
  <c r="H30" i="6"/>
  <c r="AH26" i="6" s="1"/>
  <c r="H34" i="6"/>
  <c r="H38" i="6"/>
  <c r="J28" i="6"/>
  <c r="AB26" i="6" s="1"/>
  <c r="J32" i="6"/>
  <c r="J36" i="6"/>
  <c r="H27" i="6"/>
  <c r="V26" i="6" s="1"/>
  <c r="H31" i="6"/>
  <c r="H35" i="6"/>
  <c r="H72" i="6"/>
  <c r="N73" i="6" s="1"/>
  <c r="H75" i="6"/>
  <c r="Z73" i="6" s="1"/>
  <c r="H80" i="6"/>
  <c r="I231" i="6"/>
  <c r="O232" i="6" s="1"/>
  <c r="I246" i="6"/>
  <c r="I245" i="6"/>
  <c r="I244" i="6"/>
  <c r="I243" i="6"/>
  <c r="I242" i="6"/>
  <c r="I241" i="6"/>
  <c r="I240" i="6"/>
  <c r="I239" i="6"/>
  <c r="I238" i="6"/>
  <c r="I237" i="6"/>
  <c r="I236" i="6"/>
  <c r="I235" i="6"/>
  <c r="AE232" i="6" s="1"/>
  <c r="I234" i="6"/>
  <c r="AA232" i="6" s="1"/>
  <c r="I233" i="6"/>
  <c r="W232" i="6" s="1"/>
  <c r="I232" i="6"/>
  <c r="S232" i="6" s="1"/>
  <c r="I167" i="6"/>
  <c r="S167" i="6" s="1"/>
  <c r="I178" i="6"/>
  <c r="I177" i="6"/>
  <c r="I176" i="6"/>
  <c r="I175" i="6"/>
  <c r="I174" i="6"/>
  <c r="I173" i="6"/>
  <c r="I172" i="6"/>
  <c r="I171" i="6"/>
  <c r="I170" i="6"/>
  <c r="AE167" i="6" s="1"/>
  <c r="I169" i="6"/>
  <c r="AA167" i="6" s="1"/>
  <c r="I168" i="6"/>
  <c r="W167" i="6" s="1"/>
  <c r="I166" i="6"/>
  <c r="O167" i="6" s="1"/>
  <c r="K76" i="6"/>
  <c r="AG73" i="6" s="1"/>
  <c r="K86" i="6"/>
  <c r="K84" i="6"/>
  <c r="K82" i="6"/>
  <c r="K80" i="6"/>
  <c r="K77" i="6"/>
  <c r="K87" i="6"/>
  <c r="K85" i="6"/>
  <c r="K83" i="6"/>
  <c r="K79" i="6"/>
  <c r="K78" i="6"/>
  <c r="K74" i="6"/>
  <c r="Y73" i="6" s="1"/>
  <c r="K73" i="6"/>
  <c r="U73" i="6" s="1"/>
  <c r="K81" i="6"/>
  <c r="K75" i="6"/>
  <c r="AC73" i="6" s="1"/>
  <c r="K72" i="6"/>
  <c r="Q73" i="6" s="1"/>
  <c r="J232" i="6"/>
  <c r="T232" i="6" s="1"/>
  <c r="J231" i="6"/>
  <c r="P232" i="6" s="1"/>
  <c r="J243" i="6"/>
  <c r="J239" i="6"/>
  <c r="J235" i="6"/>
  <c r="AF232" i="6" s="1"/>
  <c r="J244" i="6"/>
  <c r="J240" i="6"/>
  <c r="J236" i="6"/>
  <c r="J246" i="6"/>
  <c r="J242" i="6"/>
  <c r="J238" i="6"/>
  <c r="J234" i="6"/>
  <c r="AB232" i="6" s="1"/>
  <c r="J245" i="6"/>
  <c r="J241" i="6"/>
  <c r="J237" i="6"/>
  <c r="J233" i="6"/>
  <c r="X232" i="6" s="1"/>
  <c r="J166" i="6"/>
  <c r="P167" i="6" s="1"/>
  <c r="J178" i="6"/>
  <c r="J177" i="6"/>
  <c r="J176" i="6"/>
  <c r="J175" i="6"/>
  <c r="J174" i="6"/>
  <c r="J173" i="6"/>
  <c r="J172" i="6"/>
  <c r="J171" i="6"/>
  <c r="J170" i="6"/>
  <c r="AF167" i="6" s="1"/>
  <c r="J169" i="6"/>
  <c r="AB167" i="6" s="1"/>
  <c r="J168" i="6"/>
  <c r="X167" i="6" s="1"/>
  <c r="J167" i="6"/>
  <c r="T167" i="6" s="1"/>
  <c r="K246" i="6"/>
  <c r="K245" i="6"/>
  <c r="K244" i="6"/>
  <c r="K243" i="6"/>
  <c r="K242" i="6"/>
  <c r="K241" i="6"/>
  <c r="K240" i="6"/>
  <c r="K239" i="6"/>
  <c r="K238" i="6"/>
  <c r="K237" i="6"/>
  <c r="K236" i="6"/>
  <c r="K235" i="6"/>
  <c r="AG232" i="6" s="1"/>
  <c r="K234" i="6"/>
  <c r="AC232" i="6" s="1"/>
  <c r="K233" i="6"/>
  <c r="Y232" i="6" s="1"/>
  <c r="K231" i="6"/>
  <c r="Q232" i="6" s="1"/>
  <c r="K232" i="6"/>
  <c r="U232" i="6" s="1"/>
  <c r="H232" i="6"/>
  <c r="R232" i="6" s="1"/>
  <c r="G251" i="6"/>
  <c r="H246" i="6"/>
  <c r="H245" i="6"/>
  <c r="H244" i="6"/>
  <c r="H243" i="6"/>
  <c r="H242" i="6"/>
  <c r="H241" i="6"/>
  <c r="H240" i="6"/>
  <c r="H239" i="6"/>
  <c r="H238" i="6"/>
  <c r="H237" i="6"/>
  <c r="H236" i="6"/>
  <c r="AH232" i="6" s="1"/>
  <c r="H235" i="6"/>
  <c r="AD232" i="6" s="1"/>
  <c r="H234" i="6"/>
  <c r="Z232" i="6" s="1"/>
  <c r="H233" i="6"/>
  <c r="V232" i="6" s="1"/>
  <c r="H231" i="6"/>
  <c r="N232" i="6" s="1"/>
  <c r="G89" i="6"/>
  <c r="G180" i="6"/>
  <c r="C83" i="4" l="1"/>
  <c r="C84" i="4" s="1"/>
  <c r="C85" i="4" s="1"/>
  <c r="C86" i="4" s="1"/>
  <c r="B83" i="4"/>
  <c r="D83" i="4" s="1"/>
  <c r="E83" i="4" s="1"/>
  <c r="D82" i="4"/>
  <c r="E82" i="4" s="1"/>
  <c r="C35" i="4"/>
  <c r="C36" i="4" s="1"/>
  <c r="C37" i="4" s="1"/>
  <c r="C38" i="4" s="1"/>
  <c r="D31" i="4"/>
  <c r="E31" i="4" s="1"/>
  <c r="D30" i="4"/>
  <c r="E30" i="4" s="1"/>
  <c r="D29" i="4"/>
  <c r="E29" i="4" s="1"/>
  <c r="B16" i="4" s="1"/>
  <c r="A7" i="3" s="1"/>
  <c r="D28" i="4"/>
  <c r="E28" i="4" s="1"/>
  <c r="D27" i="4"/>
  <c r="E27" i="4" s="1"/>
  <c r="D26" i="4"/>
  <c r="E26" i="4" s="1"/>
  <c r="D25" i="4"/>
  <c r="E25" i="4" s="1"/>
  <c r="D24" i="4"/>
  <c r="E24" i="4" s="1"/>
  <c r="D23" i="4"/>
  <c r="E23" i="4" s="1"/>
  <c r="B15" i="4"/>
  <c r="B14" i="4"/>
  <c r="I52" i="3"/>
  <c r="G52" i="3"/>
  <c r="A52" i="3"/>
  <c r="I51" i="3"/>
  <c r="G51" i="3"/>
  <c r="A51" i="3"/>
  <c r="I50" i="3"/>
  <c r="G50" i="3"/>
  <c r="A50" i="3"/>
  <c r="I49" i="3"/>
  <c r="G49" i="3"/>
  <c r="A49" i="3"/>
  <c r="G9" i="3"/>
  <c r="F7" i="3"/>
  <c r="E7" i="3"/>
  <c r="C7" i="3"/>
  <c r="B84" i="4" l="1"/>
  <c r="D84" i="4" l="1"/>
  <c r="E84" i="4" s="1"/>
  <c r="B85" i="4"/>
  <c r="D85" i="4" l="1"/>
  <c r="E85" i="4" s="1"/>
  <c r="B86" i="4"/>
  <c r="D86" i="4" s="1"/>
  <c r="E86" i="4" s="1"/>
</calcChain>
</file>

<file path=xl/comments1.xml><?xml version="1.0" encoding="utf-8"?>
<comments xmlns="http://schemas.openxmlformats.org/spreadsheetml/2006/main">
  <authors>
    <author>RDEARY</author>
    <author>Registered User</author>
    <author>lgurung</author>
  </authors>
  <commentList>
    <comment ref="C37" authorId="0" shapeId="0">
      <text>
        <r>
          <rPr>
            <b/>
            <sz val="9"/>
            <color indexed="81"/>
            <rFont val="Tahoma"/>
            <family val="2"/>
          </rPr>
          <t>RDEARY:</t>
        </r>
        <r>
          <rPr>
            <sz val="9"/>
            <color indexed="81"/>
            <rFont val="Tahoma"/>
            <family val="2"/>
          </rPr>
          <t xml:space="preserve">
Target amended to reflect change in quarter compared to last year.</t>
        </r>
      </text>
    </comment>
    <comment ref="D37" authorId="0" shapeId="0">
      <text>
        <r>
          <rPr>
            <b/>
            <sz val="9"/>
            <color indexed="81"/>
            <rFont val="Tahoma"/>
            <family val="2"/>
          </rPr>
          <t>RDEARY:</t>
        </r>
        <r>
          <rPr>
            <sz val="9"/>
            <color indexed="81"/>
            <rFont val="Tahoma"/>
            <family val="2"/>
          </rPr>
          <t xml:space="preserve">
Formula removed - figure manually inserted to take into account Q2 proxy figure used for August (source August '14). 25,592 is the actual YTD figure as opposed to the sum of the previously reported YTD figure.</t>
        </r>
      </text>
    </comment>
    <comment ref="B40" authorId="1" shapeId="0">
      <text>
        <r>
          <rPr>
            <b/>
            <sz val="9"/>
            <color indexed="81"/>
            <rFont val="Tahoma"/>
            <family val="2"/>
          </rPr>
          <t xml:space="preserve">KB includes +43 from Q1 pumping and +2 for rounding.
 </t>
        </r>
        <r>
          <rPr>
            <sz val="9"/>
            <color indexed="81"/>
            <rFont val="Tahoma"/>
            <family val="2"/>
          </rPr>
          <t xml:space="preserve">
</t>
        </r>
      </text>
    </comment>
    <comment ref="A54" authorId="2" shapeId="0">
      <text>
        <r>
          <rPr>
            <b/>
            <sz val="9"/>
            <color indexed="81"/>
            <rFont val="Tahoma"/>
            <family val="2"/>
          </rPr>
          <t>lgurung:</t>
        </r>
        <r>
          <rPr>
            <sz val="9"/>
            <color indexed="81"/>
            <rFont val="Tahoma"/>
            <family val="2"/>
          </rPr>
          <t xml:space="preserve">
This include NLS.</t>
        </r>
      </text>
    </comment>
    <comment ref="O55" authorId="1" shapeId="0">
      <text>
        <r>
          <rPr>
            <b/>
            <sz val="9"/>
            <color indexed="81"/>
            <rFont val="Tahoma"/>
            <family val="2"/>
          </rPr>
          <t>KB Q1 1522 whereas Carbon calculator now records 1565 (+ 43) so I have added 43 to 1863 = 1906. + 2 for rounding (difference between these totals and the total in the carbon calulator) so total is 1908</t>
        </r>
        <r>
          <rPr>
            <sz val="9"/>
            <color indexed="81"/>
            <rFont val="Tahoma"/>
            <family val="2"/>
          </rPr>
          <t xml:space="preserve">
</t>
        </r>
      </text>
    </comment>
  </commentList>
</comments>
</file>

<file path=xl/comments2.xml><?xml version="1.0" encoding="utf-8"?>
<comments xmlns="http://schemas.openxmlformats.org/spreadsheetml/2006/main">
  <authors>
    <author>pcleavely</author>
  </authors>
  <commentList>
    <comment ref="C39" authorId="0" shapeId="0">
      <text>
        <r>
          <rPr>
            <b/>
            <sz val="9"/>
            <color indexed="81"/>
            <rFont val="Tahoma"/>
            <family val="2"/>
          </rPr>
          <t>pcleavely:</t>
        </r>
        <r>
          <rPr>
            <sz val="9"/>
            <color indexed="81"/>
            <rFont val="Tahoma"/>
            <family val="2"/>
          </rPr>
          <t xml:space="preserve">
Added £10m to budget profile for approx Q1 budget relating to Recovery and Defra estates prog not yet included in our budgets</t>
        </r>
      </text>
    </comment>
  </commentList>
</comments>
</file>

<file path=xl/sharedStrings.xml><?xml version="1.0" encoding="utf-8"?>
<sst xmlns="http://schemas.openxmlformats.org/spreadsheetml/2006/main" count="1638" uniqueCount="617">
  <si>
    <t>LTI frequency rate per 100,000 hours</t>
  </si>
  <si>
    <t xml:space="preserve">7 EA 12 We provide a safe place to work </t>
  </si>
  <si>
    <t>% of executive manager workforce</t>
  </si>
  <si>
    <t>b) The proportion of our executive managers who are female</t>
  </si>
  <si>
    <t>% of workforce</t>
  </si>
  <si>
    <t>a) The proportion of our staff who are from a black, asian and minority ethnic (BAME) background</t>
  </si>
  <si>
    <t xml:space="preserve">7 EA 11 We have a diverse workforce: </t>
  </si>
  <si>
    <t xml:space="preserve">Objective 7: An inclusive, professional workforce where leaders recognise the contribution of people, and build capability to deliver better outcomes
</t>
  </si>
  <si>
    <t>Tonnes of carbon dioxide</t>
  </si>
  <si>
    <t>6 EA 10 We reduce our carbon footprint</t>
  </si>
  <si>
    <t xml:space="preserve">Objective 6: An organisation continually striving to be the best, focused on outcomes and constantly challenging itself
</t>
  </si>
  <si>
    <t>% responded to within target time</t>
  </si>
  <si>
    <t>% spend to
budget</t>
  </si>
  <si>
    <t>5 EA 8 We manage our money efficiently to deliver our outcomes</t>
  </si>
  <si>
    <t xml:space="preserve">Objective 5: Excellent delivery, on time and to budget and with outstanding value for money
</t>
  </si>
  <si>
    <t>Percentage of staff surveyed</t>
  </si>
  <si>
    <t>b) Percentage of staff who respond that they feel confident in the role</t>
  </si>
  <si>
    <t>Number of people</t>
  </si>
  <si>
    <t>a) Number of staff who are trained and ready to respond to incidents</t>
  </si>
  <si>
    <t>% of high risk assets at target condition</t>
  </si>
  <si>
    <t>4 EA 6 We maintain our flood and coastal risk management assets at or above the target condition</t>
  </si>
  <si>
    <t>Number of households better protected</t>
  </si>
  <si>
    <t xml:space="preserve">Objective 4: A nation better protected against floods, animal and plant diseases and other hazards, with strong response and recovery capabilities
</t>
  </si>
  <si>
    <t>Number of high risk illegal waste sites</t>
  </si>
  <si>
    <t>Annual Q4</t>
  </si>
  <si>
    <t>Green 
575 ha</t>
  </si>
  <si>
    <t>Hectares created</t>
  </si>
  <si>
    <t>3a
3b
3c</t>
  </si>
  <si>
    <t>Number of incidents in the last 12 months</t>
  </si>
  <si>
    <t>Kilometres</t>
  </si>
  <si>
    <t xml:space="preserve">Objective 1: A cleaner, healthier environment, benefiting people and the economy
</t>
  </si>
  <si>
    <t>Page</t>
  </si>
  <si>
    <t>Year end forecast status</t>
  </si>
  <si>
    <t>Year end target</t>
  </si>
  <si>
    <t>Previously Reported Results</t>
  </si>
  <si>
    <t>Units</t>
  </si>
  <si>
    <t>Red</t>
  </si>
  <si>
    <t>Q3 year to date
Actual</t>
  </si>
  <si>
    <t>Q3 year to date
Target</t>
  </si>
  <si>
    <t>Q3 year to date status</t>
  </si>
  <si>
    <t>Amber</t>
  </si>
  <si>
    <t>Green</t>
  </si>
  <si>
    <t>1 EA 1 The water environment is healthier</t>
  </si>
  <si>
    <t xml:space="preserve">1 EA 2 We protect people, the environment and wildlife by reducing serious pollution incidents </t>
  </si>
  <si>
    <t xml:space="preserve">1 EA 3 We create new habitats </t>
  </si>
  <si>
    <t xml:space="preserve">1 EA 4 We reduce the number of high risk Illegal waste sites </t>
  </si>
  <si>
    <t>4 EA 5 We reduce the risk of flooding for more households</t>
  </si>
  <si>
    <t xml:space="preserve">4 EA 7 We have a first class incident response capability </t>
  </si>
  <si>
    <t xml:space="preserve">5 EA 9 We respond to planning application consultations within 21 days </t>
  </si>
  <si>
    <t>Q3 status</t>
  </si>
  <si>
    <t>Q3 actual (Km)</t>
  </si>
  <si>
    <t>Q3 target</t>
  </si>
  <si>
    <t>Year end forecast</t>
  </si>
  <si>
    <t>Year end target (Km)</t>
  </si>
  <si>
    <t>Kilometres of rivers, lakes and coastal waters enhanced this year</t>
  </si>
  <si>
    <t>Insight cumulative totals</t>
  </si>
  <si>
    <t>Actions</t>
  </si>
  <si>
    <t>Action(s)</t>
  </si>
  <si>
    <t>Owner(s)</t>
  </si>
  <si>
    <t>Deadline(s)</t>
  </si>
  <si>
    <t>We work with others to improve the quality of surface waters, groundwaters, coastal waters and wetlands</t>
  </si>
  <si>
    <t>Protecting and improving water, land and biodiversity</t>
  </si>
  <si>
    <r>
      <rPr>
        <b/>
        <sz val="10"/>
        <color theme="1"/>
        <rFont val="Calibri"/>
        <family val="2"/>
        <scheme val="minor"/>
      </rPr>
      <t>Ed Mitchell</t>
    </r>
    <r>
      <rPr>
        <sz val="10"/>
        <color theme="1"/>
        <rFont val="Calibri"/>
        <family val="2"/>
        <scheme val="minor"/>
      </rPr>
      <t xml:space="preserve"> - Executive Director Environment and Business
</t>
    </r>
    <r>
      <rPr>
        <b/>
        <sz val="10"/>
        <color theme="1"/>
        <rFont val="Calibri"/>
        <family val="2"/>
        <scheme val="minor"/>
      </rPr>
      <t xml:space="preserve">Toby Willison </t>
    </r>
    <r>
      <rPr>
        <sz val="10"/>
        <color theme="1"/>
        <rFont val="Calibri"/>
        <family val="2"/>
        <scheme val="minor"/>
      </rPr>
      <t>- Director Water, Land and Biodiversity</t>
    </r>
  </si>
  <si>
    <t>Green Upper</t>
  </si>
  <si>
    <t>Information</t>
  </si>
  <si>
    <t>Green Lower</t>
  </si>
  <si>
    <t>Please amend yellow boxes only. 
Ensure that you select from the drop down list so that formatting and formulas are correct and all reports are consistent.
Please do not alter text size to make writing fit - we will have to come back to you and ask for an edit.
If the report on the front tab appears across two pages, amend your margins to the narrow setting (Page layout&gt;margins&gt;narrow)
If you have any concerns, please document these in the 'Analyst comments' box, leaving your name and contact number. We will be in touch to make any changes required.</t>
  </si>
  <si>
    <t>Amber Upper</t>
  </si>
  <si>
    <t>Amber Lower</t>
  </si>
  <si>
    <t>Red Upper</t>
  </si>
  <si>
    <t>Red Lower</t>
  </si>
  <si>
    <t>Reporting period</t>
  </si>
  <si>
    <t>2017/18 Q3</t>
  </si>
  <si>
    <t>Actual</t>
  </si>
  <si>
    <t>Target</t>
  </si>
  <si>
    <t>RAG</t>
  </si>
  <si>
    <t>1 EA 1 (KPI 1311)</t>
  </si>
  <si>
    <t>Approved</t>
  </si>
  <si>
    <t>Date</t>
  </si>
  <si>
    <t>Table 1: Performance</t>
  </si>
  <si>
    <t>Measure Reporter</t>
  </si>
  <si>
    <t>Areas - KPI Data</t>
  </si>
  <si>
    <t>Period</t>
  </si>
  <si>
    <t xml:space="preserve">Target </t>
  </si>
  <si>
    <t>PvT</t>
  </si>
  <si>
    <t>Measure Owner</t>
  </si>
  <si>
    <t>Ben Bunting</t>
  </si>
  <si>
    <t>2016/17 Q1</t>
  </si>
  <si>
    <t>Deputy Director</t>
  </si>
  <si>
    <t>Anne Dacey</t>
  </si>
  <si>
    <t>2016/17 Q2</t>
  </si>
  <si>
    <t xml:space="preserve">Director </t>
  </si>
  <si>
    <t>Pete Fox</t>
  </si>
  <si>
    <t>2016/17 Q3</t>
  </si>
  <si>
    <t>Exec Director</t>
  </si>
  <si>
    <t>Harvey Bradshaw</t>
  </si>
  <si>
    <t>2016/17 Q4</t>
  </si>
  <si>
    <t>2017/18 Q1</t>
  </si>
  <si>
    <t>2017/18 Q2</t>
  </si>
  <si>
    <t>2017/18 Q4</t>
  </si>
  <si>
    <t>Table 2: Breakdown by type - Ecological status</t>
  </si>
  <si>
    <t>Number</t>
  </si>
  <si>
    <t xml:space="preserve">Cumulative </t>
  </si>
  <si>
    <t>Good or better</t>
  </si>
  <si>
    <t>Moderate</t>
  </si>
  <si>
    <t>Poor</t>
  </si>
  <si>
    <t>Bad</t>
  </si>
  <si>
    <r>
      <rPr>
        <b/>
        <sz val="12"/>
        <color theme="1"/>
        <rFont val="Calibri"/>
        <family val="2"/>
        <scheme val="minor"/>
      </rPr>
      <t>Performance explanation</t>
    </r>
    <r>
      <rPr>
        <sz val="12"/>
        <color theme="1"/>
        <rFont val="Calibri"/>
        <family val="2"/>
        <scheme val="minor"/>
      </rPr>
      <t xml:space="preserve"> </t>
    </r>
    <r>
      <rPr>
        <b/>
        <sz val="10"/>
        <color rgb="FFFF0000"/>
        <rFont val="Calibri"/>
        <family val="2"/>
        <scheme val="minor"/>
      </rPr>
      <t>Yellow box is just a guide. Please check that text fits into space on insight tab, please do not increase the size on the insight (minimum size 10.5 Calibri font)</t>
    </r>
  </si>
  <si>
    <t>We continue to enhance the water environment to meet the new challenging target of 1,500km enhanced in the 2017/18 financial year. Work on diffuse sources of pollution make up one third of the report this quarter, with physical modification, point sources and invasive species making up the rest. Progress has been mainly from regulatory efforts in agriculture, the water industry and domestic properties. Other partners have also had a large contribution specifically in agriculture and the mining industry. Thanks to these contributions we have recorded a further 185km of enhancements this quarter, taking the total for the year so far to 1,156km and 2,386km since we updated the river basin management plans in December 2015.
The environment does not stand still, and we will continue to put effort into reversing and preventing deterioration to maintain the quality of the water environment. We have started a trial to collect information on what is being done and aim to report this regularly from the start of the next financial year. As an example, we have used regulatory approaches to contribute to reversing deterioration in 20km of river in Cumbria and Lancashire and West Midlands.  Deterioration has been prevented along 25km of rivers and canals through the area environment programme and by working with other partners in Lincolnshire, Northamptonshire and in the north east.
Most recent classification results show that just 14% of waters are achieving good status. To achieve more, a range of people and organisations need to continue to play their part to resolve complex environmental problems. The ‘km enhanced’ measure captures these contributions, and although we know it will take time we are confident that the work we are doing will lead to securing good status.</t>
  </si>
  <si>
    <r>
      <t>Actions</t>
    </r>
    <r>
      <rPr>
        <b/>
        <sz val="10"/>
        <color rgb="FFFF0000"/>
        <rFont val="Arial"/>
        <family val="2"/>
      </rPr>
      <t xml:space="preserve"> Yellow boxes are just a guide. Please check that text fits into space on insight tab (maximum of 4, minimum font size 10.5 Calibri font)</t>
    </r>
  </si>
  <si>
    <t>Action</t>
  </si>
  <si>
    <t>Owner</t>
  </si>
  <si>
    <t>Deadline xx/xx/xxxx</t>
  </si>
  <si>
    <r>
      <rPr>
        <b/>
        <sz val="12"/>
        <color theme="1"/>
        <rFont val="Arial"/>
        <family val="2"/>
      </rPr>
      <t>Analyst comments</t>
    </r>
    <r>
      <rPr>
        <i/>
        <sz val="10"/>
        <color rgb="FFFF0000"/>
        <rFont val="Arial"/>
        <family val="2"/>
      </rPr>
      <t xml:space="preserve"> </t>
    </r>
    <r>
      <rPr>
        <b/>
        <sz val="10"/>
        <color rgb="FFFF0000"/>
        <rFont val="Arial"/>
        <family val="2"/>
      </rPr>
      <t>(please use this space to let Corporate Planning and Performance know of any issues that you have with your insight report. Leave your name and contact number and we will be in touch)</t>
    </r>
  </si>
  <si>
    <t>Table 2: Cumulative</t>
  </si>
  <si>
    <t>Cumulative Actual</t>
  </si>
  <si>
    <t>2021 Target</t>
  </si>
  <si>
    <t>2016/17</t>
  </si>
  <si>
    <t>Q3 Status</t>
  </si>
  <si>
    <t>Q3 Actual</t>
  </si>
  <si>
    <t>(+10%)</t>
  </si>
  <si>
    <t>Ceiling Target</t>
  </si>
  <si>
    <t>Forecast</t>
  </si>
  <si>
    <t>Number of Category 1 and 2 pollution incidents by reported date</t>
  </si>
  <si>
    <t xml:space="preserve">                                                                                            </t>
  </si>
  <si>
    <t>Number of Category 1 &amp; 2 pollution incidents by sector</t>
  </si>
  <si>
    <t>insight - breakdown by media impacted</t>
  </si>
  <si>
    <t>Overview this quarter</t>
  </si>
  <si>
    <t>Commentary Insight</t>
  </si>
  <si>
    <t>Deputy Director Radioactive Substances and Installations Regulation</t>
  </si>
  <si>
    <t>Water companies: the decrease in this sector has slowed and is of concern if we are to meet the target for no more than 25 incidents by 2020. Actions are ongoing to reduce incidents in key areas, such as water distribution which has seen a rise, but more work is needed to influence the companies at a cultural level and to encourage them to share best practice to reduce incidents for the sector.</t>
  </si>
  <si>
    <t>Water, Land and Biodiversity Manager</t>
  </si>
  <si>
    <t>We reduce serious and significant pollution incidents</t>
  </si>
  <si>
    <t>Improving the way we work as a regulator to protect people and the environment and support sustainable growth</t>
  </si>
  <si>
    <r>
      <rPr>
        <b/>
        <sz val="10"/>
        <color theme="1"/>
        <rFont val="Calibri"/>
        <family val="2"/>
        <scheme val="minor"/>
      </rPr>
      <t>Harvey Bradshaw</t>
    </r>
    <r>
      <rPr>
        <sz val="10"/>
        <color theme="1"/>
        <rFont val="Calibri"/>
        <family val="2"/>
        <scheme val="minor"/>
      </rPr>
      <t xml:space="preserve"> - Executive Director Environment and Business
Marie Fallon - Director Regulated Industry</t>
    </r>
  </si>
  <si>
    <t>Please amend light yellow boxes only. 
Ensure that you select from the drop down list so that formatting and formulas are correct and all reports are consistent.
Please do not alter text size to make writing fit - we will have to come back to you and ask for an edit.
If the report on the front tab appears across two pages, amend your margins to the narrow setting (Page layout&gt;margins&gt;narrow)
If you have any concerns, please document these in the 'Analyst comments' box, leaving your name and contact number. We will be in touch to make any changes required.</t>
  </si>
  <si>
    <t>Performance %</t>
  </si>
  <si>
    <t>Current RAG Status</t>
  </si>
  <si>
    <t>Year End Forecast</t>
  </si>
  <si>
    <t>2014/15</t>
  </si>
  <si>
    <t>Table 1: Illegal Waste Management- Totals for the quarter here</t>
  </si>
  <si>
    <t>Seasonally adjusted - all calculated so please leave</t>
  </si>
  <si>
    <t>illegal Waste - All automated - No need to do anything with these</t>
  </si>
  <si>
    <t>Jan-Mar</t>
  </si>
  <si>
    <t>April-Jun</t>
  </si>
  <si>
    <t>July-Sep</t>
  </si>
  <si>
    <t>Oct-Dec</t>
  </si>
  <si>
    <t>Jan-Mar Seasonality</t>
  </si>
  <si>
    <t>Apr-Jun Seasonality</t>
  </si>
  <si>
    <t>July-Sep Seasonality</t>
  </si>
  <si>
    <t>Oct-Dec Seasonality</t>
  </si>
  <si>
    <t>2013 Jan-Mar</t>
  </si>
  <si>
    <t>2013 Apr-Jun</t>
  </si>
  <si>
    <t>2013 Jul-Sep</t>
  </si>
  <si>
    <t>2013 Oct-Dec</t>
  </si>
  <si>
    <t>2014 Jan-Mar</t>
  </si>
  <si>
    <t>2014 Apr-Jun</t>
  </si>
  <si>
    <t>2014 Jul-Sep</t>
  </si>
  <si>
    <t>2014 Oct-Dec</t>
  </si>
  <si>
    <t>2015 Jan-Mar</t>
  </si>
  <si>
    <t>2015 Apr-Jun</t>
  </si>
  <si>
    <t>2015 Jul-Sep</t>
  </si>
  <si>
    <t>2015 Oct-Dec</t>
  </si>
  <si>
    <t>2016 Jan-Mar</t>
  </si>
  <si>
    <t>2016 Apr-Jun</t>
  </si>
  <si>
    <t>2016 Jul-Sep</t>
  </si>
  <si>
    <t>2016 Oct-Dec</t>
  </si>
  <si>
    <t>2017 Jan-Mar</t>
  </si>
  <si>
    <t>2017 Apr-Jun</t>
  </si>
  <si>
    <t>2017 Jul-Sep</t>
  </si>
  <si>
    <t>2017 Oct-Dec</t>
  </si>
  <si>
    <t>2018 Jan-Mar</t>
  </si>
  <si>
    <t>Seasonally Adjusted Actual</t>
  </si>
  <si>
    <t>Average of Averages</t>
  </si>
  <si>
    <t>Seasonal Index check should be 1</t>
  </si>
  <si>
    <t>Quarter Average</t>
  </si>
  <si>
    <t>Seasonal Index</t>
  </si>
  <si>
    <t>Table 1a: Illegal Waste main contributors - Totals for the quarter here</t>
  </si>
  <si>
    <t>Fly-tipping</t>
  </si>
  <si>
    <t>Illegal waste site</t>
  </si>
  <si>
    <t>Burning of waste</t>
  </si>
  <si>
    <t>Unauthorised waste management activity</t>
  </si>
  <si>
    <t>v</t>
  </si>
  <si>
    <t>w</t>
  </si>
  <si>
    <t>x</t>
  </si>
  <si>
    <t>y</t>
  </si>
  <si>
    <t>z</t>
  </si>
  <si>
    <t>Table 2: Water Company - Totals for the quarter here</t>
  </si>
  <si>
    <t>Water Company Seasonally adjusted</t>
  </si>
  <si>
    <t>Water Company Tables - All automated - No need to do anything with these</t>
  </si>
  <si>
    <t>Table 2a: Water Company Main Contributors- Totals for the quarter here</t>
  </si>
  <si>
    <t>Pe+A94:F112riod</t>
  </si>
  <si>
    <t>Foul sewer</t>
  </si>
  <si>
    <t>Water distribution system</t>
  </si>
  <si>
    <t>Sewage treatment works</t>
  </si>
  <si>
    <t>Pumping station</t>
  </si>
  <si>
    <t>Rising main</t>
  </si>
  <si>
    <t>Surface water outfall</t>
  </si>
  <si>
    <t>Combined sewer overflow</t>
  </si>
  <si>
    <t>Water treatment works</t>
  </si>
  <si>
    <t>Storm tank</t>
  </si>
  <si>
    <t>Table 3: Agriculture - Totals for the quarter here</t>
  </si>
  <si>
    <t>Agriculture Seasonally adjusted</t>
  </si>
  <si>
    <t>Agriculture Tables - All automated - No need to do anything with these</t>
  </si>
  <si>
    <t>Table 3a: Agriculture main contributors - Totals for the quarter here</t>
  </si>
  <si>
    <t>Dairy and livestock</t>
  </si>
  <si>
    <t>Intensive farming</t>
  </si>
  <si>
    <t>Arable and horticulture</t>
  </si>
  <si>
    <t>Other agriculture</t>
  </si>
  <si>
    <t>Table 4: Other Non Reg Sources - Totals for the quarter here</t>
  </si>
  <si>
    <t>Other non Reg Sources</t>
  </si>
  <si>
    <t>Other</t>
  </si>
  <si>
    <t>Table 4a: Other Non Reg main contributors (&gt;5) - Totals for the quarter here</t>
  </si>
  <si>
    <t>2010 Apr-Jun</t>
  </si>
  <si>
    <t>2010 Jul-Sep</t>
  </si>
  <si>
    <t>2010 Oct-Dec</t>
  </si>
  <si>
    <t>2011 Jan-Mar</t>
  </si>
  <si>
    <t>2011 Apr-Jun</t>
  </si>
  <si>
    <t>2011 Jul-Sep</t>
  </si>
  <si>
    <t>2011 Oct-Dec</t>
  </si>
  <si>
    <t>2012 Jan-Mar</t>
  </si>
  <si>
    <t>2012 Apr-Jun</t>
  </si>
  <si>
    <t>2012 Jul-Sep</t>
  </si>
  <si>
    <t>2012 Oct-Dec</t>
  </si>
  <si>
    <t>Natural source</t>
  </si>
  <si>
    <t>Service sector</t>
  </si>
  <si>
    <t>Domestic and residential</t>
  </si>
  <si>
    <t>Transport</t>
  </si>
  <si>
    <t>Manufacturing</t>
  </si>
  <si>
    <t>Unidentified</t>
  </si>
  <si>
    <t>NB Other Reg does not have a graph</t>
  </si>
  <si>
    <t>Table 5: Other Reg - Please enter total for quarter in the yellow cell</t>
  </si>
  <si>
    <t>Other Reg</t>
  </si>
  <si>
    <t>Table 5a: Other Regulatory sources</t>
  </si>
  <si>
    <t>Non Haz Waste Treatment</t>
  </si>
  <si>
    <t>Food &amp; Drink</t>
  </si>
  <si>
    <t>Metals Recycling</t>
  </si>
  <si>
    <t>Biowaste treatment</t>
  </si>
  <si>
    <t>Landfill</t>
  </si>
  <si>
    <t>Table - Pareto on top of page 3 - All calculated - To put the sectors in size order on the left hand side</t>
  </si>
  <si>
    <t xml:space="preserve">Sector </t>
  </si>
  <si>
    <t>Number of incidents</t>
  </si>
  <si>
    <t>Cumulative %</t>
  </si>
  <si>
    <t>Percent</t>
  </si>
  <si>
    <t>Rank</t>
  </si>
  <si>
    <t>Other reg ind sectors</t>
  </si>
  <si>
    <t>Other non reg industry sectors</t>
  </si>
  <si>
    <t>Water company</t>
  </si>
  <si>
    <t>Not identified</t>
  </si>
  <si>
    <t>Agriculture</t>
  </si>
  <si>
    <t>Illegal waste management</t>
  </si>
  <si>
    <r>
      <t xml:space="preserve">Table 1: Performance - no. of category 1 and 2 pollution incidents - </t>
    </r>
    <r>
      <rPr>
        <b/>
        <sz val="12"/>
        <color rgb="FFFF0000"/>
        <rFont val="Calibri"/>
        <family val="2"/>
        <scheme val="minor"/>
      </rPr>
      <t>12 months Totals should be entered Here</t>
    </r>
  </si>
  <si>
    <t>No. of incidents</t>
  </si>
  <si>
    <t>est final (10%)</t>
  </si>
  <si>
    <t>2010/11 @ Q4</t>
  </si>
  <si>
    <t>2011/12 @ Q4</t>
  </si>
  <si>
    <t>2012/13 @ Q4</t>
  </si>
  <si>
    <t>2013/14 @ Q4</t>
  </si>
  <si>
    <t>2014/15 @ Q4</t>
  </si>
  <si>
    <t>2015/16 @ Q1</t>
  </si>
  <si>
    <t>2015/16 @ Q2</t>
  </si>
  <si>
    <t>2015/16 @ Q3</t>
  </si>
  <si>
    <t>2015/16 @ Q4</t>
  </si>
  <si>
    <t>2016/17 @ Q4</t>
  </si>
  <si>
    <t>2017/18 @ Q1</t>
  </si>
  <si>
    <t>2017/18 @ Q2</t>
  </si>
  <si>
    <t>2017/18 @ Q3</t>
  </si>
  <si>
    <t>2017/18 @ Q4</t>
  </si>
  <si>
    <r>
      <rPr>
        <b/>
        <sz val="12"/>
        <color theme="1"/>
        <rFont val="Calibri"/>
        <family val="2"/>
        <scheme val="minor"/>
      </rPr>
      <t>Performance explanation</t>
    </r>
    <r>
      <rPr>
        <sz val="12"/>
        <color theme="1"/>
        <rFont val="Calibri"/>
        <family val="2"/>
        <scheme val="minor"/>
      </rPr>
      <t xml:space="preserve"> </t>
    </r>
    <r>
      <rPr>
        <b/>
        <sz val="10"/>
        <color rgb="FFFF0000"/>
        <rFont val="Calibri"/>
        <family val="2"/>
        <scheme val="minor"/>
      </rPr>
      <t>Yellow box is just a guide. Please check that text fits into space on insight tab (size 10.5 Calibri font)</t>
    </r>
  </si>
  <si>
    <t>PLEASE enter performance explained directly on the insight page in the box on page 3 - Please make sure the text fits within the box</t>
  </si>
  <si>
    <r>
      <t>Actions</t>
    </r>
    <r>
      <rPr>
        <b/>
        <sz val="10"/>
        <color rgb="FFFF0000"/>
        <rFont val="Arial"/>
        <family val="2"/>
      </rPr>
      <t xml:space="preserve"> Yellow boxes are just a guide. Please check that text fits into space on insight tab (maximum of 4, size 10.5 Calibri font)</t>
    </r>
  </si>
  <si>
    <t>Detailed analysis of IWS data from National Incident Report System (NIRS) and Case Management System (CMS) to understand discrepancies in reported trends and further review of the use of sub-sector fields to improve clarity, consistency and value of this measure.</t>
  </si>
  <si>
    <t>Enforcement and Waste Crime Manager</t>
  </si>
  <si>
    <t xml:space="preserve">Produce intervention plan to reduce pollution incidents in the 'other' sector, where achievable by the EA (includes service sector, transport, natural causes, unidentified, food &amp; drink, other regulated sectors) for launch in 2018/19. </t>
  </si>
  <si>
    <t>Work to be undertaken throughout 2017/18 to understand data and evidence to make meaningful, challenging targets for this Corporate Scorecard measure, ready for financial year 2018/19. Current Corporate Scorecard target to remain static for financial year 2017/18.</t>
  </si>
  <si>
    <t>Deputy Director RSIR</t>
  </si>
  <si>
    <t>You seem to have an old MDF form attached to this report, which is incorrect in places. Measure owner is Tim James (g7, Environmental Incident Management &amp;Public Health) with Deputy Director owner being Jo Nettleton (RSR DD). I remain the Technical Lead (in Environmental Incident Management &amp; Public Health team).</t>
  </si>
  <si>
    <t>Q3 actual</t>
  </si>
  <si>
    <t>530 hectares</t>
  </si>
  <si>
    <t xml:space="preserve">Hectares created (hectares) </t>
  </si>
  <si>
    <t>We create new habitats</t>
  </si>
  <si>
    <t>Protecting and imroving water, land and biodiversity</t>
  </si>
  <si>
    <r>
      <rPr>
        <b/>
        <sz val="10"/>
        <color theme="1"/>
        <rFont val="Calibri"/>
        <family val="2"/>
        <scheme val="minor"/>
      </rPr>
      <t>Harvey Bradshaw</t>
    </r>
    <r>
      <rPr>
        <sz val="10"/>
        <color theme="1"/>
        <rFont val="Calibri"/>
        <family val="2"/>
        <scheme val="minor"/>
      </rPr>
      <t xml:space="preserve"> - Executive Director Environment and Business
</t>
    </r>
    <r>
      <rPr>
        <b/>
        <sz val="10"/>
        <color theme="1"/>
        <rFont val="Calibri"/>
        <family val="2"/>
        <scheme val="minor"/>
      </rPr>
      <t xml:space="preserve">Pete Fox </t>
    </r>
    <r>
      <rPr>
        <sz val="10"/>
        <color theme="1"/>
        <rFont val="Calibri"/>
        <family val="2"/>
        <scheme val="minor"/>
      </rPr>
      <t>- Director Fisheries and Biodiversity</t>
    </r>
  </si>
  <si>
    <t>Q3 17/18</t>
  </si>
  <si>
    <t>Reports in Q4</t>
  </si>
  <si>
    <t xml:space="preserve">Table 1: Performance </t>
  </si>
  <si>
    <t>2015/16</t>
  </si>
  <si>
    <t>2017/18</t>
  </si>
  <si>
    <t>Table 2: Breakdown by type YTD</t>
  </si>
  <si>
    <t>Hectares created YTD</t>
  </si>
  <si>
    <t>Coastal</t>
  </si>
  <si>
    <t>Lowland grassland</t>
  </si>
  <si>
    <t>Lowland heathland</t>
  </si>
  <si>
    <t>Freshwater</t>
  </si>
  <si>
    <t>Lowland wetland</t>
  </si>
  <si>
    <t>Upland</t>
  </si>
  <si>
    <t>Woodland</t>
  </si>
  <si>
    <t xml:space="preserve">This measure will report at the end of March 2018.  During the year we monitor the overall programme for slippage or other issues that may have an adverse impact on delivery, such as unavoidable delays to projects or slower than expected establishment of planned habitat type. The area teams are predicting to meet the 530 hectare target. This has been confirmed through discussions with Area contacts who are indicating a Green forecast for year end. The target is higher in some years as it follows the Flood and Coastal Risk Management (FCRM) delivery programme.
</t>
  </si>
  <si>
    <r>
      <t>Actions</t>
    </r>
    <r>
      <rPr>
        <b/>
        <sz val="10"/>
        <color rgb="FFFF0000"/>
        <rFont val="Calibri"/>
        <family val="2"/>
        <scheme val="minor"/>
      </rPr>
      <t xml:space="preserve"> Yellow boxes are just a guide. Please check that text fits into space on insight tab (maximum of 4, size 10.5 Calibri font)</t>
    </r>
  </si>
  <si>
    <r>
      <rPr>
        <b/>
        <sz val="12"/>
        <color theme="1"/>
        <rFont val="Calibri"/>
        <family val="2"/>
        <scheme val="minor"/>
      </rPr>
      <t>Analyst comments</t>
    </r>
    <r>
      <rPr>
        <i/>
        <sz val="10"/>
        <color rgb="FFFF0000"/>
        <rFont val="Calibri"/>
        <family val="2"/>
        <scheme val="minor"/>
      </rPr>
      <t xml:space="preserve"> </t>
    </r>
    <r>
      <rPr>
        <b/>
        <sz val="10"/>
        <color rgb="FFFF0000"/>
        <rFont val="Calibri"/>
        <family val="2"/>
        <scheme val="minor"/>
      </rPr>
      <t>(please use this space to let Corporate Planning and Performance know of any issues that you have with your insight report. Leave your name and contact number and we will be in touch)</t>
    </r>
  </si>
  <si>
    <t>Steven Peters, 58120: 
- Formula in B16 is trying to lookup a value (Q4 16/17) in cell B13 to compare against A26 (2016/17) that does not exist as an option in B13.
- Difference between sum of Table 2 and single value given in Table 1 explained by rounding and then adding in Table 2.</t>
  </si>
  <si>
    <t xml:space="preserve">    Q3 Actual</t>
  </si>
  <si>
    <t>Number of high risk illegal waste sites in England</t>
  </si>
  <si>
    <t>Map showing spread of high risk illegal waste sites across England</t>
  </si>
  <si>
    <t>We reduce the number of high risk illegal waste sites</t>
  </si>
  <si>
    <r>
      <rPr>
        <b/>
        <sz val="10"/>
        <color indexed="8"/>
        <rFont val="Calibri"/>
        <family val="2"/>
      </rPr>
      <t>Harvey Bradshaw</t>
    </r>
    <r>
      <rPr>
        <sz val="10"/>
        <color indexed="8"/>
        <rFont val="Calibri"/>
        <family val="2"/>
      </rPr>
      <t xml:space="preserve"> - Executive Director Environment and Business
</t>
    </r>
    <r>
      <rPr>
        <b/>
        <sz val="10"/>
        <color indexed="8"/>
        <rFont val="Calibri"/>
        <family val="2"/>
      </rPr>
      <t xml:space="preserve">Marie Fallon </t>
    </r>
    <r>
      <rPr>
        <sz val="10"/>
        <color indexed="8"/>
        <rFont val="Calibri"/>
        <family val="2"/>
      </rPr>
      <t>- Director Regulated Industry</t>
    </r>
  </si>
  <si>
    <t>3.d Illegal waste sites (KPI 237)</t>
  </si>
  <si>
    <t>Emma Brennan
Steve Riley</t>
  </si>
  <si>
    <t>Steve Riley</t>
  </si>
  <si>
    <t>Table 1: Performance - No. of high risk sites</t>
  </si>
  <si>
    <t>Bob Mead</t>
  </si>
  <si>
    <t>No. of sites</t>
  </si>
  <si>
    <t>Target no. of sites</t>
  </si>
  <si>
    <t xml:space="preserve">rolling average </t>
  </si>
  <si>
    <t>Judy Proctor</t>
  </si>
  <si>
    <t>Baseline</t>
  </si>
  <si>
    <t>Marie Fallon</t>
  </si>
  <si>
    <t>2012/13</t>
  </si>
  <si>
    <t>Q1 13/14</t>
  </si>
  <si>
    <t>Q2 13/14</t>
  </si>
  <si>
    <t>Q3 13/14</t>
  </si>
  <si>
    <t>2013/14</t>
  </si>
  <si>
    <t>Q1 14/15</t>
  </si>
  <si>
    <t>Q2 14/15</t>
  </si>
  <si>
    <t>Q3 14/15</t>
  </si>
  <si>
    <t>Q1 15/16</t>
  </si>
  <si>
    <t>Q2 15/16</t>
  </si>
  <si>
    <t>Q3 15/16</t>
  </si>
  <si>
    <t>Q4 15/16</t>
  </si>
  <si>
    <t>Q1 16/17</t>
  </si>
  <si>
    <t>Q2 16/17</t>
  </si>
  <si>
    <t>Q3 16/17</t>
  </si>
  <si>
    <t>Q4 16/17</t>
  </si>
  <si>
    <t>Q1 17/18</t>
  </si>
  <si>
    <t>Q2 17/18</t>
  </si>
  <si>
    <t>Q4 17/18</t>
  </si>
  <si>
    <t>Table 2: Breakdown - No. of all Illegal Waste Sites</t>
  </si>
  <si>
    <t>Site score</t>
  </si>
  <si>
    <r>
      <rPr>
        <b/>
        <sz val="12"/>
        <color indexed="8"/>
        <rFont val="Calibri"/>
        <family val="2"/>
      </rPr>
      <t>Performance explanation</t>
    </r>
    <r>
      <rPr>
        <sz val="12"/>
        <color indexed="8"/>
        <rFont val="Calibri"/>
        <family val="2"/>
      </rPr>
      <t xml:space="preserve"> </t>
    </r>
    <r>
      <rPr>
        <b/>
        <sz val="10"/>
        <color indexed="10"/>
        <rFont val="Calibri"/>
        <family val="2"/>
      </rPr>
      <t>Yellow box is just a guide. Please check that text fits into space on insight tab (size 10.5 Calibri font)</t>
    </r>
  </si>
  <si>
    <t xml:space="preserve">We continue to treat illegal waste sites as a high priority. As planned, operational resource in quarter 3 focused more on stopping illegal waste sites after having assessed a backlog of historic reports of illegal activity in quarter 1 and quarter 2. We also continue to work with partners to develop strategies and interventions to disrupt illegal waste operations and support major investigations to close down well-organised criminal operations.
The number of high risk sites stopped (55) significantly exceeded the number of new high risk sites found (23) in quarter 3. This resulted in the total number of active high risk sites reducing to 263, although nationally we remain RED against the KPI target. In part this was due to 20 existing sites becoming high risk in quarter 3, as a result of the length of time the sites have continued to operate illegally. We are reviewing procedures to flag when this is about to happen to enable us to intervene earlier if appropriate.
</t>
  </si>
  <si>
    <r>
      <t>Actions</t>
    </r>
    <r>
      <rPr>
        <b/>
        <sz val="10"/>
        <color indexed="10"/>
        <rFont val="Arial"/>
        <family val="2"/>
      </rPr>
      <t xml:space="preserve"> Yellow boxes are just a guide. Please check that text fits into space on insight tab (maximum of 4, size 10.5 Calibri font)</t>
    </r>
  </si>
  <si>
    <t xml:space="preserve">Deadline </t>
  </si>
  <si>
    <t>Develop enforcement strategy for waste to help embed alternative approaches to reducing levels of waste crime</t>
  </si>
  <si>
    <t>Deputy Director for Waste Regulation</t>
  </si>
  <si>
    <t>Review allocation of Waste Enforcement Programme money as an option for increasing front-line resource</t>
  </si>
  <si>
    <t>Complete</t>
  </si>
  <si>
    <t>Deliver actions from Enforcement Review</t>
  </si>
  <si>
    <t>Deputy Director for Northumbria, Durham &amp; Tees</t>
  </si>
  <si>
    <t>Develop plans for use of the additional £30m for waste crime announced in the November budget.</t>
  </si>
  <si>
    <t>Prepare joint tactical and strategic plans with HMRC for implementation of new landfill tax legislation on 1st April 2018.</t>
  </si>
  <si>
    <t>Deputy Director for National Enforcement Service</t>
  </si>
  <si>
    <r>
      <rPr>
        <b/>
        <sz val="12"/>
        <color indexed="8"/>
        <rFont val="Arial"/>
        <family val="2"/>
      </rPr>
      <t>Analyst comments</t>
    </r>
    <r>
      <rPr>
        <i/>
        <sz val="10"/>
        <color indexed="10"/>
        <rFont val="Arial"/>
        <family val="2"/>
      </rPr>
      <t xml:space="preserve"> </t>
    </r>
    <r>
      <rPr>
        <b/>
        <sz val="10"/>
        <color indexed="10"/>
        <rFont val="Arial"/>
        <family val="2"/>
      </rPr>
      <t>(please use this space to let Corporate Planning and Performance know of any issues that you have with your insight report. Leave your name and contact number and we will be in touch)</t>
    </r>
  </si>
  <si>
    <t xml:space="preserve">2017/18 - Q3
cumulative target </t>
  </si>
  <si>
    <t>Houses protected</t>
  </si>
  <si>
    <t>Insight this quarter</t>
  </si>
  <si>
    <t>We reduce the risk from flooding for more households</t>
  </si>
  <si>
    <t>Increasing the resilience of people, property and businesses to the risks of flooding and coastal erosion</t>
  </si>
  <si>
    <r>
      <rPr>
        <b/>
        <sz val="10"/>
        <color theme="1"/>
        <rFont val="Calibri"/>
        <family val="2"/>
        <scheme val="minor"/>
      </rPr>
      <t xml:space="preserve">John Curtin </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Executive Director FCRM
</t>
    </r>
    <r>
      <rPr>
        <b/>
        <sz val="10"/>
        <color theme="1"/>
        <rFont val="Calibri"/>
        <family val="2"/>
        <scheme val="minor"/>
      </rPr>
      <t>Ken Allison</t>
    </r>
    <r>
      <rPr>
        <sz val="10"/>
        <color theme="1"/>
        <rFont val="Calibri"/>
        <family val="2"/>
        <scheme val="minor"/>
      </rPr>
      <t xml:space="preserve"> - Director Allocation and Asset Management</t>
    </r>
  </si>
  <si>
    <t>Cumulative Total Actual</t>
  </si>
  <si>
    <t>1.a Reduce risk of flooding (KPI 930)</t>
  </si>
  <si>
    <t>Approved ?</t>
  </si>
  <si>
    <t>on Date</t>
  </si>
  <si>
    <t>Matt Cherng</t>
  </si>
  <si>
    <t>Drew Oram</t>
  </si>
  <si>
    <t>John Russon</t>
  </si>
  <si>
    <t>Ken Allison</t>
  </si>
  <si>
    <t>John Curtin</t>
  </si>
  <si>
    <t>Households moved out of any flood probability category to a lower probability category (inc. OM2)</t>
  </si>
  <si>
    <t>Households better protected from coastal erosion (inc. OM3)</t>
  </si>
  <si>
    <t>Total households protected (inc. OM2 &amp; 3)</t>
  </si>
  <si>
    <t>Actual Cumulative</t>
  </si>
  <si>
    <t>Programme target</t>
  </si>
  <si>
    <t>% Actual</t>
  </si>
  <si>
    <t>2011/12</t>
  </si>
  <si>
    <t>Table 2: Breakdown by type - Category of flood probability this quarter</t>
  </si>
  <si>
    <t xml:space="preserve">YTD number of households 
</t>
  </si>
  <si>
    <t>Households moved out of any flood probability category to a lower probability category (inc. Defra Outcome Measure 2)</t>
  </si>
  <si>
    <t>Households better protected from coastal erosion (inc. Defra Outcome Measure 3)</t>
  </si>
  <si>
    <t>Removed from significant flood probability (households in areas of deprivation)</t>
  </si>
  <si>
    <t>2c</t>
  </si>
  <si>
    <t>Protected against loss in 20 years from coastal erosion (households in areas of deprivation)</t>
  </si>
  <si>
    <t>3c</t>
  </si>
  <si>
    <t xml:space="preserve">31 separate projects have better protected a further 6,620 homes this quarter bringing the cumulative total since April 2015 to 107,834. 
The project which better protected the largest number of homes this quarter was the Dawlish Warren and Exmouth Beach Management Scheme in Devon, which better protected 2,881 homes from sea flooding.
The majority of 2017/18 delivery will be during quarter 4. The current forecast for year end 2017/18 is to achieve 148,000 homes better protected since April 2015. </t>
  </si>
  <si>
    <r>
      <t xml:space="preserve">% of </t>
    </r>
    <r>
      <rPr>
        <b/>
        <sz val="11"/>
        <color theme="0"/>
        <rFont val="Arial"/>
        <family val="2"/>
      </rPr>
      <t>high consequence</t>
    </r>
    <r>
      <rPr>
        <b/>
        <sz val="12"/>
        <color theme="0"/>
        <rFont val="Calibri"/>
        <family val="2"/>
        <scheme val="minor"/>
      </rPr>
      <t xml:space="preserve"> assets at or above the required target condition</t>
    </r>
  </si>
  <si>
    <t xml:space="preserve"> </t>
  </si>
  <si>
    <t>Number of high consequence assets at or below target condition</t>
  </si>
  <si>
    <t>We maintain our flood and coastal risk management assets at or above the required condition</t>
  </si>
  <si>
    <t>Performance rounded to the nearest 1 decimal place of a percents (i.e. 96.6% and so on) then assessed against the following</t>
  </si>
  <si>
    <t>Green Lower &gt;=</t>
  </si>
  <si>
    <t>Amber Upper Less than</t>
  </si>
  <si>
    <t>Amber Lower &gt;=</t>
  </si>
  <si>
    <t>Red Upper Less than</t>
  </si>
  <si>
    <t>Total No. of assets at high consequence</t>
  </si>
  <si>
    <t>Actual at target condition</t>
  </si>
  <si>
    <t>Target (calculated from B and F)</t>
  </si>
  <si>
    <t>% Actual (Rounded)</t>
  </si>
  <si>
    <t>% Target</t>
  </si>
  <si>
    <t>PvT - Not used</t>
  </si>
  <si>
    <t>2010/11</t>
  </si>
  <si>
    <t>Table 2: Breakdown by type - Condition</t>
  </si>
  <si>
    <t>4.1.8 Maintain assets (KPI 962)</t>
  </si>
  <si>
    <t>No. of assets</t>
  </si>
  <si>
    <t>Cumulative assets</t>
  </si>
  <si>
    <t>Margarita Papadopoulou</t>
  </si>
  <si>
    <t>At or above required target condition (EA)</t>
  </si>
  <si>
    <t>Jim Barlow</t>
  </si>
  <si>
    <t>Below required target condition 
(EA)</t>
  </si>
  <si>
    <t>We are forecasting to achieve the year end target of 97.5%. We have seen a 1% improvement during quarter 3 as repairs are being completed and inspection data is updated. We expect this improvement to continue in February and/or March. There is a risk that extreme weather in April and/or March will both increase the need for repairs and hamper ongoing repair work.  We are closely monitoring the situation to ensure achievable repairs are delivered and we will focus resources onto completion of repairs and re-inspection of repaired assets during quarter 4. 
Where assets are below the required condition this means that work is required, this does not mean that they have structurally failed or that performance in a flood would be compromised. If the performance of an asset is reduced, we will take action to ensure that flood risk is effectively managed until the asset is repaired or replaced.</t>
  </si>
  <si>
    <t>Deadline (xx/xx/xxxx)</t>
  </si>
  <si>
    <t xml:space="preserve">Ensure Area Delivery Board retains tight focus on fixing and updating Below Required Condition (BRC) assets in line with Area agreed targets </t>
  </si>
  <si>
    <t>Asset Performance &amp; Engineering team</t>
  </si>
  <si>
    <t>Asset Network Group provides support and monitoring of the national BRC position monthly</t>
  </si>
  <si>
    <t>National Operations Manager</t>
  </si>
  <si>
    <t>Programme the March asset condition inspections to be completed ahead of March wherever possible to maximise repair time</t>
  </si>
  <si>
    <t>Area Managers</t>
  </si>
  <si>
    <t xml:space="preserve">
</t>
  </si>
  <si>
    <t>Status</t>
  </si>
  <si>
    <t>Number of staff who are trained and ready to respond to incidents</t>
  </si>
  <si>
    <t>Percentage of Staff who respond that they feel confident in role</t>
  </si>
  <si>
    <t>We have first class incident response capability</t>
  </si>
  <si>
    <t>Number of staff trained and ready to respond to incidents</t>
  </si>
  <si>
    <r>
      <rPr>
        <b/>
        <sz val="10"/>
        <color theme="1"/>
        <rFont val="Calibri"/>
        <family val="2"/>
        <scheme val="minor"/>
      </rPr>
      <t xml:space="preserve">John Curtin </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Executive Director FCRM
</t>
    </r>
    <r>
      <rPr>
        <b/>
        <sz val="10"/>
        <color theme="1"/>
        <rFont val="Calibri"/>
        <family val="2"/>
        <scheme val="minor"/>
      </rPr>
      <t>Toby Willison</t>
    </r>
    <r>
      <rPr>
        <sz val="10"/>
        <color theme="1"/>
        <rFont val="Calibri"/>
        <family val="2"/>
        <scheme val="minor"/>
      </rPr>
      <t xml:space="preserve"> - Director Operations</t>
    </r>
  </si>
  <si>
    <t xml:space="preserve">Table 1: Data Table for 1st Graph and for Performance Rating - Number of Staff trained and capable to Respond </t>
  </si>
  <si>
    <t>Total Number of EA Staff Trained and Ready to Respond To Incidents</t>
  </si>
  <si>
    <t>Target Number of EA Staff to be trained and Ready to Respond to incidents</t>
  </si>
  <si>
    <t>GREEN</t>
  </si>
  <si>
    <t>Table 2: Staff who respond that they feel confident to respond as reported through the internal quarterly survey</t>
  </si>
  <si>
    <t>Staff who respond that they feel confident in role</t>
  </si>
  <si>
    <t>Target Percentage</t>
  </si>
  <si>
    <t>Table 3: Number of Staff identified who are trained and ready for incident activated and standby roles</t>
  </si>
  <si>
    <t>Total Number of Staff identified who are trained and ready for incident activated roles</t>
  </si>
  <si>
    <t>Target Number of Staff identified who are trained and ready for incident activated roles</t>
  </si>
  <si>
    <t>We continue to embed new incident response capability standards for Environment Agency staff since they were introduced in quarter 1. Numbers have increased further during this quarter as expected now that the standards have been embedded, consistently.  We expect this trend to continue as more staff complete their training. The number of fully trained staff ready to respond to incidents is now 6,626. Figures show 2,026 are in training, not all in addition to the 6,626 because some will be people training for secondary and tertiary roles. We expect figures to increase slightly in quarter 4 but are mindful that there may be some reduction from changes to corporate services staff and response roles that have transitioned to Defra (e.g. Corporate Information Services and facilities roles).
The next employee survey is in quarter 4, so there is no reported change in the numbers feeling confident to respond to incidents or the percentage of staff who have been involved in responding to an incident. The incident management survey in quarter 4 will explore capability and confidence questions in more depth.</t>
  </si>
  <si>
    <t>We continue to embed capability assessments through our work on the Major Incident Ready programme, to show staff  are trained and have sufficient experience to respond.</t>
  </si>
  <si>
    <t>Deputy Director Incident Management &amp; Resilience</t>
  </si>
  <si>
    <t>Prioritisation of training and exercising by Areas and National directorates to maintain capability and confidence.</t>
  </si>
  <si>
    <t>We will use the results from the 2018 Incident Management survey to  understand impacts of changes to ways of working.</t>
  </si>
  <si>
    <t>Future changes to our response model - begin implementing in 2018/19 - will impact on these figures. Measure will be reviewed to accommodate these changes in 2018/19.</t>
  </si>
  <si>
    <t>Deputy Director Corporate Incident Management</t>
  </si>
  <si>
    <t>31/04/2019</t>
  </si>
  <si>
    <t>The height of Row 49 on the Insight tab was different, and insufficient to take 2 lines of text at the required size.  It is a different height from Rows 48, 50 and 51.  I have amended it to  be the same as Row 48.  Richard Symonds 07771 626 096</t>
  </si>
  <si>
    <t>Q3 actual (£m)</t>
  </si>
  <si>
    <t>Q3 budget (£m)</t>
  </si>
  <si>
    <t>Expenditure against YTD budget (%)</t>
  </si>
  <si>
    <t>Expenditure against YTD budget (£m)</t>
  </si>
  <si>
    <t>We manage our money effectively</t>
  </si>
  <si>
    <t>Ensuring that we are fit for the future</t>
  </si>
  <si>
    <r>
      <t>Mark McLaughlin</t>
    </r>
    <r>
      <rPr>
        <sz val="10"/>
        <color theme="1"/>
        <rFont val="Calibri"/>
        <family val="2"/>
        <scheme val="minor"/>
      </rPr>
      <t xml:space="preserve"> - Executive Director Finance</t>
    </r>
    <r>
      <rPr>
        <b/>
        <sz val="10"/>
        <color theme="1"/>
        <rFont val="Calibri"/>
        <family val="2"/>
        <scheme val="minor"/>
      </rPr>
      <t xml:space="preserve">
Bob Branson</t>
    </r>
    <r>
      <rPr>
        <sz val="10"/>
        <color theme="1"/>
        <rFont val="Calibri"/>
        <family val="2"/>
        <scheme val="minor"/>
      </rPr>
      <t xml:space="preserve"> - Director Corporate Finance</t>
    </r>
  </si>
  <si>
    <t>Actual (£M)</t>
  </si>
  <si>
    <t>Profiled - Target (£M)</t>
  </si>
  <si>
    <t>Actual cumulative expenditure (£m)</t>
  </si>
  <si>
    <t>Planned profiled cumulative expenditure (£m)</t>
  </si>
  <si>
    <t>Target %</t>
  </si>
  <si>
    <t>FY Budget</t>
  </si>
  <si>
    <t>% spent</t>
  </si>
  <si>
    <t>Q1 12/13</t>
  </si>
  <si>
    <t>AMBER</t>
  </si>
  <si>
    <t>Q2 12 /13</t>
  </si>
  <si>
    <t>Q3 12/13</t>
  </si>
  <si>
    <t>Q4 12/13</t>
  </si>
  <si>
    <t>Q2 13/ 14</t>
  </si>
  <si>
    <t xml:space="preserve">The measure is used to report on effective management of our money to achieve our outcomes, and is based on the percentage of our full year budget that we have invested. The Environment Agency has a major capital and revenue programme of investment projects and conducts a very detailed planning process in order to ensure appropriate prioritisation of these investments. We are subject to a series of strong financial and governance controls that both protect this investment and provide a logistical challenge in delivering the programme of expenditure.  This is considered an appropriate measure, with expenditure being a proxy for delivery of environmental outcomes and this measure is therefore inextricably linked to most of the other scorecard measures.
The Environment Agency has invested 68% of full year budget in the first 3 quarters of 2017/18, a slightly higher proportion than achieved at this point last year (66%). Following on from a mid year financial review presented to Executive Directors in October, the Environment Agency and Defra have agreed a reprofiling of the Flood and Coastal Erosion Risk Management (FCERM) six year capital programme budget with HM Treasury. This represents a more appropriate funding profile to meet the target of better protecting 300,000 households in that period. 
During quarter 4, budget managers, Business Boards and the Executive Directors Team will continue to review our forecasts, and we are confident of full investment of our full year funding. 
                                                                                                                                                                                                                                                                                                  </t>
  </si>
  <si>
    <t>5EA 8 Manage money</t>
  </si>
  <si>
    <t>Peter Cleavely</t>
  </si>
  <si>
    <t>James Harmer</t>
  </si>
  <si>
    <t>Patrick Bolster</t>
  </si>
  <si>
    <t>Bob Branson</t>
  </si>
  <si>
    <t>Deadline</t>
  </si>
  <si>
    <t>Highlight any risks and issues affecting ability to deliver within available funding to Executive Directors and Defra and support the organisation to make best use of funding.</t>
  </si>
  <si>
    <t>Director of Finance</t>
  </si>
  <si>
    <t>Note: based on draft EDT pack as adjusted figures not available yet.</t>
  </si>
  <si>
    <t>% within 21 days (or longer with agreement) - Year to date</t>
  </si>
  <si>
    <t>Pareto chart of planning application response times in 2017/18</t>
  </si>
  <si>
    <t>We respond to planning application consultations within 21 days</t>
  </si>
  <si>
    <t>Working together and with others to create better places</t>
  </si>
  <si>
    <r>
      <rPr>
        <b/>
        <sz val="10"/>
        <color theme="1"/>
        <rFont val="Calibri"/>
        <family val="2"/>
        <scheme val="minor"/>
      </rPr>
      <t>Harvey Bradshaw</t>
    </r>
    <r>
      <rPr>
        <sz val="10"/>
        <color theme="1"/>
        <rFont val="Calibri"/>
        <family val="2"/>
        <scheme val="minor"/>
      </rPr>
      <t xml:space="preserve"> - Executive Director Environment and Business
</t>
    </r>
    <r>
      <rPr>
        <b/>
        <sz val="10"/>
        <color theme="1"/>
        <rFont val="Calibri"/>
        <family val="2"/>
        <scheme val="minor"/>
      </rPr>
      <t xml:space="preserve">Jennie Donovan </t>
    </r>
    <r>
      <rPr>
        <sz val="10"/>
        <color theme="1"/>
        <rFont val="Calibri"/>
        <family val="2"/>
        <scheme val="minor"/>
      </rPr>
      <t>- Director Technical and Cross-cutting</t>
    </r>
  </si>
  <si>
    <t>Using Adjusted days column S to count agreed extensions in such a way that the total number of days taken finishes on day 21</t>
  </si>
  <si>
    <t>0 to 7</t>
  </si>
  <si>
    <t>8 to 14</t>
  </si>
  <si>
    <t>15 to 21</t>
  </si>
  <si>
    <t>22 to 28</t>
  </si>
  <si>
    <t>29 to 35</t>
  </si>
  <si>
    <t>36 to 42</t>
  </si>
  <si>
    <t>43 to 49</t>
  </si>
  <si>
    <t>50 to 56</t>
  </si>
  <si>
    <t>57 to 63</t>
  </si>
  <si>
    <t>64 to 70</t>
  </si>
  <si>
    <t>71 to 77</t>
  </si>
  <si>
    <t>78 to 84</t>
  </si>
  <si>
    <t>85 plus days</t>
  </si>
  <si>
    <t>Table 1: Performance - within 21 days or agreed in writing to be longer (actual)</t>
  </si>
  <si>
    <t>No. of applications received</t>
  </si>
  <si>
    <t>Number responded to within 21 days - Actual</t>
  </si>
  <si>
    <t xml:space="preserve">95% Target </t>
  </si>
  <si>
    <t>Actual YTD</t>
  </si>
  <si>
    <t>Total YTD</t>
  </si>
  <si>
    <t>Perf YTD</t>
  </si>
  <si>
    <r>
      <rPr>
        <b/>
        <sz val="12"/>
        <color theme="1"/>
        <rFont val="Calibri"/>
        <family val="2"/>
        <scheme val="minor"/>
      </rPr>
      <t>Performance explanation</t>
    </r>
    <r>
      <rPr>
        <sz val="12"/>
        <color theme="1"/>
        <rFont val="Calibri"/>
        <family val="2"/>
        <scheme val="minor"/>
      </rPr>
      <t xml:space="preserve"> </t>
    </r>
    <r>
      <rPr>
        <b/>
        <sz val="10"/>
        <color rgb="FFFF0000"/>
        <rFont val="Calibri"/>
        <family val="2"/>
        <scheme val="minor"/>
      </rPr>
      <t>Yellow box is just a guide. Please check that text fits into space on insight tab (size 10 Calibri font)</t>
    </r>
  </si>
  <si>
    <t xml:space="preserve">Areas remain focused on maintaining performance at or above target. During quarter 3 we have seen increased turnover in experienced staff, which has resulted in a slight dip in performance. To get back to green we will discuss performance with Area team leaders and work together to identify solutions, escalating issues where necessary. 
We are embedding tools and ways of working and continue to share good practice between Area teams as part of our continuous improvement of our service delivery.  Focus remains on strong local leadership and clear accountabilities for ensuring responses are made within agreed timescales, as well as applying our One Business approach to managing planning consultations to facilitate cross-area resourcing.
Our interventions in responding to planning applications have helped to consolidate a risk based approach, streamlined our engagement, increased the relevance of consultations and allowed more time to engage early and strategically. 
All improvement and consistency work is overseen by the Evolving Sustainable Places (SP) Programme Board. </t>
  </si>
  <si>
    <t>5EA 9 - 21 day planning (KPI 515)</t>
  </si>
  <si>
    <t>Gerard Stewart</t>
  </si>
  <si>
    <t>Rob Westcott</t>
  </si>
  <si>
    <t>Jennie Donovan</t>
  </si>
  <si>
    <t>Tony Grayling</t>
  </si>
  <si>
    <r>
      <t>Actions</t>
    </r>
    <r>
      <rPr>
        <b/>
        <sz val="10"/>
        <color rgb="FFFF0000"/>
        <rFont val="Arial"/>
        <family val="2"/>
      </rPr>
      <t xml:space="preserve"> Yellow boxes are just a guide. Please check that text fits into space on insight tab (maximum of 4, size 10 Calibri font)</t>
    </r>
  </si>
  <si>
    <t>Continue to implement performance improvement action plan, monitor &amp; review.</t>
  </si>
  <si>
    <t>Executive Director, E&amp;B &amp; Executive Director, Operations</t>
  </si>
  <si>
    <t>Ongoing</t>
  </si>
  <si>
    <t>Quarter 3 YTD carbon dioxide emissions (tonnes)</t>
  </si>
  <si>
    <t>Ceiling target</t>
  </si>
  <si>
    <t>Quarter 3 YTD carbon dioxide emissions by type (tonnes)</t>
  </si>
  <si>
    <t>Total</t>
  </si>
  <si>
    <t>Operational fuel</t>
  </si>
  <si>
    <t>Travel</t>
  </si>
  <si>
    <t>Buildings (inc Labs)</t>
  </si>
  <si>
    <t>Pumping</t>
  </si>
  <si>
    <t>Tonnes of carbon dioxide produced</t>
  </si>
  <si>
    <t>Due date</t>
  </si>
  <si>
    <t>We reduce our carbon footprint</t>
  </si>
  <si>
    <t>An organisation continually striving to be the best</t>
  </si>
  <si>
    <r>
      <rPr>
        <b/>
        <sz val="10"/>
        <color indexed="8"/>
        <rFont val="Calibri"/>
        <family val="2"/>
      </rPr>
      <t>Toby Willison</t>
    </r>
    <r>
      <rPr>
        <sz val="10"/>
        <color indexed="8"/>
        <rFont val="Calibri"/>
        <family val="2"/>
      </rPr>
      <t xml:space="preserve"> - Executive Director Operations
</t>
    </r>
    <r>
      <rPr>
        <b/>
        <sz val="10"/>
        <color indexed="8"/>
        <rFont val="Calibri"/>
        <family val="2"/>
      </rPr>
      <t>Paul Woodcock</t>
    </r>
    <r>
      <rPr>
        <sz val="10"/>
        <color indexed="8"/>
        <rFont val="Calibri"/>
        <family val="2"/>
      </rPr>
      <t xml:space="preserve"> - Director Corporate Assets, Safety, Health, Environment &amp; Wellbeing</t>
    </r>
  </si>
  <si>
    <t>5.a Carbon footprint</t>
  </si>
  <si>
    <t>Laxmi Gurung</t>
  </si>
  <si>
    <t>Sophie Goodall</t>
  </si>
  <si>
    <t>G7 Head</t>
  </si>
  <si>
    <t>Simon Dawes</t>
  </si>
  <si>
    <t>Lucy Hunt</t>
  </si>
  <si>
    <t>Target YTD</t>
  </si>
  <si>
    <t>Target YTD 16-17</t>
  </si>
  <si>
    <t>2006/07 (baseline)</t>
  </si>
  <si>
    <t>-</t>
  </si>
  <si>
    <t>2007/08</t>
  </si>
  <si>
    <t>2008/09</t>
  </si>
  <si>
    <t>Toby Willison</t>
  </si>
  <si>
    <t>2009/10</t>
  </si>
  <si>
    <t>2018-19</t>
  </si>
  <si>
    <t>2019-20</t>
  </si>
  <si>
    <t xml:space="preserve">Table 2: Breakdown by type </t>
  </si>
  <si>
    <t>Q1 10-11</t>
  </si>
  <si>
    <t>Q1 11-12</t>
  </si>
  <si>
    <t>Q1 12-13</t>
  </si>
  <si>
    <t>Q1 13-14</t>
  </si>
  <si>
    <t>Q1 14-15</t>
  </si>
  <si>
    <t>Q2 14-15</t>
  </si>
  <si>
    <t>Q3 14-15</t>
  </si>
  <si>
    <t>Q4 14-15</t>
  </si>
  <si>
    <t xml:space="preserve">Performance is good at 90% of our profiled target at the end of quarter 3. 
We have seen a 20% reduction year to date in carbon emissions from our buildings compared to last year. A significant proportion of this is as a result of the additional renewable energy in the UK grid mix resulting in a change to the conversion factors being applied in quarter 3.  
Our underlying performance in terms of energy used in our buildings shows a 5% reduction in Kilowatt hours.  Continued investment in our buildings, such as boiler replacement, additional biomass boiler use, light emitting diode lighting at Ghyll Mount in the North West, and solar photo voltaic at Alverdiscott depot in the South West, is having a positive impact. 
Our carbon emissions from travel have increased by 6% compared to last year.  Leaders across the business are encouraging alternatives and leading by example on technology like video conferencing (VC). The new London Office, 2 Marsham Street, has half of its meeting rooms equipped with VC equipment.
Our operational carbon emissions have increased by almost a third compared to last year.  This is in response to the weather and the decision to use water resources pumps like the Ely Ouse and Shropshire ground water schemes, due to the prolonged dry weather conditions throughout most of this year.
</t>
  </si>
  <si>
    <t xml:space="preserve">
</t>
  </si>
  <si>
    <r>
      <t>Actions</t>
    </r>
    <r>
      <rPr>
        <b/>
        <sz val="10"/>
        <color indexed="10"/>
        <rFont val="Arial"/>
        <family val="2"/>
      </rPr>
      <t xml:space="preserve"> Yellow boxes are just a guide. Please check that text fits into space on insight tab (maximum of 4, size 10 Calibri font)</t>
    </r>
  </si>
  <si>
    <t>Managers to emphasise the importance of the use of the travel hierarchy.</t>
  </si>
  <si>
    <t>Executive Directors, Directors and Deputy Directors</t>
  </si>
  <si>
    <t>Maintain roll out of ultra low emission vehicles and charging points.</t>
  </si>
  <si>
    <t>Executive Director of Operations</t>
  </si>
  <si>
    <t>a) The proportion of our staff who are from a Black, Asian and minority ethnic background (BAME %)</t>
  </si>
  <si>
    <t>b) The proportion of our executive managers who are female %</t>
  </si>
  <si>
    <t>BAME staff as % of all staff</t>
  </si>
  <si>
    <t>There were 12 new BAME recruits this quarter out of 204 new starters, which represents 5.9% of all external recruits, close to the mean value of 6.5% for the period beginning quarter 1 2016/17. The percentage of BAME staff across the EA is now 3.8% (381) against the 2016/20 target of 14%.
A suite of initiatives is being used to move us towards our aspirations for the short and long term. These include promoting more community / university focused outreach work, unconscious bias training for recruiting managers, development programmes and mentoring for BAME staff. We are reviewing exit interviews, looking at EA equality objectives and associated Equality, Diversity and Inclusion (EDI) delivery plan 2018/20, a refreshed resourcing strategy, blind sifting of CVs in recruitment, the "increase the pace on race" events, a more engaged BAME network and more active communication on our ethnic diversity expectations. The fall in number of BAME employees from 433 (4.0%) 381 (3.8%) respectively reflects the transfer of Corporate Services employees from the Environment Agency to Defra group on 1st November 2017.
The percentage of female Executive Managers (EMs) is 35.2% (31), close to the average in year 2016/17 (35.5%) but less than in quarter 2 2017/18 (36.8%). This compares to a target of 50%. The equivalent figure for the UK Civil Service is 38%. The fall in number of female EMs from 42 to 31 since quarter 2 2017/18 reflects the transfer of Corporate Services Staff from the Environment Agency to Defra group on 1st November 2017.</t>
  </si>
  <si>
    <t>Proportion of Executive Managers (EMs) who are female</t>
  </si>
  <si>
    <t>We have a diverse workforce</t>
  </si>
  <si>
    <t xml:space="preserve">An inclusive, professional workforce </t>
  </si>
  <si>
    <r>
      <t>John Curtin</t>
    </r>
    <r>
      <rPr>
        <sz val="10"/>
        <color theme="1"/>
        <rFont val="Calibri"/>
        <family val="2"/>
        <scheme val="minor"/>
      </rPr>
      <t xml:space="preserve"> - Executive Director Resources and Legal Services</t>
    </r>
    <r>
      <rPr>
        <b/>
        <sz val="10"/>
        <color theme="1"/>
        <rFont val="Calibri"/>
        <family val="2"/>
        <scheme val="minor"/>
      </rPr>
      <t xml:space="preserve">
Ian Randall</t>
    </r>
    <r>
      <rPr>
        <sz val="10"/>
        <color theme="1"/>
        <rFont val="Calibri"/>
        <family val="2"/>
        <scheme val="minor"/>
      </rPr>
      <t xml:space="preserve"> - Director Human Resources</t>
    </r>
  </si>
  <si>
    <t>Table 2: No. of BAME staff recruited as % of total recruitment</t>
  </si>
  <si>
    <t>Grade</t>
  </si>
  <si>
    <t>No. of BAME</t>
  </si>
  <si>
    <t>There were 12 new BAME recruits this quarter out of a total of 204 new starters, which represents 5.9% of all external recruits, close to the mean value of 6.5% for the whole period beginning quarter 1 2016/17. The percentage of BAME staff across the Environment Agency is now 3.8% (381) against the 2016/20 target of 14%.  
A suite of initiatives are being used to move us towards our aspirations for the short and long term. These include promoting more community / university focused outreach work, unconscious bias training for recruiting managers, development programmes and mentoring for BAME staff, reviews of exit interviews, an EDT ‘Race Action Plan’, a refreshed resourcing strategy, blind sifting of CVs in recruitment, the "increase the pace on race" events, a more engaged BAME network and more active communication on our ethnic diversity expectations.
The fall in headcount and percentage of BAME employees from 433 and 4.0% to 381 and 3.8% respectively is largely a result of the transfer of Corporate Services employees from the Environment Agency to Defra on the 1st November 2017.</t>
  </si>
  <si>
    <t>Unconscious bias training for managers</t>
  </si>
  <si>
    <t>Exec. Director FCRM</t>
  </si>
  <si>
    <t>On-going</t>
  </si>
  <si>
    <t>Development programmes and coaching for BAME staff</t>
  </si>
  <si>
    <t>Legal Services</t>
  </si>
  <si>
    <t>Active support for Brunel and associated engagement initiatives</t>
  </si>
  <si>
    <t>All Executive Directors</t>
  </si>
  <si>
    <t>We have a diverse workforce: Proportion of Executive Managers recruited who are female</t>
  </si>
  <si>
    <t>An inclusive, professional workforce</t>
  </si>
  <si>
    <t>Table 1: Performance - EM</t>
  </si>
  <si>
    <t>Table 2: Performance - Grade 7</t>
  </si>
  <si>
    <t>The percentage of female Executive Managers (EMs) is 35.2% (31), which is similar to the average in year 16/17 (35.5%) but less than in Q2 17/18 (36.8%). This compares to a target of 50%. The equivalent figure for the UK Civil Service is 38%. 
The notable drop in the total number of female EMs from 42 to 31 between quarter 2 and quarter 3 2017/18 is a result of the transfer of female EMs from the EA to Defra group on Nov 1st.</t>
  </si>
  <si>
    <t>Unconscious bias training for interviews</t>
  </si>
  <si>
    <t xml:space="preserve">Ongoing </t>
  </si>
  <si>
    <t>Development programmes and coaching for female staff</t>
  </si>
  <si>
    <t xml:space="preserve">Ceiling rate </t>
  </si>
  <si>
    <t>Lost time incident frequency rate</t>
  </si>
  <si>
    <t>No. of LTIs</t>
  </si>
  <si>
    <t>We provide a safe place to work: lost time incident (LTI) frequency rate</t>
  </si>
  <si>
    <r>
      <t>Toby Willison</t>
    </r>
    <r>
      <rPr>
        <sz val="10"/>
        <color indexed="8"/>
        <rFont val="Calibri"/>
        <family val="2"/>
      </rPr>
      <t xml:space="preserve"> - Executive Director of Operations</t>
    </r>
    <r>
      <rPr>
        <b/>
        <sz val="10"/>
        <color indexed="8"/>
        <rFont val="Calibri"/>
        <family val="2"/>
      </rPr>
      <t xml:space="preserve">
Paul Woodcock </t>
    </r>
    <r>
      <rPr>
        <sz val="10"/>
        <color indexed="8"/>
        <rFont val="Calibri"/>
        <family val="2"/>
      </rPr>
      <t>- Director Corporate Assets, Safety, Health, Environment and Wellbeing</t>
    </r>
  </si>
  <si>
    <t>Table 1: Performance - rolling average frequency rate</t>
  </si>
  <si>
    <t>36 month rolling average</t>
  </si>
  <si>
    <t>12 month rolling average</t>
  </si>
  <si>
    <t>Target
12 month rolling</t>
  </si>
  <si>
    <t>Ceiling &lt;=0.16</t>
  </si>
  <si>
    <t>Table 2: Count of LTIs</t>
  </si>
  <si>
    <t>Average</t>
  </si>
  <si>
    <t>Moving Range</t>
  </si>
  <si>
    <t>Upper control limit</t>
  </si>
  <si>
    <t>Lower control limit</t>
  </si>
  <si>
    <t>Q1 09/10</t>
  </si>
  <si>
    <t>Q2 09/10</t>
  </si>
  <si>
    <t>Q3 09/10</t>
  </si>
  <si>
    <t>Q4 09/10</t>
  </si>
  <si>
    <t>Q1 10/11</t>
  </si>
  <si>
    <t>Q2 10/11</t>
  </si>
  <si>
    <t>Q3 10/11</t>
  </si>
  <si>
    <t>Q4 10/11</t>
  </si>
  <si>
    <t>Q1 11/12</t>
  </si>
  <si>
    <t>Q2 11/12</t>
  </si>
  <si>
    <t>Q3 11/12</t>
  </si>
  <si>
    <t>Q4 11/12</t>
  </si>
  <si>
    <t>Q2 12/13</t>
  </si>
  <si>
    <t>Q4 13/14</t>
  </si>
  <si>
    <t>Q4 14/15</t>
  </si>
  <si>
    <t>Limits calculated Q1 09/10-Q2 15-16</t>
  </si>
  <si>
    <r>
      <rPr>
        <b/>
        <sz val="12"/>
        <color indexed="8"/>
        <rFont val="Calibri"/>
        <family val="2"/>
      </rPr>
      <t>Performance explanation</t>
    </r>
    <r>
      <rPr>
        <sz val="12"/>
        <color indexed="8"/>
        <rFont val="Calibri"/>
        <family val="2"/>
      </rPr>
      <t xml:space="preserve"> </t>
    </r>
    <r>
      <rPr>
        <b/>
        <sz val="10"/>
        <color indexed="10"/>
        <rFont val="Calibri"/>
        <family val="2"/>
      </rPr>
      <t>Yellow box is just a guide. Please check that text fits into space on insight tab (size 10 Calibri font)</t>
    </r>
  </si>
  <si>
    <t xml:space="preserve">Our Lost Time Incident Frequency Rate (LTIFR) has remained close to historically low levels and, compared with similar organisations, this is class leading. Nonetheless, our ceiling of 0.11 is particularly low as it is based on our position at the end quarter 4 2016/17, when we had gone several months with very low numbers of LTIs. It therefore only requires a relatively small increase in injuries for this ceiling to be exceeded. It is to be expected that we will continue to move just above and below this ceiling for the foreseeable future, although this should not be viewed as complacency. We continue to improve our processes for learning from LTIs and Safety Critical Incidents (SCIs) and to refresh key aspects of our HSW risk management instructions, training and communications.  We have provided a new, compulsory  ‘Managing Health, Safety and Wellbeing’ course for all line managers. In the same period, if we had used the same definition of an LTI as the water companies used, we would have had a LTI frequency rate of 0.04. Our headcount has reduced by approximately 1,000 due to the movement of Corporate Services colleagues to Defra. This group historically reported few LTIs, and so the change will not influence the frequency rate. </t>
  </si>
  <si>
    <r>
      <t>Actions</t>
    </r>
    <r>
      <rPr>
        <b/>
        <sz val="12"/>
        <color indexed="10"/>
        <rFont val="Calibri"/>
        <family val="2"/>
      </rPr>
      <t xml:space="preserve"> Yellow boxes are just a guide. Please check that text fits into space on insight tab (maximum of 4, size 10 Calibri font)</t>
    </r>
  </si>
  <si>
    <t>Implement the Health, Safety and Wellbeing  plan for 2017/18</t>
  </si>
  <si>
    <r>
      <rPr>
        <b/>
        <sz val="12"/>
        <color indexed="8"/>
        <rFont val="Calibri"/>
        <family val="2"/>
      </rPr>
      <t>Analyst comments</t>
    </r>
    <r>
      <rPr>
        <i/>
        <sz val="10"/>
        <color indexed="10"/>
        <rFont val="Calibri"/>
        <family val="2"/>
      </rPr>
      <t xml:space="preserve"> </t>
    </r>
    <r>
      <rPr>
        <b/>
        <sz val="10"/>
        <color indexed="10"/>
        <rFont val="Calibri"/>
        <family val="2"/>
      </rPr>
      <t>(please use this space to let Corporate Planning and Performance know of any issues that you have with your insight report. Leave your name and contact number and we will be in touch)</t>
    </r>
  </si>
  <si>
    <r>
      <t xml:space="preserve">1. Serious and significant pollution incidents have dropped this quarter from 99 in quarter two to 78 in quarter three.  This downward trend is driven by a reduction in the other regulated and non-regulated sectors, the 3 priority sectors remain similar in number to quarter two.
2. Incidents caused by regulated sectors (other than the 3 priority sectors) have dropped this quarter from 21 to 11 incidents.
3. Other non-regulated incidents have dropped from 22 in quarter two to 9 in quarter three, showing no overall trend of premise types causing the incidents.  
</t>
    </r>
    <r>
      <rPr>
        <b/>
        <sz val="10.5"/>
        <rFont val="Calibri"/>
        <family val="2"/>
        <scheme val="minor"/>
      </rPr>
      <t>Agriculture:</t>
    </r>
    <r>
      <rPr>
        <sz val="10.5"/>
        <rFont val="Calibri"/>
        <family val="2"/>
        <scheme val="minor"/>
      </rPr>
      <t xml:space="preserve"> Livestock incidents account for all 15 category 1&amp;2 incidents in quarter three, with 14 in quarter two. Two are related to noise and odour at regulated poultry units. The remaining 13 are all related to water pollution by slurry or silage liquor with 85% coming from the dairy sector and the remainder from the beef sector. Half of these incidents were from spreading of slurry to land (waterlogged or spread prior to heavy rain) and half were from discharge and run off from stores and yard areas.  Proactive inspections of farms likely to produce and manage slurry are a priority for agriculture delivery at an area level.  We are delivering a national communications campaign to change farming behaviours and continuing Director level engagement with representative sector organisations.
</t>
    </r>
    <r>
      <rPr>
        <b/>
        <sz val="10.5"/>
        <rFont val="Calibri"/>
        <family val="2"/>
        <scheme val="minor"/>
      </rPr>
      <t>Water Company</t>
    </r>
    <r>
      <rPr>
        <sz val="10.5"/>
        <rFont val="Calibri"/>
        <family val="2"/>
        <scheme val="minor"/>
      </rPr>
      <t xml:space="preserve">: The number of incidents for water companies has remained unchanged from quarter two, at 19 incidents.  The trend is of a slight decrease in incidents in the longer term, looking at types of assets responsible for causing incidents. There has been a steady decrease in incidents from the foul sewers and sewage treatment assets.  There has been a recent increase from the clean water assets of the water distribution network.  In quarter three we will continue to examine this trend more closely by working with specialists from the water companies (see action below). Overall the trend of reducing incidents from the sewage assets reflects continued improvement due to improved technical liaison on incidents, and installation by companies of additional telemetry which enables quicker responses.  We continue to engage the senior management of the companies to reduce incident numbers further. We met the companies for a joint workshop in December 2017 in which best practices were shared and discussed. 
</t>
    </r>
    <r>
      <rPr>
        <b/>
        <sz val="10.5"/>
        <rFont val="Calibri"/>
        <family val="2"/>
        <scheme val="minor"/>
      </rPr>
      <t>Illegal waste:</t>
    </r>
    <r>
      <rPr>
        <sz val="10.5"/>
        <rFont val="Calibri"/>
        <family val="2"/>
        <scheme val="minor"/>
      </rPr>
      <t xml:space="preserve"> quarter three follows the trend to date for 2017/18 with a further downturn in incidents which reveals the lowest number of category 1/2 illegal waste management incidents per quarter for almost 5 years. There are 8 separate incidents this quarter, 4 are now closed due to no offender being known while the remainder are the subject of ongoing criminal investigation. We continue to tackle illegal waste sites (IWS) as a corporate priority with a target to reduce the number of high risk sites by 3% per quarter.
</t>
    </r>
    <r>
      <rPr>
        <b/>
        <sz val="10.5"/>
        <rFont val="Calibri"/>
        <family val="2"/>
        <scheme val="minor"/>
      </rPr>
      <t xml:space="preserve">Other non-regulated sectors: </t>
    </r>
    <r>
      <rPr>
        <sz val="10.5"/>
        <rFont val="Calibri"/>
        <family val="2"/>
        <scheme val="minor"/>
      </rPr>
      <t xml:space="preserve">There is an overall decline in incidents from the non-regulated sector dropping from 22 in quarter two to 9 in quarter three. These incidents are from a mix of premise types, 3 from the service sector (2 from construction and demolition and 1 from recreation), 2 from natural causes, 2 from residential properties and 1 each for manufacturing and power generation. We had 16 'not identified' incidents in quarter three, an increase of 1 compared to quarter two.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</si>
</sst>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Red]#,##0"/>
    <numFmt numFmtId="167" formatCode="&quot;£&quot;\ #,##0\ &quot;m&quot;"/>
    <numFmt numFmtId="168" formatCode="0.000"/>
  </numFmts>
  <fonts count="118" x14ac:knownFonts="1">
    <font>
      <sz val="12"/>
      <color theme="1"/>
      <name val="Arial"/>
      <family val="2"/>
    </font>
    <font>
      <sz val="12"/>
      <color theme="1"/>
      <name val="Arial"/>
      <family val="2"/>
    </font>
    <font>
      <b/>
      <sz val="12"/>
      <color theme="1"/>
      <name val="Arial"/>
      <family val="2"/>
    </font>
    <font>
      <sz val="12"/>
      <name val="Arial"/>
      <family val="2"/>
    </font>
    <font>
      <sz val="11"/>
      <name val="Arial"/>
      <family val="2"/>
    </font>
    <font>
      <sz val="11"/>
      <color theme="1"/>
      <name val="Arial"/>
      <family val="2"/>
    </font>
    <font>
      <sz val="12"/>
      <name val="Calibri"/>
      <family val="2"/>
      <scheme val="minor"/>
    </font>
    <font>
      <b/>
      <sz val="12"/>
      <name val="Calibri"/>
      <family val="2"/>
      <scheme val="minor"/>
    </font>
    <font>
      <sz val="12"/>
      <color theme="1"/>
      <name val="Calibri"/>
      <family val="2"/>
      <scheme val="minor"/>
    </font>
    <font>
      <sz val="10"/>
      <name val="Arial"/>
      <family val="2"/>
    </font>
    <font>
      <b/>
      <sz val="18"/>
      <name val="Calibri"/>
      <family val="2"/>
      <scheme val="minor"/>
    </font>
    <font>
      <b/>
      <sz val="18"/>
      <color theme="0"/>
      <name val="Calibri"/>
      <family val="2"/>
      <scheme val="minor"/>
    </font>
    <font>
      <b/>
      <sz val="16"/>
      <color theme="1"/>
      <name val="Arial"/>
      <family val="2"/>
    </font>
    <font>
      <sz val="14"/>
      <name val="Calibri"/>
      <family val="2"/>
      <scheme val="minor"/>
    </font>
    <font>
      <sz val="14"/>
      <color theme="1" tint="4.9989318521683403E-2"/>
      <name val="Calibri"/>
      <family val="2"/>
      <scheme val="minor"/>
    </font>
    <font>
      <sz val="11"/>
      <color theme="1" tint="4.9989318521683403E-2"/>
      <name val="Calibri"/>
      <family val="2"/>
      <scheme val="minor"/>
    </font>
    <font>
      <sz val="12"/>
      <color theme="1" tint="4.9989318521683403E-2"/>
      <name val="Calibri"/>
      <family val="2"/>
      <scheme val="minor"/>
    </font>
    <font>
      <b/>
      <sz val="14"/>
      <name val="Calibri"/>
      <family val="2"/>
      <scheme val="minor"/>
    </font>
    <font>
      <b/>
      <sz val="11"/>
      <color theme="1" tint="4.9989318521683403E-2"/>
      <name val="Calibri"/>
      <family val="2"/>
      <scheme val="minor"/>
    </font>
    <font>
      <b/>
      <sz val="14"/>
      <color theme="1" tint="4.9989318521683403E-2"/>
      <name val="Calibri"/>
      <family val="2"/>
      <scheme val="minor"/>
    </font>
    <font>
      <b/>
      <sz val="12"/>
      <color theme="1" tint="4.9989318521683403E-2"/>
      <name val="Calibri"/>
      <family val="2"/>
      <scheme val="minor"/>
    </font>
    <font>
      <sz val="12"/>
      <color rgb="FFFF0000"/>
      <name val="Calibri"/>
      <family val="2"/>
      <scheme val="minor"/>
    </font>
    <font>
      <sz val="11"/>
      <name val="Calibri"/>
      <family val="2"/>
      <scheme val="minor"/>
    </font>
    <font>
      <sz val="10"/>
      <color theme="1" tint="4.9989318521683403E-2"/>
      <name val="Calibri"/>
      <family val="2"/>
      <scheme val="minor"/>
    </font>
    <font>
      <sz val="10"/>
      <name val="Calibri"/>
      <family val="2"/>
      <scheme val="minor"/>
    </font>
    <font>
      <sz val="18"/>
      <color rgb="FFFF0000"/>
      <name val="Calibri"/>
      <family val="2"/>
      <scheme val="minor"/>
    </font>
    <font>
      <b/>
      <sz val="18"/>
      <color rgb="FFFF0000"/>
      <name val="Calibri"/>
      <family val="2"/>
      <scheme val="minor"/>
    </font>
    <font>
      <sz val="16"/>
      <name val="Arial"/>
      <family val="2"/>
    </font>
    <font>
      <b/>
      <sz val="16"/>
      <name val="Arial"/>
      <family val="2"/>
    </font>
    <font>
      <b/>
      <sz val="11"/>
      <name val="Arial"/>
      <family val="2"/>
    </font>
    <font>
      <sz val="12"/>
      <color theme="0"/>
      <name val="Arial"/>
      <family val="2"/>
    </font>
    <font>
      <b/>
      <sz val="12"/>
      <color theme="0"/>
      <name val="Calibri"/>
      <family val="2"/>
      <scheme val="minor"/>
    </font>
    <font>
      <sz val="10.5"/>
      <name val="Calibri"/>
      <family val="2"/>
      <scheme val="minor"/>
    </font>
    <font>
      <b/>
      <sz val="12"/>
      <color theme="7" tint="-0.499984740745262"/>
      <name val="Calibri"/>
      <family val="2"/>
      <scheme val="minor"/>
    </font>
    <font>
      <b/>
      <sz val="14"/>
      <color theme="1"/>
      <name val="Calibri"/>
      <family val="2"/>
      <scheme val="minor"/>
    </font>
    <font>
      <sz val="14"/>
      <color theme="1"/>
      <name val="Arial"/>
      <family val="2"/>
    </font>
    <font>
      <i/>
      <sz val="10"/>
      <color theme="1"/>
      <name val="Calibri"/>
      <family val="2"/>
      <scheme val="minor"/>
    </font>
    <font>
      <i/>
      <sz val="10"/>
      <color theme="1"/>
      <name val="Arial"/>
      <family val="2"/>
    </font>
    <font>
      <sz val="10"/>
      <color theme="1"/>
      <name val="Calibri"/>
      <family val="2"/>
      <scheme val="minor"/>
    </font>
    <font>
      <b/>
      <sz val="10"/>
      <color theme="1"/>
      <name val="Calibri"/>
      <family val="2"/>
      <scheme val="minor"/>
    </font>
    <font>
      <b/>
      <sz val="10"/>
      <name val="Calibri"/>
      <family val="2"/>
      <scheme val="minor"/>
    </font>
    <font>
      <b/>
      <sz val="10"/>
      <color theme="1"/>
      <name val="Arial"/>
      <family val="2"/>
    </font>
    <font>
      <sz val="10"/>
      <color theme="1"/>
      <name val="Arial"/>
      <family val="2"/>
    </font>
    <font>
      <b/>
      <sz val="12"/>
      <color theme="1"/>
      <name val="Calibri"/>
      <family val="2"/>
      <scheme val="minor"/>
    </font>
    <font>
      <sz val="10"/>
      <color rgb="FF000000"/>
      <name val="Calibri"/>
      <family val="2"/>
    </font>
    <font>
      <b/>
      <sz val="10"/>
      <color rgb="FFFF0000"/>
      <name val="Calibri"/>
      <family val="2"/>
      <scheme val="minor"/>
    </font>
    <font>
      <sz val="10.5"/>
      <name val="Arial"/>
      <family val="2"/>
    </font>
    <font>
      <b/>
      <sz val="10"/>
      <color rgb="FFFF0000"/>
      <name val="Arial"/>
      <family val="2"/>
    </font>
    <font>
      <i/>
      <sz val="10"/>
      <color rgb="FFFF0000"/>
      <name val="Arial"/>
      <family val="2"/>
    </font>
    <font>
      <b/>
      <sz val="14"/>
      <color rgb="FF403152"/>
      <name val="Calibri"/>
      <family val="2"/>
    </font>
    <font>
      <b/>
      <sz val="9"/>
      <color theme="1"/>
      <name val="Calibri"/>
      <family val="2"/>
    </font>
    <font>
      <b/>
      <sz val="9"/>
      <color rgb="FF403152"/>
      <name val="Calibri"/>
      <family val="2"/>
    </font>
    <font>
      <b/>
      <sz val="14"/>
      <color theme="7" tint="-0.499984740745262"/>
      <name val="Calibri"/>
      <family val="2"/>
      <scheme val="minor"/>
    </font>
    <font>
      <sz val="14"/>
      <color theme="7" tint="-0.499984740745262"/>
      <name val="Calibri"/>
      <family val="2"/>
      <scheme val="minor"/>
    </font>
    <font>
      <b/>
      <sz val="10"/>
      <color theme="7" tint="-0.499984740745262"/>
      <name val="Calibri"/>
      <family val="2"/>
      <scheme val="minor"/>
    </font>
    <font>
      <b/>
      <sz val="9"/>
      <color theme="7" tint="-0.499984740745262"/>
      <name val="Calibri"/>
      <family val="2"/>
      <scheme val="minor"/>
    </font>
    <font>
      <b/>
      <sz val="12"/>
      <color rgb="FF002060"/>
      <name val="Calibri"/>
      <family val="2"/>
      <scheme val="minor"/>
    </font>
    <font>
      <b/>
      <sz val="10"/>
      <color rgb="FF002060"/>
      <name val="Calibri"/>
      <family val="2"/>
      <scheme val="minor"/>
    </font>
    <font>
      <sz val="12"/>
      <color theme="7" tint="-0.499984740745262"/>
      <name val="Arial"/>
      <family val="2"/>
    </font>
    <font>
      <sz val="11"/>
      <color rgb="FF002060"/>
      <name val="Calibri"/>
      <family val="2"/>
      <scheme val="minor"/>
    </font>
    <font>
      <b/>
      <sz val="11"/>
      <color rgb="FF00B050"/>
      <name val="Calibri"/>
      <family val="2"/>
      <scheme val="minor"/>
    </font>
    <font>
      <sz val="12"/>
      <color rgb="FF002060"/>
      <name val="Calibri"/>
      <family val="2"/>
      <scheme val="minor"/>
    </font>
    <font>
      <sz val="10"/>
      <color rgb="FF002060"/>
      <name val="Calibri"/>
      <family val="2"/>
      <scheme val="minor"/>
    </font>
    <font>
      <sz val="10"/>
      <color theme="7" tint="-0.499984740745262"/>
      <name val="Arial"/>
      <family val="2"/>
    </font>
    <font>
      <sz val="10"/>
      <color rgb="FF002060"/>
      <name val="Arial"/>
      <family val="2"/>
    </font>
    <font>
      <sz val="9"/>
      <color rgb="FF002060"/>
      <name val="Calibri"/>
      <family val="2"/>
      <scheme val="minor"/>
    </font>
    <font>
      <b/>
      <sz val="10"/>
      <color theme="0"/>
      <name val="Calibri"/>
      <family val="2"/>
      <scheme val="minor"/>
    </font>
    <font>
      <sz val="10"/>
      <color theme="7" tint="-0.499984740745262"/>
      <name val="Calibri"/>
      <family val="2"/>
      <scheme val="minor"/>
    </font>
    <font>
      <b/>
      <sz val="18"/>
      <color theme="1"/>
      <name val="Calibri"/>
      <family val="2"/>
      <scheme val="minor"/>
    </font>
    <font>
      <b/>
      <sz val="16"/>
      <color theme="1"/>
      <name val="Calibri"/>
      <family val="2"/>
      <scheme val="minor"/>
    </font>
    <font>
      <b/>
      <sz val="12"/>
      <color rgb="FFFF0000"/>
      <name val="Calibri"/>
      <family val="2"/>
      <scheme val="minor"/>
    </font>
    <font>
      <sz val="9"/>
      <color theme="1"/>
      <name val="Calibri"/>
      <family val="2"/>
      <scheme val="minor"/>
    </font>
    <font>
      <sz val="10"/>
      <color rgb="FF008244"/>
      <name val="Calibri"/>
      <family val="2"/>
      <scheme val="minor"/>
    </font>
    <font>
      <i/>
      <sz val="10"/>
      <color rgb="FFFF0000"/>
      <name val="Calibri"/>
      <family val="2"/>
      <scheme val="minor"/>
    </font>
    <font>
      <u/>
      <sz val="12"/>
      <color theme="1"/>
      <name val="Arial"/>
      <family val="2"/>
    </font>
    <font>
      <b/>
      <sz val="14"/>
      <color theme="2" tint="-0.499984740745262"/>
      <name val="Calibri"/>
      <family val="2"/>
      <scheme val="minor"/>
    </font>
    <font>
      <sz val="10"/>
      <color indexed="8"/>
      <name val="Calibri"/>
      <family val="2"/>
    </font>
    <font>
      <b/>
      <sz val="10"/>
      <color indexed="8"/>
      <name val="Calibri"/>
      <family val="2"/>
    </font>
    <font>
      <b/>
      <sz val="10"/>
      <color theme="3" tint="-0.249977111117893"/>
      <name val="Calibri"/>
      <family val="2"/>
      <scheme val="minor"/>
    </font>
    <font>
      <sz val="10"/>
      <color rgb="FFFF0000"/>
      <name val="Calibri"/>
      <family val="2"/>
      <scheme val="minor"/>
    </font>
    <font>
      <sz val="8"/>
      <color theme="1"/>
      <name val="Arial"/>
      <family val="2"/>
    </font>
    <font>
      <sz val="12"/>
      <color theme="1"/>
      <name val="Calibri"/>
      <family val="2"/>
    </font>
    <font>
      <b/>
      <sz val="12"/>
      <color indexed="8"/>
      <name val="Calibri"/>
      <family val="2"/>
    </font>
    <font>
      <sz val="12"/>
      <color indexed="8"/>
      <name val="Calibri"/>
      <family val="2"/>
    </font>
    <font>
      <b/>
      <sz val="10"/>
      <color indexed="10"/>
      <name val="Calibri"/>
      <family val="2"/>
    </font>
    <font>
      <sz val="10.5"/>
      <color theme="1"/>
      <name val="Calibri"/>
      <family val="2"/>
    </font>
    <font>
      <sz val="9"/>
      <color rgb="FF00C167"/>
      <name val="Calibri"/>
      <family val="2"/>
      <scheme val="minor"/>
    </font>
    <font>
      <b/>
      <sz val="10"/>
      <color indexed="10"/>
      <name val="Arial"/>
      <family val="2"/>
    </font>
    <font>
      <sz val="10.5"/>
      <color theme="1"/>
      <name val="Calibri"/>
      <family val="2"/>
      <scheme val="minor"/>
    </font>
    <font>
      <sz val="10.5"/>
      <color theme="1"/>
      <name val="Arial"/>
      <family val="2"/>
    </font>
    <font>
      <sz val="10"/>
      <color theme="0" tint="-0.249977111117893"/>
      <name val="Calibri"/>
      <family val="2"/>
      <scheme val="minor"/>
    </font>
    <font>
      <sz val="12"/>
      <color theme="0" tint="-0.249977111117893"/>
      <name val="Arial"/>
      <family val="2"/>
    </font>
    <font>
      <sz val="10.5"/>
      <color rgb="FFFF0000"/>
      <name val="Arial"/>
      <family val="2"/>
    </font>
    <font>
      <b/>
      <sz val="12"/>
      <color indexed="8"/>
      <name val="Arial"/>
      <family val="2"/>
    </font>
    <font>
      <i/>
      <sz val="10"/>
      <color indexed="10"/>
      <name val="Arial"/>
      <family val="2"/>
    </font>
    <font>
      <sz val="12"/>
      <color rgb="FFE46D0A"/>
      <name val="Arial"/>
      <family val="2"/>
    </font>
    <font>
      <sz val="10"/>
      <color rgb="FFE46D0A"/>
      <name val="Calibri"/>
      <family val="2"/>
      <scheme val="minor"/>
    </font>
    <font>
      <b/>
      <sz val="7"/>
      <color theme="1"/>
      <name val="Calibri"/>
      <family val="2"/>
      <scheme val="minor"/>
    </font>
    <font>
      <b/>
      <sz val="7"/>
      <color theme="1"/>
      <name val="Arial"/>
      <family val="2"/>
    </font>
    <font>
      <b/>
      <sz val="11"/>
      <color theme="0"/>
      <name val="Arial"/>
      <family val="2"/>
    </font>
    <font>
      <b/>
      <sz val="9"/>
      <color indexed="81"/>
      <name val="Tahoma"/>
      <family val="2"/>
    </font>
    <font>
      <sz val="9"/>
      <color indexed="81"/>
      <name val="Tahoma"/>
      <family val="2"/>
    </font>
    <font>
      <sz val="8"/>
      <name val="Arial"/>
      <family val="2"/>
    </font>
    <font>
      <sz val="9"/>
      <color theme="1"/>
      <name val="Arial"/>
      <family val="2"/>
    </font>
    <font>
      <sz val="11"/>
      <color theme="1"/>
      <name val="Calibri"/>
      <family val="2"/>
      <scheme val="minor"/>
    </font>
    <font>
      <sz val="10"/>
      <color rgb="FF4F6228"/>
      <name val="Calibri"/>
      <family val="2"/>
      <scheme val="minor"/>
    </font>
    <font>
      <sz val="10"/>
      <color theme="6" tint="-0.499984740745262"/>
      <name val="Arial"/>
      <family val="2"/>
    </font>
    <font>
      <sz val="12"/>
      <color theme="0"/>
      <name val="Calibri"/>
      <family val="2"/>
      <scheme val="minor"/>
    </font>
    <font>
      <sz val="10.5"/>
      <name val="Calibri"/>
      <family val="2"/>
    </font>
    <font>
      <b/>
      <sz val="11"/>
      <color rgb="FF1F497D"/>
      <name val="Calibri"/>
      <family val="2"/>
    </font>
    <font>
      <sz val="11"/>
      <color rgb="FF1F497D"/>
      <name val="Symbol"/>
      <family val="1"/>
      <charset val="2"/>
    </font>
    <font>
      <sz val="11"/>
      <color rgb="FF1F497D"/>
      <name val="Calibri"/>
      <family val="2"/>
    </font>
    <font>
      <sz val="12"/>
      <color rgb="FF4F6228"/>
      <name val="Calibri"/>
      <family val="2"/>
      <scheme val="minor"/>
    </font>
    <font>
      <b/>
      <sz val="12"/>
      <color indexed="10"/>
      <name val="Calibri"/>
      <family val="2"/>
    </font>
    <font>
      <i/>
      <sz val="10"/>
      <color indexed="10"/>
      <name val="Calibri"/>
      <family val="2"/>
    </font>
    <font>
      <b/>
      <sz val="10.5"/>
      <name val="Calibri"/>
      <family val="2"/>
      <scheme val="minor"/>
    </font>
    <font>
      <sz val="10.25"/>
      <name val="Arial"/>
      <family val="2"/>
    </font>
    <font>
      <sz val="10.25"/>
      <name val="Calibri"/>
      <family val="2"/>
      <scheme val="minor"/>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gradientFill degree="180">
        <stop position="0">
          <color rgb="FFB2C326"/>
        </stop>
        <stop position="1">
          <color rgb="FFB2C326"/>
        </stop>
      </gradientFill>
    </fill>
    <fill>
      <gradientFill degree="180">
        <stop position="0">
          <color rgb="FF820053"/>
        </stop>
        <stop position="1">
          <color rgb="FF820053"/>
        </stop>
      </gradientFill>
    </fill>
    <fill>
      <gradientFill degree="180">
        <stop position="0">
          <color rgb="FF0177BA"/>
        </stop>
        <stop position="1">
          <color rgb="FF0177BA"/>
        </stop>
      </gradientFill>
    </fill>
    <fill>
      <gradientFill degree="180">
        <stop position="0">
          <color rgb="FFD95F15"/>
        </stop>
        <stop position="1">
          <color rgb="FFD95F15"/>
        </stop>
      </gradientFill>
    </fill>
    <fill>
      <gradientFill degree="180">
        <stop position="0">
          <color rgb="FF00AF41"/>
        </stop>
        <stop position="1">
          <color rgb="FF00AF41"/>
        </stop>
      </gradientFill>
    </fill>
    <fill>
      <patternFill patternType="solid">
        <fgColor rgb="FF00AF4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00C167"/>
        <bgColor indexed="64"/>
      </patternFill>
    </fill>
    <fill>
      <patternFill patternType="solid">
        <fgColor rgb="FFFFFFCC"/>
        <bgColor indexed="64"/>
      </patternFill>
    </fill>
    <fill>
      <patternFill patternType="solid">
        <fgColor theme="0" tint="-0.14996795556505021"/>
        <bgColor indexed="64"/>
      </patternFill>
    </fill>
    <fill>
      <patternFill patternType="solid">
        <fgColor theme="8"/>
        <bgColor indexed="64"/>
      </patternFill>
    </fill>
    <fill>
      <patternFill patternType="solid">
        <fgColor rgb="FFD95F15"/>
        <bgColor indexed="64"/>
      </patternFill>
    </fill>
    <fill>
      <patternFill patternType="solid">
        <fgColor rgb="FFE46D0A"/>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DA9694"/>
        <bgColor indexed="64"/>
      </patternFill>
    </fill>
    <fill>
      <patternFill patternType="solid">
        <fgColor rgb="FF0177BA"/>
        <bgColor indexed="64"/>
      </patternFill>
    </fill>
    <fill>
      <patternFill patternType="solid">
        <fgColor rgb="FFFFFF66"/>
        <bgColor indexed="64"/>
      </patternFill>
    </fill>
    <fill>
      <patternFill patternType="solid">
        <fgColor rgb="FF820053"/>
        <bgColor indexed="64"/>
      </patternFill>
    </fill>
    <fill>
      <patternFill patternType="solid">
        <fgColor rgb="FFB2C326"/>
        <bgColor indexed="64"/>
      </patternFill>
    </fill>
  </fills>
  <borders count="119">
    <border>
      <left/>
      <right/>
      <top/>
      <bottom/>
      <diagonal/>
    </border>
    <border>
      <left style="medium">
        <color rgb="FFB2C326"/>
      </left>
      <right style="medium">
        <color rgb="FFB2C326"/>
      </right>
      <top style="medium">
        <color rgb="FFB2C326"/>
      </top>
      <bottom style="medium">
        <color rgb="FFB2C326"/>
      </bottom>
      <diagonal/>
    </border>
    <border>
      <left style="medium">
        <color rgb="FFF78913"/>
      </left>
      <right style="medium">
        <color rgb="FFF78913"/>
      </right>
      <top style="medium">
        <color rgb="FFF78913"/>
      </top>
      <bottom style="medium">
        <color rgb="FFF7891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FF0000"/>
      </left>
      <right style="medium">
        <color rgb="FFFF0000"/>
      </right>
      <top style="medium">
        <color rgb="FFFF0000"/>
      </top>
      <bottom style="medium">
        <color rgb="FFFF0000"/>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bottom style="thin">
        <color rgb="FF00C167"/>
      </bottom>
      <diagonal/>
    </border>
    <border>
      <left style="thin">
        <color rgb="FF00C167"/>
      </left>
      <right/>
      <top style="thin">
        <color rgb="FF00C167"/>
      </top>
      <bottom/>
      <diagonal/>
    </border>
    <border>
      <left/>
      <right/>
      <top style="thin">
        <color rgb="FF00C167"/>
      </top>
      <bottom/>
      <diagonal/>
    </border>
    <border>
      <left/>
      <right/>
      <top style="thin">
        <color rgb="FF00C167"/>
      </top>
      <bottom style="thin">
        <color rgb="FF00C167"/>
      </bottom>
      <diagonal/>
    </border>
    <border>
      <left/>
      <right style="thin">
        <color rgb="FF00C167"/>
      </right>
      <top style="thin">
        <color rgb="FF00C167"/>
      </top>
      <bottom style="thin">
        <color rgb="FF00C167"/>
      </bottom>
      <diagonal/>
    </border>
    <border>
      <left style="thin">
        <color rgb="FF00AF41"/>
      </left>
      <right/>
      <top style="thin">
        <color rgb="FF00AF41"/>
      </top>
      <bottom style="thin">
        <color rgb="FF00AF41"/>
      </bottom>
      <diagonal/>
    </border>
    <border>
      <left/>
      <right/>
      <top style="thin">
        <color rgb="FF00AF41"/>
      </top>
      <bottom style="thin">
        <color rgb="FF00AF41"/>
      </bottom>
      <diagonal/>
    </border>
    <border>
      <left/>
      <right style="thin">
        <color rgb="FF00AF41"/>
      </right>
      <top style="thin">
        <color rgb="FF00AF41"/>
      </top>
      <bottom style="thin">
        <color rgb="FF00AF41"/>
      </bottom>
      <diagonal/>
    </border>
    <border>
      <left/>
      <right/>
      <top style="thin">
        <color rgb="FF00C167"/>
      </top>
      <bottom style="thin">
        <color rgb="FF00AF41"/>
      </bottom>
      <diagonal/>
    </border>
    <border>
      <left/>
      <right style="thin">
        <color rgb="FF00AF41"/>
      </right>
      <top style="thin">
        <color rgb="FF00C167"/>
      </top>
      <bottom style="thin">
        <color rgb="FF00AF41"/>
      </bottom>
      <diagonal/>
    </border>
    <border>
      <left/>
      <right style="thin">
        <color rgb="FF00AF41"/>
      </right>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medium">
        <color rgb="FFFFFFFF"/>
      </right>
      <top/>
      <bottom style="medium">
        <color rgb="FFFFFFFF"/>
      </bottom>
      <diagonal/>
    </border>
    <border>
      <left/>
      <right style="medium">
        <color rgb="FFFFFFFF"/>
      </right>
      <top/>
      <bottom/>
      <diagonal/>
    </border>
    <border>
      <left/>
      <right style="medium">
        <color rgb="FFFFFFFF"/>
      </right>
      <top style="medium">
        <color rgb="FFFFFFFF"/>
      </top>
      <bottom style="medium">
        <color rgb="FFFFFFFF"/>
      </bottom>
      <diagonal/>
    </border>
    <border>
      <left/>
      <right/>
      <top style="thin">
        <color theme="0"/>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right/>
      <top/>
      <bottom style="thin">
        <color theme="0"/>
      </bottom>
      <diagonal/>
    </border>
    <border>
      <left style="thin">
        <color rgb="FF00C167"/>
      </left>
      <right/>
      <top style="thin">
        <color rgb="FF00C167"/>
      </top>
      <bottom style="thin">
        <color rgb="FF00C167"/>
      </bottom>
      <diagonal/>
    </border>
    <border>
      <left style="thin">
        <color rgb="FF00AF41"/>
      </left>
      <right/>
      <top style="thin">
        <color rgb="FF00C167"/>
      </top>
      <bottom style="thin">
        <color rgb="FF00AF41"/>
      </bottom>
      <diagonal/>
    </border>
    <border>
      <left/>
      <right style="dotted">
        <color rgb="FF00C167"/>
      </right>
      <top/>
      <bottom/>
      <diagonal/>
    </border>
    <border>
      <left style="dotted">
        <color rgb="FF00C167"/>
      </left>
      <right/>
      <top/>
      <bottom/>
      <diagonal/>
    </border>
    <border>
      <left style="thin">
        <color theme="0"/>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AF41"/>
      </left>
      <right/>
      <top/>
      <bottom/>
      <diagonal/>
    </border>
    <border>
      <left/>
      <right/>
      <top style="thin">
        <color rgb="FF00AF41"/>
      </top>
      <bottom/>
      <diagonal/>
    </border>
    <border>
      <left style="thin">
        <color rgb="FF00AF41"/>
      </left>
      <right/>
      <top style="thin">
        <color rgb="FF00AF41"/>
      </top>
      <bottom/>
      <diagonal/>
    </border>
    <border>
      <left/>
      <right style="thin">
        <color rgb="FF00AF41"/>
      </right>
      <top style="thin">
        <color rgb="FF00AF41"/>
      </top>
      <bottom/>
      <diagonal/>
    </border>
    <border>
      <left/>
      <right/>
      <top/>
      <bottom style="thin">
        <color rgb="FF00AF41"/>
      </bottom>
      <diagonal/>
    </border>
    <border>
      <left/>
      <right style="thin">
        <color rgb="FF00AF41"/>
      </right>
      <top/>
      <bottom style="thin">
        <color rgb="FF00AF41"/>
      </bottom>
      <diagonal/>
    </border>
    <border>
      <left style="medium">
        <color indexed="64"/>
      </left>
      <right/>
      <top style="medium">
        <color indexed="64"/>
      </top>
      <bottom style="medium">
        <color indexed="64"/>
      </bottom>
      <diagonal/>
    </border>
    <border>
      <left/>
      <right/>
      <top style="thin">
        <color theme="0"/>
      </top>
      <bottom style="thin">
        <color theme="0"/>
      </bottom>
      <diagonal/>
    </border>
    <border>
      <left style="thin">
        <color rgb="FFE46D0A"/>
      </left>
      <right/>
      <top style="thin">
        <color rgb="FFE46D0A"/>
      </top>
      <bottom style="thin">
        <color rgb="FFE46D0A"/>
      </bottom>
      <diagonal/>
    </border>
    <border>
      <left/>
      <right/>
      <top style="thin">
        <color rgb="FFE46D0A"/>
      </top>
      <bottom style="thin">
        <color rgb="FFE46D0A"/>
      </bottom>
      <diagonal/>
    </border>
    <border>
      <left/>
      <right style="thin">
        <color rgb="FFE46D0A"/>
      </right>
      <top style="thin">
        <color rgb="FFE46D0A"/>
      </top>
      <bottom style="thin">
        <color rgb="FFE46D0A"/>
      </bottom>
      <diagonal/>
    </border>
    <border>
      <left/>
      <right/>
      <top style="thin">
        <color rgb="FFE46D0A"/>
      </top>
      <bottom style="thin">
        <color rgb="FFD95F15"/>
      </bottom>
      <diagonal/>
    </border>
    <border>
      <left/>
      <right style="thin">
        <color rgb="FFD95F15"/>
      </right>
      <top style="thin">
        <color rgb="FFE46D0A"/>
      </top>
      <bottom style="thin">
        <color rgb="FFD95F15"/>
      </bottom>
      <diagonal/>
    </border>
    <border>
      <left/>
      <right style="dashed">
        <color rgb="FFDE2B29"/>
      </right>
      <top style="thin">
        <color rgb="FFD95F15"/>
      </top>
      <bottom/>
      <diagonal/>
    </border>
    <border>
      <left style="dashed">
        <color rgb="FFDE2B29"/>
      </left>
      <right style="dashed">
        <color rgb="FFDE2B29"/>
      </right>
      <top style="thin">
        <color rgb="FFD95F15"/>
      </top>
      <bottom/>
      <diagonal/>
    </border>
    <border>
      <left style="dashed">
        <color rgb="FFDE2B29"/>
      </left>
      <right style="thin">
        <color rgb="FFD95F15"/>
      </right>
      <top style="thin">
        <color rgb="FFD95F15"/>
      </top>
      <bottom/>
      <diagonal/>
    </border>
    <border>
      <left/>
      <right style="dashed">
        <color rgb="FFDE2B29"/>
      </right>
      <top/>
      <bottom/>
      <diagonal/>
    </border>
    <border>
      <left style="dashed">
        <color rgb="FFDE2B29"/>
      </left>
      <right style="thin">
        <color rgb="FFD95F15"/>
      </right>
      <top/>
      <bottom/>
      <diagonal/>
    </border>
    <border>
      <left style="dashed">
        <color rgb="FFDE2B29"/>
      </left>
      <right style="dashed">
        <color rgb="FFDE2B29"/>
      </right>
      <top/>
      <bottom/>
      <diagonal/>
    </border>
    <border>
      <left style="dashed">
        <color rgb="FFDE2B29"/>
      </left>
      <right/>
      <top/>
      <bottom/>
      <diagonal/>
    </border>
    <border>
      <left style="thin">
        <color rgb="FFD95F15"/>
      </left>
      <right style="dashed">
        <color rgb="FFDE2B29"/>
      </right>
      <top/>
      <bottom/>
      <diagonal/>
    </border>
    <border>
      <left style="thin">
        <color theme="0"/>
      </left>
      <right style="thin">
        <color theme="0"/>
      </right>
      <top/>
      <bottom/>
      <diagonal/>
    </border>
    <border>
      <left/>
      <right/>
      <top style="thin">
        <color indexed="64"/>
      </top>
      <bottom style="thin">
        <color indexed="64"/>
      </bottom>
      <diagonal/>
    </border>
    <border>
      <left style="thin">
        <color theme="0"/>
      </left>
      <right/>
      <top style="thin">
        <color rgb="FFE46D0A"/>
      </top>
      <bottom/>
      <diagonal/>
    </border>
    <border>
      <left/>
      <right/>
      <top style="thin">
        <color rgb="FFE46D0A"/>
      </top>
      <bottom/>
      <diagonal/>
    </border>
    <border>
      <left/>
      <right style="thin">
        <color theme="0"/>
      </right>
      <top style="thin">
        <color rgb="FFE46D0A"/>
      </top>
      <bottom/>
      <diagonal/>
    </border>
    <border>
      <left/>
      <right style="thin">
        <color rgb="FFD95F15"/>
      </right>
      <top style="thin">
        <color rgb="FFE46D0A"/>
      </top>
      <bottom/>
      <diagonal/>
    </border>
    <border>
      <left style="thin">
        <color rgb="FFD95F15"/>
      </left>
      <right/>
      <top style="thin">
        <color rgb="FFE46D0A"/>
      </top>
      <bottom style="thin">
        <color rgb="FFD95F15"/>
      </bottom>
      <diagonal/>
    </border>
    <border>
      <left/>
      <right/>
      <top style="thin">
        <color rgb="FFF78913"/>
      </top>
      <bottom/>
      <diagonal/>
    </border>
    <border>
      <left/>
      <right style="thin">
        <color rgb="FFD95F15"/>
      </right>
      <top style="thin">
        <color rgb="FFF78913"/>
      </top>
      <bottom/>
      <diagonal/>
    </border>
    <border>
      <left style="thin">
        <color rgb="FFD95F15"/>
      </left>
      <right/>
      <top style="thin">
        <color rgb="FFD95F15"/>
      </top>
      <bottom/>
      <diagonal/>
    </border>
    <border>
      <left/>
      <right style="thin">
        <color rgb="FFD95F15"/>
      </right>
      <top style="thin">
        <color rgb="FFD95F15"/>
      </top>
      <bottom/>
      <diagonal/>
    </border>
    <border>
      <left style="thin">
        <color rgb="FFD95F15"/>
      </left>
      <right/>
      <top/>
      <bottom/>
      <diagonal/>
    </border>
    <border>
      <left/>
      <right style="thin">
        <color rgb="FFD95F15"/>
      </right>
      <top/>
      <bottom/>
      <diagonal/>
    </border>
    <border>
      <left/>
      <right/>
      <top/>
      <bottom style="hair">
        <color rgb="FFD95F15"/>
      </bottom>
      <diagonal/>
    </border>
    <border>
      <left/>
      <right/>
      <top style="hair">
        <color rgb="FFD95F15"/>
      </top>
      <bottom/>
      <diagonal/>
    </border>
    <border>
      <left/>
      <right/>
      <top style="thin">
        <color rgb="FFD95F15"/>
      </top>
      <bottom/>
      <diagonal/>
    </border>
    <border>
      <left/>
      <right/>
      <top/>
      <bottom style="thin">
        <color rgb="FF0177BA"/>
      </bottom>
      <diagonal/>
    </border>
    <border>
      <left/>
      <right style="thin">
        <color rgb="FF0177BA"/>
      </right>
      <top/>
      <bottom style="thin">
        <color rgb="FF0177BA"/>
      </bottom>
      <diagonal/>
    </border>
    <border>
      <left style="thin">
        <color rgb="FF0177BA"/>
      </left>
      <right/>
      <top style="thin">
        <color rgb="FF0177BA"/>
      </top>
      <bottom/>
      <diagonal/>
    </border>
    <border>
      <left/>
      <right style="thin">
        <color rgb="FF0177BA"/>
      </right>
      <top style="thin">
        <color rgb="FF0177BA"/>
      </top>
      <bottom/>
      <diagonal/>
    </border>
    <border>
      <left style="thin">
        <color rgb="FF0177BA"/>
      </left>
      <right/>
      <top/>
      <bottom/>
      <diagonal/>
    </border>
    <border>
      <left/>
      <right style="thin">
        <color rgb="FF0177BA"/>
      </right>
      <top/>
      <bottom/>
      <diagonal/>
    </border>
    <border>
      <left style="thin">
        <color rgb="FF0177BA"/>
      </left>
      <right/>
      <top/>
      <bottom style="thin">
        <color rgb="FF0177BA"/>
      </bottom>
      <diagonal/>
    </border>
    <border>
      <left/>
      <right/>
      <top style="thin">
        <color rgb="FF0177BA"/>
      </top>
      <bottom/>
      <diagonal/>
    </border>
    <border>
      <left style="thin">
        <color rgb="FFA351A5"/>
      </left>
      <right/>
      <top style="thin">
        <color rgb="FFA351A5"/>
      </top>
      <bottom style="thin">
        <color rgb="FFA351A5"/>
      </bottom>
      <diagonal/>
    </border>
    <border>
      <left/>
      <right/>
      <top style="thin">
        <color rgb="FFA351A5"/>
      </top>
      <bottom style="thin">
        <color rgb="FFA351A5"/>
      </bottom>
      <diagonal/>
    </border>
    <border>
      <left/>
      <right style="thin">
        <color rgb="FFA351A5"/>
      </right>
      <top style="thin">
        <color rgb="FFA351A5"/>
      </top>
      <bottom style="thin">
        <color rgb="FFA351A5"/>
      </bottom>
      <diagonal/>
    </border>
    <border>
      <left style="thin">
        <color rgb="FFA351A5"/>
      </left>
      <right style="thin">
        <color rgb="FFA351A5"/>
      </right>
      <top style="thin">
        <color rgb="FFA351A5"/>
      </top>
      <bottom style="thin">
        <color rgb="FFA351A5"/>
      </bottom>
      <diagonal/>
    </border>
    <border>
      <left style="thin">
        <color theme="0"/>
      </left>
      <right/>
      <top style="thin">
        <color rgb="FFA351A5"/>
      </top>
      <bottom/>
      <diagonal/>
    </border>
    <border>
      <left/>
      <right/>
      <top style="thin">
        <color rgb="FFA351A5"/>
      </top>
      <bottom/>
      <diagonal/>
    </border>
    <border>
      <left style="thin">
        <color rgb="FF820053"/>
      </left>
      <right/>
      <top style="thin">
        <color rgb="FFA351A5"/>
      </top>
      <bottom/>
      <diagonal/>
    </border>
    <border>
      <left style="thin">
        <color rgb="FF820053"/>
      </left>
      <right/>
      <top/>
      <bottom/>
      <diagonal/>
    </border>
    <border>
      <left/>
      <right style="thin">
        <color rgb="FF820053"/>
      </right>
      <top/>
      <bottom/>
      <diagonal/>
    </border>
    <border>
      <left/>
      <right/>
      <top/>
      <bottom style="dashed">
        <color theme="6" tint="-0.499984740745262"/>
      </bottom>
      <diagonal/>
    </border>
    <border>
      <left/>
      <right/>
      <top style="dashed">
        <color theme="6" tint="-0.499984740745262"/>
      </top>
      <bottom/>
      <diagonal/>
    </border>
    <border>
      <left/>
      <right/>
      <top/>
      <bottom style="thin">
        <color rgb="FFB2C326"/>
      </bottom>
      <diagonal/>
    </border>
    <border>
      <left/>
      <right style="thin">
        <color rgb="FFB2C326"/>
      </right>
      <top/>
      <bottom style="thin">
        <color rgb="FFB2C326"/>
      </bottom>
      <diagonal/>
    </border>
    <border>
      <left style="thin">
        <color rgb="FFB2C326"/>
      </left>
      <right/>
      <top/>
      <bottom style="thin">
        <color rgb="FFB2C326"/>
      </bottom>
      <diagonal/>
    </border>
    <border>
      <left style="thin">
        <color rgb="FFB2C326"/>
      </left>
      <right/>
      <top style="thin">
        <color rgb="FFB2C326"/>
      </top>
      <bottom/>
      <diagonal/>
    </border>
    <border>
      <left/>
      <right/>
      <top style="thin">
        <color rgb="FFB2C326"/>
      </top>
      <bottom/>
      <diagonal/>
    </border>
    <border>
      <left style="thin">
        <color rgb="FFB2C326"/>
      </left>
      <right/>
      <top/>
      <bottom/>
      <diagonal/>
    </border>
    <border>
      <left/>
      <right style="thin">
        <color rgb="FFB2C326"/>
      </right>
      <top/>
      <bottom/>
      <diagonal/>
    </border>
    <border>
      <left style="thin">
        <color rgb="FF8FBF21"/>
      </left>
      <right/>
      <top style="thin">
        <color rgb="FF8FBF21"/>
      </top>
      <bottom style="thin">
        <color rgb="FF8FBF21"/>
      </bottom>
      <diagonal/>
    </border>
    <border>
      <left/>
      <right/>
      <top style="thin">
        <color rgb="FF8FBF21"/>
      </top>
      <bottom style="thin">
        <color rgb="FF8FBF21"/>
      </bottom>
      <diagonal/>
    </border>
    <border>
      <left/>
      <right style="thin">
        <color rgb="FF8FBF21"/>
      </right>
      <top style="thin">
        <color rgb="FF8FBF21"/>
      </top>
      <bottom style="thin">
        <color rgb="FF8FBF21"/>
      </bottom>
      <diagonal/>
    </border>
    <border>
      <left/>
      <right/>
      <top/>
      <bottom style="dotted">
        <color rgb="FF8FBF21"/>
      </bottom>
      <diagonal/>
    </border>
    <border>
      <left/>
      <right style="dotted">
        <color rgb="FF8FBF21"/>
      </right>
      <top/>
      <bottom style="dotted">
        <color rgb="FF8FBF21"/>
      </bottom>
      <diagonal/>
    </border>
    <border>
      <left style="dotted">
        <color rgb="FF8FBF21"/>
      </left>
      <right/>
      <top/>
      <bottom style="dotted">
        <color rgb="FF8FBF21"/>
      </bottom>
      <diagonal/>
    </border>
    <border>
      <left/>
      <right style="dotted">
        <color rgb="FF8FBF21"/>
      </right>
      <top/>
      <bottom/>
      <diagonal/>
    </border>
    <border>
      <left style="dotted">
        <color rgb="FF8FBF21"/>
      </left>
      <right/>
      <top/>
      <bottom/>
      <diagonal/>
    </border>
  </borders>
  <cellStyleXfs count="6">
    <xf numFmtId="0" fontId="0" fillId="0" borderId="0"/>
    <xf numFmtId="0" fontId="3" fillId="0" borderId="0"/>
    <xf numFmtId="0" fontId="9" fillId="0" borderId="0"/>
    <xf numFmtId="9" fontId="3" fillId="0" borderId="0" applyFont="0" applyFill="0" applyBorder="0" applyAlignment="0" applyProtection="0"/>
    <xf numFmtId="9" fontId="1" fillId="0" borderId="0" applyFont="0" applyFill="0" applyBorder="0" applyAlignment="0" applyProtection="0"/>
    <xf numFmtId="0" fontId="9" fillId="0" borderId="0"/>
  </cellStyleXfs>
  <cellXfs count="1069">
    <xf numFmtId="0" fontId="0" fillId="0" borderId="0" xfId="0"/>
    <xf numFmtId="0" fontId="4" fillId="0" borderId="0" xfId="1" applyFont="1" applyBorder="1" applyAlignment="1"/>
    <xf numFmtId="0" fontId="3" fillId="0" borderId="0" xfId="1" applyFont="1" applyBorder="1" applyAlignment="1"/>
    <xf numFmtId="0" fontId="1" fillId="0" borderId="0" xfId="1" applyFont="1" applyBorder="1" applyAlignment="1"/>
    <xf numFmtId="0" fontId="5" fillId="0" borderId="0" xfId="1" applyFont="1" applyBorder="1" applyAlignment="1"/>
    <xf numFmtId="0" fontId="6" fillId="2" borderId="0" xfId="1" applyFont="1" applyFill="1" applyBorder="1" applyAlignment="1">
      <alignment horizontal="left" vertical="center" wrapText="1"/>
    </xf>
    <xf numFmtId="0" fontId="1" fillId="0" borderId="0" xfId="1" applyFont="1" applyBorder="1" applyAlignment="1">
      <alignment horizontal="left"/>
    </xf>
    <xf numFmtId="4" fontId="7" fillId="0" borderId="1" xfId="1" applyNumberFormat="1" applyFont="1" applyFill="1" applyBorder="1" applyAlignment="1">
      <alignment horizontal="center" vertical="center" wrapText="1"/>
    </xf>
    <xf numFmtId="4" fontId="8" fillId="2" borderId="0" xfId="1" applyNumberFormat="1" applyFont="1" applyFill="1" applyBorder="1" applyAlignment="1">
      <alignment horizontal="center"/>
    </xf>
    <xf numFmtId="4" fontId="8" fillId="2" borderId="3" xfId="1" applyNumberFormat="1" applyFont="1" applyFill="1" applyBorder="1" applyAlignment="1">
      <alignment horizontal="center" vertical="center" wrapText="1"/>
    </xf>
    <xf numFmtId="164" fontId="8" fillId="2" borderId="0" xfId="1" applyNumberFormat="1" applyFont="1" applyFill="1" applyBorder="1" applyAlignment="1">
      <alignment horizontal="center"/>
    </xf>
    <xf numFmtId="164" fontId="8" fillId="2" borderId="0" xfId="1" applyNumberFormat="1" applyFont="1" applyFill="1" applyBorder="1" applyAlignment="1"/>
    <xf numFmtId="0" fontId="8" fillId="3" borderId="0" xfId="1" applyFont="1" applyFill="1" applyBorder="1" applyAlignment="1">
      <alignment horizontal="center" vertical="center" wrapText="1"/>
    </xf>
    <xf numFmtId="0" fontId="8" fillId="3" borderId="0" xfId="1" applyFont="1" applyFill="1" applyBorder="1" applyAlignment="1">
      <alignment horizontal="left" vertical="center" wrapText="1"/>
    </xf>
    <xf numFmtId="0" fontId="2" fillId="3" borderId="0" xfId="1" applyFont="1" applyFill="1" applyBorder="1" applyAlignment="1">
      <alignment horizontal="left" vertical="center" wrapText="1"/>
    </xf>
    <xf numFmtId="0" fontId="1" fillId="0" borderId="0" xfId="1" applyFont="1" applyBorder="1" applyAlignment="1">
      <alignment horizontal="left" vertical="center"/>
    </xf>
    <xf numFmtId="4" fontId="7" fillId="0" borderId="4" xfId="1" applyNumberFormat="1" applyFont="1" applyFill="1" applyBorder="1" applyAlignment="1">
      <alignment horizontal="center" vertical="center" wrapText="1"/>
    </xf>
    <xf numFmtId="9" fontId="8" fillId="2" borderId="3" xfId="3" applyNumberFormat="1" applyFont="1" applyFill="1" applyBorder="1" applyAlignment="1">
      <alignment horizontal="center" vertical="center" wrapText="1"/>
    </xf>
    <xf numFmtId="4" fontId="8" fillId="2" borderId="0" xfId="1" applyNumberFormat="1" applyFont="1" applyFill="1" applyBorder="1" applyAlignment="1"/>
    <xf numFmtId="3" fontId="7" fillId="0" borderId="4" xfId="1" applyNumberFormat="1" applyFont="1" applyFill="1" applyBorder="1" applyAlignment="1">
      <alignment horizontal="center" vertical="center" wrapText="1"/>
    </xf>
    <xf numFmtId="164" fontId="8" fillId="2" borderId="3" xfId="3" applyNumberFormat="1" applyFont="1" applyFill="1" applyBorder="1" applyAlignment="1">
      <alignment horizontal="center" vertical="center" wrapText="1"/>
    </xf>
    <xf numFmtId="0" fontId="6" fillId="2" borderId="0" xfId="1" applyFont="1" applyFill="1" applyBorder="1" applyAlignment="1">
      <alignment horizontal="center" vertical="center" wrapText="1"/>
    </xf>
    <xf numFmtId="3" fontId="7" fillId="0" borderId="0" xfId="1" applyNumberFormat="1" applyFont="1" applyBorder="1" applyAlignment="1">
      <alignment horizontal="center" vertical="center" wrapText="1"/>
    </xf>
    <xf numFmtId="164" fontId="8" fillId="2" borderId="0" xfId="3" applyNumberFormat="1" applyFont="1" applyFill="1" applyBorder="1" applyAlignment="1">
      <alignment horizontal="center" vertical="center" wrapText="1"/>
    </xf>
    <xf numFmtId="0" fontId="4" fillId="2" borderId="0" xfId="1" applyFont="1" applyFill="1" applyBorder="1" applyAlignment="1"/>
    <xf numFmtId="0" fontId="13" fillId="2" borderId="0" xfId="1" applyFont="1" applyFill="1" applyBorder="1" applyAlignment="1">
      <alignment horizontal="center" vertical="center" wrapText="1"/>
    </xf>
    <xf numFmtId="9" fontId="14" fillId="3" borderId="0" xfId="1" applyNumberFormat="1" applyFont="1" applyFill="1" applyBorder="1" applyAlignment="1">
      <alignment horizontal="center" vertical="center"/>
    </xf>
    <xf numFmtId="9" fontId="14" fillId="3" borderId="0" xfId="1" applyNumberFormat="1" applyFont="1" applyFill="1" applyBorder="1" applyAlignment="1"/>
    <xf numFmtId="9" fontId="15" fillId="3" borderId="0" xfId="1" applyNumberFormat="1" applyFont="1" applyFill="1" applyBorder="1" applyAlignment="1"/>
    <xf numFmtId="0" fontId="15" fillId="3" borderId="0" xfId="1" applyFont="1" applyFill="1" applyBorder="1" applyAlignment="1">
      <alignment horizontal="center" vertical="center" wrapText="1"/>
    </xf>
    <xf numFmtId="0" fontId="16" fillId="3" borderId="0" xfId="1" applyFont="1" applyFill="1" applyBorder="1" applyAlignment="1">
      <alignment vertical="center" wrapText="1"/>
    </xf>
    <xf numFmtId="2" fontId="16" fillId="3" borderId="0" xfId="2" applyNumberFormat="1" applyFont="1" applyFill="1" applyBorder="1" applyAlignment="1">
      <alignment horizontal="left" vertical="top" wrapText="1"/>
    </xf>
    <xf numFmtId="0" fontId="7" fillId="2" borderId="0" xfId="1" applyFont="1" applyFill="1" applyBorder="1" applyAlignment="1">
      <alignment horizontal="center" vertical="center"/>
    </xf>
    <xf numFmtId="0" fontId="17"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3" borderId="0" xfId="1" applyFont="1" applyFill="1" applyBorder="1" applyAlignment="1">
      <alignment horizontal="center" vertical="center"/>
    </xf>
    <xf numFmtId="0" fontId="20" fillId="3" borderId="0" xfId="1" applyFont="1" applyFill="1" applyBorder="1" applyAlignment="1">
      <alignment horizontal="left" vertical="center"/>
    </xf>
    <xf numFmtId="3" fontId="7" fillId="0" borderId="1" xfId="1" applyNumberFormat="1" applyFont="1" applyFill="1" applyBorder="1" applyAlignment="1">
      <alignment horizontal="center" vertical="center" wrapText="1"/>
    </xf>
    <xf numFmtId="3" fontId="8" fillId="0" borderId="3" xfId="1" applyNumberFormat="1" applyFont="1" applyBorder="1" applyAlignment="1">
      <alignment horizontal="center" vertical="center" wrapText="1"/>
    </xf>
    <xf numFmtId="3" fontId="8" fillId="2" borderId="3" xfId="1" applyNumberFormat="1" applyFont="1" applyFill="1" applyBorder="1" applyAlignment="1">
      <alignment horizontal="center" vertical="center" wrapText="1"/>
    </xf>
    <xf numFmtId="166" fontId="16" fillId="0" borderId="3" xfId="1" applyNumberFormat="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0" xfId="1" applyFont="1" applyFill="1" applyBorder="1" applyAlignment="1"/>
    <xf numFmtId="3" fontId="16" fillId="2" borderId="0" xfId="1" applyNumberFormat="1" applyFont="1" applyFill="1" applyBorder="1" applyAlignment="1">
      <alignment horizontal="center" vertical="center"/>
    </xf>
    <xf numFmtId="3" fontId="14" fillId="2" borderId="0" xfId="1" applyNumberFormat="1" applyFont="1" applyFill="1" applyBorder="1" applyAlignment="1">
      <alignment horizontal="center" vertical="center"/>
    </xf>
    <xf numFmtId="3" fontId="15" fillId="2" borderId="0" xfId="1" applyNumberFormat="1" applyFont="1" applyFill="1" applyBorder="1" applyAlignment="1">
      <alignment horizontal="center" vertical="center"/>
    </xf>
    <xf numFmtId="165" fontId="16" fillId="3" borderId="0" xfId="2" applyNumberFormat="1" applyFont="1" applyFill="1" applyBorder="1" applyAlignment="1">
      <alignment horizontal="left" vertical="center" wrapText="1"/>
    </xf>
    <xf numFmtId="0" fontId="16" fillId="2" borderId="0"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16" fillId="2" borderId="0" xfId="1" applyFont="1" applyFill="1" applyBorder="1" applyAlignment="1">
      <alignment horizontal="center"/>
    </xf>
    <xf numFmtId="9" fontId="7" fillId="0" borderId="1" xfId="1" applyNumberFormat="1" applyFont="1" applyFill="1" applyBorder="1" applyAlignment="1">
      <alignment horizontal="center" vertical="center" wrapText="1"/>
    </xf>
    <xf numFmtId="9" fontId="16" fillId="2" borderId="3" xfId="1" applyNumberFormat="1" applyFont="1" applyFill="1" applyBorder="1" applyAlignment="1">
      <alignment horizontal="center" vertical="center" wrapText="1"/>
    </xf>
    <xf numFmtId="9" fontId="16" fillId="3" borderId="0" xfId="1" applyNumberFormat="1" applyFont="1" applyFill="1" applyBorder="1" applyAlignment="1">
      <alignment horizontal="center" vertical="center"/>
    </xf>
    <xf numFmtId="164" fontId="16" fillId="3" borderId="3" xfId="1" applyNumberFormat="1" applyFont="1" applyFill="1" applyBorder="1" applyAlignment="1">
      <alignment horizontal="center" vertical="center" wrapText="1"/>
    </xf>
    <xf numFmtId="9" fontId="16" fillId="2" borderId="0" xfId="1" applyNumberFormat="1" applyFont="1" applyFill="1" applyBorder="1" applyAlignment="1"/>
    <xf numFmtId="0" fontId="16" fillId="3" borderId="0" xfId="1" applyFont="1" applyFill="1" applyBorder="1" applyAlignment="1">
      <alignment horizontal="left" vertical="center" wrapText="1"/>
    </xf>
    <xf numFmtId="9" fontId="16" fillId="3" borderId="0" xfId="1" applyNumberFormat="1" applyFont="1" applyFill="1" applyBorder="1" applyAlignment="1">
      <alignment horizontal="left" vertical="center" wrapText="1"/>
    </xf>
    <xf numFmtId="9" fontId="16" fillId="3" borderId="0" xfId="1" applyNumberFormat="1" applyFont="1" applyFill="1" applyBorder="1" applyAlignment="1">
      <alignment horizontal="left" vertical="center"/>
    </xf>
    <xf numFmtId="9" fontId="16" fillId="3" borderId="5" xfId="1" applyNumberFormat="1" applyFont="1" applyFill="1" applyBorder="1" applyAlignment="1">
      <alignment horizontal="left" vertical="center" wrapText="1"/>
    </xf>
    <xf numFmtId="9" fontId="16" fillId="3" borderId="5" xfId="1" applyNumberFormat="1" applyFont="1" applyFill="1" applyBorder="1" applyAlignment="1">
      <alignment horizontal="center" vertical="center"/>
    </xf>
    <xf numFmtId="1" fontId="16" fillId="3" borderId="0" xfId="2" applyNumberFormat="1" applyFont="1" applyFill="1" applyBorder="1" applyAlignment="1">
      <alignment horizontal="left" vertical="center" wrapText="1"/>
    </xf>
    <xf numFmtId="9" fontId="8" fillId="2" borderId="3" xfId="1" applyNumberFormat="1" applyFont="1" applyFill="1" applyBorder="1" applyAlignment="1">
      <alignment horizontal="center" vertical="center" wrapText="1"/>
    </xf>
    <xf numFmtId="1" fontId="8" fillId="2" borderId="6" xfId="1" applyNumberFormat="1" applyFont="1" applyFill="1" applyBorder="1" applyAlignment="1">
      <alignment horizontal="center" vertical="center" wrapText="1"/>
    </xf>
    <xf numFmtId="9" fontId="8" fillId="3" borderId="3" xfId="1" applyNumberFormat="1" applyFont="1" applyFill="1" applyBorder="1" applyAlignment="1">
      <alignment horizontal="center" vertical="center" wrapText="1"/>
    </xf>
    <xf numFmtId="9" fontId="8" fillId="3" borderId="0" xfId="1" applyNumberFormat="1" applyFont="1" applyFill="1" applyBorder="1" applyAlignment="1"/>
    <xf numFmtId="0" fontId="16" fillId="3" borderId="0" xfId="1" applyFont="1" applyFill="1" applyBorder="1" applyAlignment="1">
      <alignment horizontal="center" vertical="center" wrapText="1"/>
    </xf>
    <xf numFmtId="9" fontId="16" fillId="2" borderId="0" xfId="1" applyNumberFormat="1" applyFont="1" applyFill="1" applyBorder="1" applyAlignment="1">
      <alignment horizontal="center" vertical="center" wrapText="1"/>
    </xf>
    <xf numFmtId="0" fontId="16" fillId="3" borderId="0" xfId="1" applyFont="1" applyFill="1" applyBorder="1" applyAlignment="1"/>
    <xf numFmtId="0" fontId="16" fillId="0" borderId="0" xfId="1" applyFont="1" applyBorder="1" applyAlignment="1">
      <alignment vertical="center"/>
    </xf>
    <xf numFmtId="0" fontId="15" fillId="3" borderId="0" xfId="1" applyFont="1" applyFill="1" applyBorder="1" applyAlignment="1">
      <alignment vertical="center" wrapText="1"/>
    </xf>
    <xf numFmtId="0" fontId="4" fillId="3" borderId="0" xfId="1" applyFont="1" applyFill="1" applyBorder="1" applyAlignment="1"/>
    <xf numFmtId="0" fontId="21" fillId="3" borderId="0" xfId="1" applyFont="1" applyFill="1" applyBorder="1" applyAlignment="1"/>
    <xf numFmtId="4" fontId="6" fillId="3" borderId="0" xfId="1" applyNumberFormat="1" applyFont="1" applyFill="1" applyBorder="1" applyAlignment="1">
      <alignment horizontal="center" vertical="center" wrapText="1"/>
    </xf>
    <xf numFmtId="3" fontId="6" fillId="3" borderId="0" xfId="1" applyNumberFormat="1" applyFont="1" applyFill="1" applyBorder="1" applyAlignment="1">
      <alignment horizontal="center" vertical="center" wrapText="1"/>
    </xf>
    <xf numFmtId="0" fontId="22" fillId="3" borderId="0" xfId="1" applyFont="1" applyFill="1" applyBorder="1" applyAlignment="1">
      <alignment horizontal="center" vertical="center" wrapText="1"/>
    </xf>
    <xf numFmtId="0" fontId="21" fillId="3" borderId="0" xfId="1" applyFont="1" applyFill="1" applyBorder="1" applyAlignment="1">
      <alignment horizontal="center"/>
    </xf>
    <xf numFmtId="3" fontId="16" fillId="3" borderId="0" xfId="1" applyNumberFormat="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0" xfId="1" applyFont="1" applyFill="1" applyBorder="1" applyAlignment="1">
      <alignment horizontal="left" vertical="center" wrapText="1"/>
    </xf>
    <xf numFmtId="0" fontId="7" fillId="3" borderId="0" xfId="1" applyFont="1" applyFill="1" applyBorder="1" applyAlignment="1">
      <alignment horizontal="center" vertical="center" wrapText="1"/>
    </xf>
    <xf numFmtId="9" fontId="7" fillId="0" borderId="2" xfId="1" applyNumberFormat="1" applyFont="1" applyFill="1" applyBorder="1" applyAlignment="1">
      <alignment horizontal="center" vertical="center" wrapText="1"/>
    </xf>
    <xf numFmtId="3" fontId="16" fillId="3" borderId="3" xfId="1" applyNumberFormat="1" applyFont="1" applyFill="1" applyBorder="1" applyAlignment="1">
      <alignment horizontal="center" vertical="center" wrapText="1"/>
    </xf>
    <xf numFmtId="0" fontId="3" fillId="0" borderId="0" xfId="1"/>
    <xf numFmtId="0" fontId="3" fillId="0" borderId="0" xfId="1" applyFont="1" applyAlignment="1">
      <alignment horizontal="left"/>
    </xf>
    <xf numFmtId="0" fontId="3" fillId="0" borderId="0" xfId="1" applyFont="1"/>
    <xf numFmtId="9" fontId="16" fillId="2" borderId="0" xfId="1" applyNumberFormat="1" applyFont="1" applyFill="1" applyBorder="1" applyAlignment="1">
      <alignment horizontal="left" vertical="center" wrapText="1"/>
    </xf>
    <xf numFmtId="0" fontId="16" fillId="3" borderId="0" xfId="1" applyFont="1" applyFill="1" applyBorder="1" applyAlignment="1">
      <alignment horizontal="left"/>
    </xf>
    <xf numFmtId="1" fontId="16" fillId="2" borderId="0" xfId="1" applyNumberFormat="1" applyFont="1" applyFill="1" applyBorder="1" applyAlignment="1">
      <alignment horizontal="center" vertical="center" wrapText="1"/>
    </xf>
    <xf numFmtId="1" fontId="16" fillId="2" borderId="7" xfId="1" applyNumberFormat="1" applyFont="1" applyFill="1" applyBorder="1" applyAlignment="1">
      <alignment horizontal="center" vertical="center" wrapText="1"/>
    </xf>
    <xf numFmtId="164" fontId="16" fillId="3" borderId="6" xfId="1" applyNumberFormat="1" applyFont="1" applyFill="1" applyBorder="1" applyAlignment="1">
      <alignment horizontal="center" vertical="center" wrapText="1"/>
    </xf>
    <xf numFmtId="1" fontId="16" fillId="3" borderId="6" xfId="1" applyNumberFormat="1" applyFont="1" applyFill="1" applyBorder="1" applyAlignment="1">
      <alignment horizontal="center" vertical="center" wrapText="1"/>
    </xf>
    <xf numFmtId="9" fontId="16" fillId="3" borderId="0" xfId="1" applyNumberFormat="1" applyFont="1" applyFill="1" applyBorder="1" applyAlignment="1"/>
    <xf numFmtId="164" fontId="16" fillId="2" borderId="0" xfId="1" applyNumberFormat="1" applyFont="1" applyFill="1" applyBorder="1" applyAlignment="1">
      <alignment horizontal="center"/>
    </xf>
    <xf numFmtId="3" fontId="16" fillId="2" borderId="3" xfId="1" applyNumberFormat="1" applyFont="1" applyFill="1" applyBorder="1" applyAlignment="1">
      <alignment horizontal="center" vertical="center" wrapText="1"/>
    </xf>
    <xf numFmtId="164" fontId="16" fillId="2" borderId="0" xfId="1" applyNumberFormat="1" applyFont="1" applyFill="1" applyBorder="1" applyAlignment="1"/>
    <xf numFmtId="0" fontId="20" fillId="2" borderId="0" xfId="1" applyFont="1" applyFill="1" applyBorder="1" applyAlignment="1">
      <alignment horizontal="center" vertical="center"/>
    </xf>
    <xf numFmtId="3" fontId="7" fillId="3" borderId="0" xfId="1" applyNumberFormat="1" applyFont="1" applyFill="1" applyBorder="1" applyAlignment="1">
      <alignment horizontal="center" vertical="center" wrapText="1"/>
    </xf>
    <xf numFmtId="0" fontId="3" fillId="3" borderId="0" xfId="1" applyFont="1" applyFill="1" applyBorder="1" applyAlignment="1"/>
    <xf numFmtId="0" fontId="16" fillId="0" borderId="0" xfId="1" applyFont="1" applyFill="1" applyBorder="1" applyAlignment="1">
      <alignment vertical="center" wrapText="1"/>
    </xf>
    <xf numFmtId="165" fontId="16" fillId="0" borderId="0" xfId="2" applyNumberFormat="1" applyFont="1" applyFill="1" applyBorder="1" applyAlignment="1">
      <alignment horizontal="left" vertical="center" wrapText="1"/>
    </xf>
    <xf numFmtId="0" fontId="3" fillId="3" borderId="0" xfId="1" applyFont="1" applyFill="1" applyBorder="1" applyAlignment="1">
      <alignment horizontal="center"/>
    </xf>
    <xf numFmtId="0" fontId="3" fillId="3" borderId="0" xfId="1" applyFont="1" applyFill="1" applyBorder="1" applyAlignment="1">
      <alignment horizontal="left"/>
    </xf>
    <xf numFmtId="1" fontId="16" fillId="2" borderId="3" xfId="1" applyNumberFormat="1" applyFont="1" applyFill="1" applyBorder="1" applyAlignment="1">
      <alignment horizontal="center" vertical="center" wrapText="1"/>
    </xf>
    <xf numFmtId="0" fontId="16" fillId="2" borderId="0" xfId="1" applyFont="1" applyFill="1" applyBorder="1" applyAlignment="1">
      <alignment horizontal="left"/>
    </xf>
    <xf numFmtId="1" fontId="7" fillId="2" borderId="0" xfId="1" applyNumberFormat="1" applyFont="1" applyFill="1" applyBorder="1" applyAlignment="1">
      <alignment horizontal="center" vertical="center" wrapText="1"/>
    </xf>
    <xf numFmtId="1" fontId="16" fillId="2" borderId="3" xfId="3" applyNumberFormat="1" applyFont="1" applyFill="1" applyBorder="1" applyAlignment="1">
      <alignment horizontal="center" vertical="center" wrapText="1"/>
    </xf>
    <xf numFmtId="1" fontId="16" fillId="3" borderId="0" xfId="3" applyNumberFormat="1" applyFont="1" applyFill="1" applyBorder="1" applyAlignment="1">
      <alignment horizontal="center"/>
    </xf>
    <xf numFmtId="0" fontId="16" fillId="3" borderId="0" xfId="1" applyFont="1" applyFill="1" applyBorder="1" applyAlignment="1">
      <alignment horizontal="center"/>
    </xf>
    <xf numFmtId="3" fontId="16" fillId="2" borderId="0" xfId="1" applyNumberFormat="1" applyFont="1" applyFill="1" applyBorder="1" applyAlignment="1">
      <alignment horizontal="left" vertical="center"/>
    </xf>
    <xf numFmtId="0" fontId="15" fillId="2" borderId="0" xfId="1" applyFont="1" applyFill="1" applyBorder="1" applyAlignment="1"/>
    <xf numFmtId="0" fontId="23" fillId="3" borderId="0" xfId="1" applyFont="1" applyFill="1" applyBorder="1" applyAlignment="1">
      <alignment horizontal="center" vertical="center" wrapText="1"/>
    </xf>
    <xf numFmtId="0" fontId="15" fillId="2" borderId="0" xfId="1" applyFont="1" applyFill="1" applyBorder="1" applyAlignment="1">
      <alignment vertical="center" wrapText="1"/>
    </xf>
    <xf numFmtId="165" fontId="16" fillId="3" borderId="0" xfId="2" applyNumberFormat="1" applyFont="1" applyFill="1" applyBorder="1" applyAlignment="1">
      <alignment vertical="center" wrapText="1"/>
    </xf>
    <xf numFmtId="166" fontId="7" fillId="0" borderId="1" xfId="1" applyNumberFormat="1" applyFont="1" applyFill="1" applyBorder="1" applyAlignment="1">
      <alignment horizontal="center" vertical="center" wrapText="1"/>
    </xf>
    <xf numFmtId="1" fontId="16" fillId="2" borderId="0" xfId="1" applyNumberFormat="1" applyFont="1" applyFill="1" applyBorder="1" applyAlignment="1">
      <alignment horizontal="left" vertical="center" wrapText="1"/>
    </xf>
    <xf numFmtId="166" fontId="16" fillId="2" borderId="3" xfId="1" applyNumberFormat="1" applyFont="1" applyFill="1" applyBorder="1" applyAlignment="1">
      <alignment horizontal="center" vertical="center" wrapText="1"/>
    </xf>
    <xf numFmtId="0" fontId="14" fillId="2" borderId="0" xfId="1" applyFont="1" applyFill="1" applyBorder="1" applyAlignment="1"/>
    <xf numFmtId="0" fontId="15" fillId="0" borderId="0" xfId="1" applyFont="1" applyFill="1" applyBorder="1" applyAlignment="1">
      <alignment horizontal="center" vertical="center" wrapText="1"/>
    </xf>
    <xf numFmtId="0" fontId="16" fillId="0" borderId="0" xfId="1" applyFont="1" applyFill="1" applyBorder="1" applyAlignment="1">
      <alignment horizontal="left" vertical="center" wrapText="1"/>
    </xf>
    <xf numFmtId="0" fontId="24" fillId="3" borderId="0" xfId="1" applyFont="1" applyFill="1" applyBorder="1" applyAlignment="1"/>
    <xf numFmtId="3" fontId="24" fillId="3" borderId="0" xfId="1" applyNumberFormat="1" applyFont="1" applyFill="1" applyBorder="1" applyAlignment="1">
      <alignment horizontal="center" vertical="center" wrapText="1"/>
    </xf>
    <xf numFmtId="3" fontId="6" fillId="3" borderId="0" xfId="1" applyNumberFormat="1" applyFont="1" applyFill="1" applyBorder="1" applyAlignment="1">
      <alignment horizontal="center" vertical="center"/>
    </xf>
    <xf numFmtId="0" fontId="22" fillId="3" borderId="0" xfId="1" applyFont="1" applyFill="1" applyBorder="1" applyAlignment="1"/>
    <xf numFmtId="0" fontId="6" fillId="3" borderId="0" xfId="2" applyFont="1" applyFill="1" applyBorder="1" applyAlignment="1">
      <alignment vertical="center" wrapText="1"/>
    </xf>
    <xf numFmtId="165" fontId="6" fillId="3" borderId="0" xfId="2" applyNumberFormat="1" applyFont="1" applyFill="1" applyBorder="1" applyAlignment="1">
      <alignment vertical="center" wrapText="1"/>
    </xf>
    <xf numFmtId="0" fontId="20" fillId="3" borderId="0" xfId="1" applyFont="1" applyFill="1" applyBorder="1" applyAlignment="1">
      <alignment horizontal="left" wrapText="1"/>
    </xf>
    <xf numFmtId="0" fontId="20" fillId="3" borderId="0" xfId="1" applyFont="1" applyFill="1" applyBorder="1" applyAlignment="1">
      <alignment horizontal="left"/>
    </xf>
    <xf numFmtId="0" fontId="18" fillId="3" borderId="0" xfId="1" applyFont="1" applyFill="1" applyBorder="1" applyAlignment="1">
      <alignment horizontal="left" wrapText="1"/>
    </xf>
    <xf numFmtId="0" fontId="6" fillId="3" borderId="0" xfId="1" applyFont="1" applyFill="1" applyBorder="1" applyAlignment="1">
      <alignment horizontal="center"/>
    </xf>
    <xf numFmtId="0" fontId="27" fillId="3" borderId="0" xfId="1" applyFont="1" applyFill="1" applyBorder="1" applyAlignment="1">
      <alignment horizontal="center"/>
    </xf>
    <xf numFmtId="0" fontId="28" fillId="3" borderId="0" xfId="1" applyFont="1" applyFill="1" applyBorder="1" applyAlignment="1">
      <alignment horizontal="center"/>
    </xf>
    <xf numFmtId="3" fontId="16" fillId="0" borderId="3" xfId="1" applyNumberFormat="1" applyFont="1" applyFill="1" applyBorder="1" applyAlignment="1">
      <alignment horizontal="center" vertical="center" wrapText="1"/>
    </xf>
    <xf numFmtId="164" fontId="16" fillId="0" borderId="3" xfId="1" applyNumberFormat="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21" fillId="0" borderId="0" xfId="1" applyFont="1" applyFill="1" applyBorder="1" applyAlignment="1">
      <alignment horizontal="center"/>
    </xf>
    <xf numFmtId="3" fontId="16" fillId="0" borderId="5" xfId="1" applyNumberFormat="1" applyFont="1" applyFill="1" applyBorder="1" applyAlignment="1">
      <alignment horizontal="center" vertical="center" wrapText="1"/>
    </xf>
    <xf numFmtId="9" fontId="16" fillId="0" borderId="3" xfId="1" applyNumberFormat="1" applyFont="1" applyFill="1" applyBorder="1" applyAlignment="1">
      <alignment horizontal="center" vertical="center" wrapText="1"/>
    </xf>
    <xf numFmtId="9" fontId="21" fillId="0" borderId="0" xfId="1" applyNumberFormat="1" applyFont="1" applyFill="1" applyBorder="1" applyAlignment="1">
      <alignment horizontal="center"/>
    </xf>
    <xf numFmtId="0" fontId="8" fillId="0" borderId="0" xfId="1" applyFont="1" applyFill="1" applyBorder="1" applyAlignment="1">
      <alignment horizontal="center" vertical="center" wrapText="1"/>
    </xf>
    <xf numFmtId="0" fontId="29" fillId="0" borderId="0" xfId="1" applyFont="1" applyBorder="1" applyAlignment="1"/>
    <xf numFmtId="0" fontId="0" fillId="9" borderId="0" xfId="0" applyFill="1" applyBorder="1"/>
    <xf numFmtId="0" fontId="6"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Border="1" applyAlignment="1">
      <alignment horizontal="left" vertical="center"/>
    </xf>
    <xf numFmtId="3" fontId="6" fillId="0" borderId="0" xfId="0" applyNumberFormat="1" applyFont="1" applyFill="1" applyBorder="1" applyAlignment="1">
      <alignment horizontal="lef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0" fillId="0" borderId="0" xfId="0" applyFill="1" applyBorder="1"/>
    <xf numFmtId="0" fontId="8" fillId="0" borderId="0" xfId="0" applyFont="1" applyFill="1" applyBorder="1"/>
    <xf numFmtId="0" fontId="0" fillId="0" borderId="0" xfId="0" applyAlignment="1"/>
    <xf numFmtId="0" fontId="33" fillId="0" borderId="0" xfId="0" applyFont="1" applyFill="1" applyBorder="1" applyAlignment="1">
      <alignment horizontal="center" vertical="center"/>
    </xf>
    <xf numFmtId="0" fontId="0" fillId="0" borderId="0" xfId="0" applyBorder="1"/>
    <xf numFmtId="0" fontId="32" fillId="0" borderId="13" xfId="0" applyFont="1" applyBorder="1"/>
    <xf numFmtId="0" fontId="32" fillId="0" borderId="14" xfId="0" applyFont="1" applyBorder="1"/>
    <xf numFmtId="0" fontId="32" fillId="0" borderId="15" xfId="0" applyFont="1" applyBorder="1"/>
    <xf numFmtId="0" fontId="32" fillId="0" borderId="16" xfId="0" applyFont="1" applyBorder="1"/>
    <xf numFmtId="0" fontId="32" fillId="0" borderId="17" xfId="0" applyFont="1" applyBorder="1"/>
    <xf numFmtId="14" fontId="32" fillId="0" borderId="0" xfId="0" applyNumberFormat="1" applyFont="1" applyBorder="1"/>
    <xf numFmtId="14" fontId="24" fillId="0" borderId="0" xfId="0" applyNumberFormat="1" applyFont="1" applyBorder="1"/>
    <xf numFmtId="0" fontId="8" fillId="0" borderId="0" xfId="0" applyFont="1"/>
    <xf numFmtId="0" fontId="38" fillId="0" borderId="0" xfId="0" applyFont="1"/>
    <xf numFmtId="0" fontId="39" fillId="10" borderId="19" xfId="0" applyFont="1" applyFill="1" applyBorder="1"/>
    <xf numFmtId="9" fontId="38" fillId="10" borderId="20" xfId="0" applyNumberFormat="1" applyFont="1" applyFill="1" applyBorder="1"/>
    <xf numFmtId="0" fontId="40" fillId="11" borderId="0" xfId="0" applyFont="1" applyFill="1" applyAlignment="1">
      <alignment horizontal="left" vertical="top" wrapText="1"/>
    </xf>
    <xf numFmtId="0" fontId="41" fillId="11" borderId="0" xfId="0" applyFont="1" applyFill="1" applyAlignment="1">
      <alignment horizontal="center" vertical="top" wrapText="1"/>
    </xf>
    <xf numFmtId="0" fontId="8" fillId="11" borderId="0" xfId="0" applyFont="1" applyFill="1"/>
    <xf numFmtId="0" fontId="39" fillId="10" borderId="21" xfId="0" applyFont="1" applyFill="1" applyBorder="1"/>
    <xf numFmtId="9" fontId="38" fillId="10" borderId="22" xfId="0" applyNumberFormat="1" applyFont="1" applyFill="1" applyBorder="1"/>
    <xf numFmtId="0" fontId="39" fillId="12" borderId="21" xfId="0" applyFont="1" applyFill="1" applyBorder="1"/>
    <xf numFmtId="9" fontId="38" fillId="12" borderId="22" xfId="0" applyNumberFormat="1" applyFont="1" applyFill="1" applyBorder="1"/>
    <xf numFmtId="0" fontId="39" fillId="13" borderId="21" xfId="0" applyFont="1" applyFill="1" applyBorder="1"/>
    <xf numFmtId="9" fontId="38" fillId="13" borderId="22" xfId="0" applyNumberFormat="1" applyFont="1" applyFill="1" applyBorder="1"/>
    <xf numFmtId="0" fontId="39" fillId="13" borderId="23" xfId="0" applyFont="1" applyFill="1" applyBorder="1"/>
    <xf numFmtId="9" fontId="38" fillId="13" borderId="24" xfId="0" applyNumberFormat="1" applyFont="1" applyFill="1" applyBorder="1"/>
    <xf numFmtId="0" fontId="39" fillId="14" borderId="19" xfId="0" applyFont="1" applyFill="1" applyBorder="1" applyAlignment="1">
      <alignment horizontal="left"/>
    </xf>
    <xf numFmtId="0" fontId="38" fillId="14" borderId="20" xfId="0" applyFont="1" applyFill="1" applyBorder="1" applyAlignment="1" applyProtection="1">
      <alignment horizontal="center"/>
    </xf>
    <xf numFmtId="0" fontId="39" fillId="14" borderId="21" xfId="0" applyFont="1" applyFill="1" applyBorder="1" applyAlignment="1">
      <alignment horizontal="left"/>
    </xf>
    <xf numFmtId="3" fontId="38" fillId="14" borderId="22" xfId="0" applyNumberFormat="1" applyFont="1" applyFill="1" applyBorder="1" applyAlignment="1">
      <alignment horizontal="center"/>
    </xf>
    <xf numFmtId="0" fontId="39" fillId="14" borderId="23" xfId="0" applyFont="1" applyFill="1" applyBorder="1" applyAlignment="1">
      <alignment horizontal="left"/>
    </xf>
    <xf numFmtId="0" fontId="38" fillId="14" borderId="22" xfId="0" applyFont="1" applyFill="1" applyBorder="1" applyAlignment="1">
      <alignment horizontal="center" vertical="center"/>
    </xf>
    <xf numFmtId="0" fontId="38" fillId="0" borderId="0" xfId="0" applyFont="1" applyAlignment="1">
      <alignment horizontal="center"/>
    </xf>
    <xf numFmtId="0" fontId="39" fillId="14" borderId="25" xfId="0" applyFont="1" applyFill="1" applyBorder="1"/>
    <xf numFmtId="0" fontId="38" fillId="15" borderId="22" xfId="0" applyFont="1" applyFill="1" applyBorder="1" applyAlignment="1" applyProtection="1">
      <alignment horizontal="center" vertical="center"/>
      <protection locked="0"/>
    </xf>
    <xf numFmtId="0" fontId="39" fillId="0" borderId="26" xfId="0" applyFont="1" applyBorder="1" applyAlignment="1"/>
    <xf numFmtId="0" fontId="39" fillId="0" borderId="26" xfId="0" applyFont="1" applyBorder="1" applyAlignment="1">
      <alignment horizontal="center" wrapText="1"/>
    </xf>
    <xf numFmtId="0" fontId="39" fillId="0" borderId="26" xfId="0" applyFont="1" applyBorder="1" applyAlignment="1">
      <alignment horizontal="center"/>
    </xf>
    <xf numFmtId="0" fontId="43" fillId="0" borderId="0" xfId="0" applyFont="1"/>
    <xf numFmtId="0" fontId="39" fillId="0" borderId="26" xfId="0" applyFont="1" applyBorder="1" applyAlignment="1">
      <alignment vertical="top" wrapText="1"/>
    </xf>
    <xf numFmtId="0" fontId="39" fillId="0" borderId="26" xfId="0" applyFont="1" applyBorder="1" applyProtection="1">
      <protection locked="0"/>
    </xf>
    <xf numFmtId="14" fontId="39" fillId="0" borderId="26" xfId="0" applyNumberFormat="1" applyFont="1" applyBorder="1" applyProtection="1">
      <protection locked="0"/>
    </xf>
    <xf numFmtId="0" fontId="39" fillId="14" borderId="19" xfId="0" applyFont="1" applyFill="1" applyBorder="1"/>
    <xf numFmtId="0" fontId="39" fillId="14" borderId="27" xfId="0" applyFont="1" applyFill="1" applyBorder="1" applyAlignment="1">
      <alignment horizontal="center"/>
    </xf>
    <xf numFmtId="0" fontId="39" fillId="14" borderId="20" xfId="0" applyFont="1" applyFill="1" applyBorder="1" applyAlignment="1">
      <alignment horizontal="center"/>
    </xf>
    <xf numFmtId="3" fontId="38" fillId="14" borderId="27" xfId="0" applyNumberFormat="1" applyFont="1" applyFill="1" applyBorder="1" applyAlignment="1" applyProtection="1">
      <alignment horizontal="center"/>
    </xf>
    <xf numFmtId="9" fontId="38" fillId="14" borderId="28" xfId="0" applyNumberFormat="1" applyFont="1" applyFill="1" applyBorder="1" applyAlignment="1" applyProtection="1">
      <alignment horizontal="center"/>
    </xf>
    <xf numFmtId="0" fontId="38" fillId="14" borderId="22" xfId="0" applyFont="1" applyFill="1" applyBorder="1" applyAlignment="1" applyProtection="1">
      <alignment horizontal="center" vertical="center"/>
    </xf>
    <xf numFmtId="0" fontId="39" fillId="0" borderId="26" xfId="0" applyFont="1" applyFill="1" applyBorder="1" applyAlignment="1">
      <alignment vertical="top" wrapText="1"/>
    </xf>
    <xf numFmtId="9" fontId="38" fillId="14" borderId="29" xfId="0" applyNumberFormat="1" applyFont="1" applyFill="1" applyBorder="1" applyAlignment="1" applyProtection="1">
      <alignment horizontal="center"/>
    </xf>
    <xf numFmtId="0" fontId="39" fillId="14" borderId="21" xfId="0" applyFont="1" applyFill="1" applyBorder="1"/>
    <xf numFmtId="3" fontId="38" fillId="16" borderId="28" xfId="0" applyNumberFormat="1" applyFont="1" applyFill="1" applyBorder="1" applyAlignment="1" applyProtection="1">
      <alignment horizontal="center"/>
      <protection locked="0"/>
    </xf>
    <xf numFmtId="3" fontId="38" fillId="16" borderId="28" xfId="0" applyNumberFormat="1" applyFont="1" applyFill="1" applyBorder="1" applyAlignment="1">
      <alignment horizontal="center"/>
    </xf>
    <xf numFmtId="9" fontId="38" fillId="14" borderId="28" xfId="0" applyNumberFormat="1" applyFont="1" applyFill="1" applyBorder="1" applyAlignment="1">
      <alignment horizontal="center"/>
    </xf>
    <xf numFmtId="3" fontId="38" fillId="15" borderId="28" xfId="0" applyNumberFormat="1" applyFont="1" applyFill="1" applyBorder="1" applyAlignment="1" applyProtection="1">
      <alignment horizontal="center"/>
      <protection locked="0"/>
    </xf>
    <xf numFmtId="3" fontId="38" fillId="14" borderId="28" xfId="0" applyNumberFormat="1" applyFont="1" applyFill="1" applyBorder="1" applyAlignment="1">
      <alignment horizontal="center"/>
    </xf>
    <xf numFmtId="0" fontId="38" fillId="14" borderId="19" xfId="0" applyFont="1" applyFill="1" applyBorder="1"/>
    <xf numFmtId="1" fontId="44" fillId="15" borderId="30" xfId="0" applyNumberFormat="1" applyFont="1" applyFill="1" applyBorder="1" applyAlignment="1">
      <alignment horizontal="center"/>
    </xf>
    <xf numFmtId="3" fontId="44" fillId="15" borderId="31" xfId="0" applyNumberFormat="1" applyFont="1" applyFill="1" applyBorder="1" applyAlignment="1">
      <alignment horizontal="center"/>
    </xf>
    <xf numFmtId="3" fontId="44" fillId="15" borderId="32" xfId="0" applyNumberFormat="1" applyFont="1" applyFill="1" applyBorder="1" applyAlignment="1">
      <alignment horizontal="center"/>
    </xf>
    <xf numFmtId="3" fontId="44" fillId="15" borderId="30" xfId="0" applyNumberFormat="1" applyFont="1" applyFill="1" applyBorder="1" applyAlignment="1">
      <alignment horizontal="center"/>
    </xf>
    <xf numFmtId="0" fontId="41" fillId="0" borderId="0" xfId="0" applyFont="1"/>
    <xf numFmtId="0" fontId="38" fillId="0" borderId="0" xfId="0" applyFont="1" applyFill="1" applyAlignment="1" applyProtection="1"/>
    <xf numFmtId="0" fontId="0" fillId="0" borderId="0" xfId="0" applyProtection="1"/>
    <xf numFmtId="14" fontId="32" fillId="15" borderId="0" xfId="0" applyNumberFormat="1" applyFont="1" applyFill="1" applyProtection="1">
      <protection locked="0"/>
    </xf>
    <xf numFmtId="0" fontId="32" fillId="15" borderId="0" xfId="0" applyFont="1" applyFill="1" applyProtection="1">
      <protection locked="0"/>
    </xf>
    <xf numFmtId="0" fontId="24" fillId="14" borderId="22" xfId="0" applyFont="1" applyFill="1" applyBorder="1" applyAlignment="1" applyProtection="1">
      <alignment horizontal="center" vertical="center"/>
    </xf>
    <xf numFmtId="0" fontId="38" fillId="14" borderId="20" xfId="0" applyFont="1" applyFill="1" applyBorder="1" applyAlignment="1">
      <alignment horizontal="center"/>
    </xf>
    <xf numFmtId="0" fontId="0" fillId="9" borderId="0" xfId="0" applyFill="1" applyBorder="1" applyProtection="1"/>
    <xf numFmtId="0" fontId="50" fillId="9" borderId="0" xfId="0" applyFont="1" applyFill="1" applyBorder="1" applyProtection="1"/>
    <xf numFmtId="0" fontId="0" fillId="9" borderId="0" xfId="0" applyFill="1" applyProtection="1"/>
    <xf numFmtId="0" fontId="51" fillId="0" borderId="0" xfId="0" applyFont="1" applyAlignment="1" applyProtection="1">
      <alignment horizontal="left" indent="2"/>
    </xf>
    <xf numFmtId="0" fontId="0" fillId="0" borderId="0" xfId="0" applyFill="1" applyBorder="1" applyProtection="1"/>
    <xf numFmtId="0" fontId="13" fillId="0" borderId="0"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0" xfId="0" applyFont="1" applyBorder="1" applyAlignment="1" applyProtection="1">
      <alignment horizontal="left" vertical="center"/>
    </xf>
    <xf numFmtId="3" fontId="13" fillId="0" borderId="0" xfId="0" applyNumberFormat="1" applyFont="1" applyFill="1" applyBorder="1" applyAlignment="1" applyProtection="1">
      <alignment horizontal="left" vertical="center"/>
    </xf>
    <xf numFmtId="3" fontId="32" fillId="0" borderId="0" xfId="0" applyNumberFormat="1" applyFont="1" applyFill="1" applyBorder="1" applyAlignment="1" applyProtection="1">
      <alignment horizontal="left" vertical="center"/>
    </xf>
    <xf numFmtId="1" fontId="13"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3" fontId="13" fillId="0" borderId="0" xfId="0" applyNumberFormat="1" applyFont="1" applyFill="1" applyBorder="1" applyAlignment="1">
      <alignment horizontal="left" vertical="center"/>
    </xf>
    <xf numFmtId="0" fontId="0" fillId="0" borderId="0" xfId="0" applyFill="1" applyProtection="1"/>
    <xf numFmtId="0" fontId="52" fillId="0" borderId="0"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5" fillId="0" borderId="0" xfId="0" applyFont="1" applyFill="1" applyBorder="1" applyAlignment="1" applyProtection="1">
      <alignment horizontal="center" vertical="center"/>
    </xf>
    <xf numFmtId="0" fontId="56" fillId="0" borderId="0" xfId="0" applyFont="1" applyAlignment="1" applyProtection="1">
      <alignment horizontal="center"/>
    </xf>
    <xf numFmtId="0" fontId="56" fillId="0" borderId="0" xfId="0" applyFont="1" applyFill="1" applyBorder="1" applyAlignment="1" applyProtection="1">
      <alignment horizontal="center" vertical="center"/>
    </xf>
    <xf numFmtId="0" fontId="58" fillId="0" borderId="0" xfId="0" applyFont="1" applyBorder="1" applyAlignment="1" applyProtection="1">
      <alignment horizontal="center" vertical="center"/>
    </xf>
    <xf numFmtId="0" fontId="59" fillId="0" borderId="0" xfId="0" applyFont="1" applyProtection="1"/>
    <xf numFmtId="166" fontId="60" fillId="0" borderId="33" xfId="0" applyNumberFormat="1" applyFont="1" applyFill="1" applyBorder="1" applyAlignment="1" applyProtection="1">
      <alignment horizontal="center"/>
    </xf>
    <xf numFmtId="9" fontId="1" fillId="0" borderId="0" xfId="4" applyFont="1" applyProtection="1"/>
    <xf numFmtId="166" fontId="59" fillId="0" borderId="0" xfId="0" applyNumberFormat="1" applyFont="1" applyAlignment="1" applyProtection="1">
      <alignment horizontal="center"/>
    </xf>
    <xf numFmtId="0" fontId="61" fillId="0" borderId="0" xfId="0" applyFont="1" applyFill="1" applyBorder="1" applyProtection="1"/>
    <xf numFmtId="0" fontId="8" fillId="0" borderId="0" xfId="0" applyFont="1" applyFill="1" applyBorder="1" applyProtection="1"/>
    <xf numFmtId="0" fontId="62" fillId="0" borderId="0" xfId="0" applyFont="1" applyFill="1" applyBorder="1" applyAlignment="1" applyProtection="1">
      <alignment horizontal="left" vertical="top" wrapText="1"/>
    </xf>
    <xf numFmtId="0" fontId="63" fillId="0" borderId="0" xfId="0" applyFont="1" applyFill="1" applyBorder="1" applyAlignment="1" applyProtection="1">
      <alignment horizontal="left" vertical="top"/>
    </xf>
    <xf numFmtId="0" fontId="64" fillId="0" borderId="0" xfId="0" applyFont="1" applyFill="1" applyBorder="1" applyAlignment="1" applyProtection="1">
      <alignment horizontal="left" vertical="top"/>
    </xf>
    <xf numFmtId="0" fontId="51" fillId="0" borderId="0" xfId="0" applyFont="1" applyProtection="1"/>
    <xf numFmtId="0" fontId="0" fillId="0" borderId="0" xfId="0" applyAlignment="1" applyProtection="1"/>
    <xf numFmtId="166" fontId="59" fillId="0" borderId="0" xfId="0" applyNumberFormat="1" applyFont="1" applyBorder="1" applyAlignment="1" applyProtection="1">
      <alignment horizontal="center"/>
    </xf>
    <xf numFmtId="166" fontId="59" fillId="0" borderId="0" xfId="0" applyNumberFormat="1" applyFont="1" applyFill="1" applyBorder="1" applyAlignment="1" applyProtection="1">
      <alignment horizontal="center"/>
    </xf>
    <xf numFmtId="0" fontId="0" fillId="0" borderId="0" xfId="0" applyBorder="1" applyProtection="1"/>
    <xf numFmtId="0" fontId="33" fillId="3" borderId="37" xfId="0" applyFont="1" applyFill="1" applyBorder="1" applyAlignment="1" applyProtection="1">
      <alignment horizontal="center" vertical="center"/>
    </xf>
    <xf numFmtId="0" fontId="0" fillId="3" borderId="38" xfId="0" applyFill="1" applyBorder="1" applyAlignment="1" applyProtection="1"/>
    <xf numFmtId="0" fontId="33" fillId="3" borderId="38" xfId="0" applyFont="1" applyFill="1" applyBorder="1" applyAlignment="1" applyProtection="1">
      <alignment horizontal="left"/>
    </xf>
    <xf numFmtId="0" fontId="43" fillId="3" borderId="38" xfId="0" applyFont="1" applyFill="1" applyBorder="1" applyAlignment="1" applyProtection="1">
      <alignment horizontal="left"/>
    </xf>
    <xf numFmtId="0" fontId="43" fillId="3" borderId="39" xfId="0" applyFont="1" applyFill="1" applyBorder="1" applyAlignment="1" applyProtection="1">
      <alignment horizontal="left"/>
    </xf>
    <xf numFmtId="0" fontId="0" fillId="0" borderId="0" xfId="0" applyBorder="1" applyAlignment="1" applyProtection="1"/>
    <xf numFmtId="0" fontId="65" fillId="3" borderId="0" xfId="0" applyFont="1" applyFill="1" applyBorder="1" applyAlignment="1" applyProtection="1">
      <alignment vertical="top" wrapText="1"/>
    </xf>
    <xf numFmtId="0" fontId="65" fillId="3" borderId="0" xfId="0" applyFont="1" applyFill="1" applyAlignment="1" applyProtection="1">
      <alignment vertical="top" wrapText="1"/>
    </xf>
    <xf numFmtId="0" fontId="33" fillId="3" borderId="0" xfId="0" applyFont="1" applyFill="1" applyBorder="1" applyAlignment="1" applyProtection="1">
      <alignment horizontal="center" vertical="center"/>
    </xf>
    <xf numFmtId="0" fontId="58" fillId="3" borderId="0" xfId="0" applyFont="1" applyFill="1" applyAlignment="1" applyProtection="1"/>
    <xf numFmtId="0" fontId="66"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38"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3" fontId="38"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65" fillId="3" borderId="40" xfId="0" applyFont="1" applyFill="1" applyBorder="1" applyAlignment="1" applyProtection="1">
      <alignment vertical="top" wrapText="1"/>
    </xf>
    <xf numFmtId="0" fontId="33" fillId="3" borderId="33" xfId="0" applyFont="1" applyFill="1" applyBorder="1" applyAlignment="1" applyProtection="1">
      <alignment horizontal="center" vertical="center"/>
    </xf>
    <xf numFmtId="0" fontId="67" fillId="3" borderId="0" xfId="0" applyFont="1" applyFill="1" applyBorder="1" applyAlignment="1" applyProtection="1"/>
    <xf numFmtId="0" fontId="67" fillId="3" borderId="0" xfId="0" applyFont="1" applyFill="1" applyBorder="1" applyAlignment="1" applyProtection="1">
      <alignment wrapText="1"/>
    </xf>
    <xf numFmtId="0" fontId="67" fillId="3" borderId="0" xfId="0" applyFont="1" applyFill="1" applyBorder="1" applyAlignment="1" applyProtection="1">
      <alignment vertical="center"/>
    </xf>
    <xf numFmtId="14" fontId="67" fillId="3" borderId="0" xfId="0" applyNumberFormat="1" applyFont="1" applyFill="1" applyBorder="1" applyAlignment="1" applyProtection="1"/>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3" fontId="53"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horizontal="left" vertical="top" wrapText="1"/>
    </xf>
    <xf numFmtId="0" fontId="65" fillId="0" borderId="0" xfId="0" applyFont="1" applyBorder="1" applyAlignment="1" applyProtection="1">
      <alignment vertical="top" wrapText="1"/>
    </xf>
    <xf numFmtId="0" fontId="65" fillId="0" borderId="0" xfId="0" applyFont="1" applyAlignment="1" applyProtection="1">
      <alignment vertical="top" wrapText="1"/>
    </xf>
    <xf numFmtId="0" fontId="0" fillId="3" borderId="0" xfId="0" applyFill="1" applyAlignment="1" applyProtection="1">
      <alignment vertical="top" wrapText="1"/>
    </xf>
    <xf numFmtId="0" fontId="62" fillId="0" borderId="0" xfId="0" applyFont="1" applyAlignment="1" applyProtection="1">
      <alignment vertical="top" wrapText="1"/>
    </xf>
    <xf numFmtId="0" fontId="32" fillId="0" borderId="16" xfId="0" applyFont="1" applyBorder="1" applyProtection="1"/>
    <xf numFmtId="0" fontId="32" fillId="0" borderId="42" xfId="0" applyFont="1" applyBorder="1" applyProtection="1"/>
    <xf numFmtId="14" fontId="32" fillId="0" borderId="44" xfId="0" applyNumberFormat="1" applyFont="1" applyBorder="1" applyProtection="1"/>
    <xf numFmtId="14" fontId="32" fillId="0" borderId="0" xfId="0" applyNumberFormat="1" applyFont="1" applyBorder="1" applyAlignment="1" applyProtection="1">
      <alignment vertical="top"/>
    </xf>
    <xf numFmtId="0" fontId="8" fillId="0" borderId="0" xfId="0" applyFont="1" applyProtection="1"/>
    <xf numFmtId="0" fontId="38" fillId="0" borderId="0" xfId="0" applyFont="1" applyProtection="1"/>
    <xf numFmtId="0" fontId="39" fillId="10" borderId="19" xfId="0" applyFont="1" applyFill="1" applyBorder="1" applyProtection="1"/>
    <xf numFmtId="9" fontId="38" fillId="10" borderId="20" xfId="0" applyNumberFormat="1" applyFont="1" applyFill="1" applyBorder="1" applyProtection="1"/>
    <xf numFmtId="0" fontId="40" fillId="11" borderId="0" xfId="0" applyFont="1" applyFill="1" applyAlignment="1" applyProtection="1">
      <alignment horizontal="left" vertical="top" wrapText="1"/>
    </xf>
    <xf numFmtId="0" fontId="41" fillId="11" borderId="0" xfId="0" applyFont="1" applyFill="1" applyAlignment="1" applyProtection="1">
      <alignment horizontal="center" vertical="top" wrapText="1"/>
    </xf>
    <xf numFmtId="0" fontId="8" fillId="11" borderId="0" xfId="0" applyFont="1" applyFill="1" applyProtection="1"/>
    <xf numFmtId="0" fontId="39" fillId="10" borderId="21" xfId="0" applyFont="1" applyFill="1" applyBorder="1" applyProtection="1"/>
    <xf numFmtId="9" fontId="38" fillId="10" borderId="22" xfId="0" applyNumberFormat="1" applyFont="1" applyFill="1" applyBorder="1" applyProtection="1"/>
    <xf numFmtId="0" fontId="39" fillId="12" borderId="21" xfId="0" applyFont="1" applyFill="1" applyBorder="1" applyProtection="1"/>
    <xf numFmtId="9" fontId="38" fillId="12" borderId="22" xfId="0" applyNumberFormat="1" applyFont="1" applyFill="1" applyBorder="1" applyProtection="1"/>
    <xf numFmtId="0" fontId="39" fillId="13" borderId="21" xfId="0" applyFont="1" applyFill="1" applyBorder="1" applyProtection="1"/>
    <xf numFmtId="9" fontId="38" fillId="13" borderId="22" xfId="0" applyNumberFormat="1" applyFont="1" applyFill="1" applyBorder="1" applyProtection="1"/>
    <xf numFmtId="0" fontId="39" fillId="13" borderId="23" xfId="0" applyFont="1" applyFill="1" applyBorder="1" applyProtection="1"/>
    <xf numFmtId="9" fontId="38" fillId="13" borderId="24" xfId="0" applyNumberFormat="1" applyFont="1" applyFill="1" applyBorder="1" applyProtection="1"/>
    <xf numFmtId="0" fontId="39" fillId="14" borderId="19" xfId="0" applyFont="1" applyFill="1" applyBorder="1" applyAlignment="1" applyProtection="1">
      <alignment horizontal="left"/>
    </xf>
    <xf numFmtId="0" fontId="38" fillId="14" borderId="20" xfId="0" applyFont="1" applyFill="1" applyBorder="1" applyAlignment="1" applyProtection="1">
      <alignment horizontal="center"/>
      <protection locked="0"/>
    </xf>
    <xf numFmtId="0" fontId="39" fillId="14" borderId="21" xfId="0" applyFont="1" applyFill="1" applyBorder="1" applyAlignment="1" applyProtection="1">
      <alignment horizontal="left"/>
    </xf>
    <xf numFmtId="3" fontId="38" fillId="14" borderId="22" xfId="0" applyNumberFormat="1" applyFont="1" applyFill="1" applyBorder="1" applyAlignment="1" applyProtection="1">
      <alignment horizontal="center"/>
    </xf>
    <xf numFmtId="1" fontId="38" fillId="14" borderId="20" xfId="0" applyNumberFormat="1" applyFont="1" applyFill="1" applyBorder="1" applyAlignment="1" applyProtection="1">
      <alignment horizontal="center"/>
    </xf>
    <xf numFmtId="164" fontId="38" fillId="14" borderId="20" xfId="4" applyNumberFormat="1" applyFont="1" applyFill="1" applyBorder="1" applyAlignment="1" applyProtection="1">
      <alignment horizontal="center"/>
    </xf>
    <xf numFmtId="0" fontId="38" fillId="18" borderId="20" xfId="0" applyFont="1" applyFill="1" applyBorder="1" applyAlignment="1" applyProtection="1">
      <alignment horizontal="center"/>
      <protection locked="0"/>
    </xf>
    <xf numFmtId="0" fontId="39" fillId="0" borderId="21" xfId="0" applyFont="1" applyFill="1" applyBorder="1" applyAlignment="1" applyProtection="1">
      <alignment horizontal="left"/>
    </xf>
    <xf numFmtId="0" fontId="38" fillId="0" borderId="22" xfId="0" applyFont="1" applyFill="1" applyBorder="1" applyAlignment="1" applyProtection="1">
      <alignment horizontal="center" vertical="center"/>
    </xf>
    <xf numFmtId="0" fontId="39" fillId="14" borderId="21" xfId="0" applyFont="1" applyFill="1" applyBorder="1" applyProtection="1"/>
    <xf numFmtId="3" fontId="38" fillId="15" borderId="28" xfId="0" applyNumberFormat="1" applyFont="1" applyFill="1" applyBorder="1" applyAlignment="1" applyProtection="1">
      <alignment horizontal="center"/>
    </xf>
    <xf numFmtId="0" fontId="34" fillId="0" borderId="0" xfId="0" applyFont="1" applyProtection="1"/>
    <xf numFmtId="0" fontId="39" fillId="14" borderId="19" xfId="0" applyFont="1" applyFill="1" applyBorder="1" applyProtection="1"/>
    <xf numFmtId="0" fontId="39" fillId="14" borderId="27" xfId="0" applyFont="1" applyFill="1" applyBorder="1" applyAlignment="1" applyProtection="1">
      <alignment horizontal="center"/>
    </xf>
    <xf numFmtId="0" fontId="39" fillId="14" borderId="45" xfId="0" applyFont="1" applyFill="1" applyBorder="1" applyAlignment="1" applyProtection="1">
      <alignment horizontal="center"/>
    </xf>
    <xf numFmtId="0" fontId="0" fillId="19" borderId="26" xfId="0" applyFill="1" applyBorder="1" applyAlignment="1" applyProtection="1">
      <alignment horizontal="center"/>
    </xf>
    <xf numFmtId="0" fontId="39" fillId="14" borderId="27" xfId="0" applyFont="1" applyFill="1" applyBorder="1" applyAlignment="1" applyProtection="1">
      <alignment horizontal="center"/>
      <protection locked="0"/>
    </xf>
    <xf numFmtId="165" fontId="38" fillId="14" borderId="27" xfId="0" applyNumberFormat="1" applyFont="1" applyFill="1" applyBorder="1" applyAlignment="1" applyProtection="1">
      <alignment horizontal="center"/>
    </xf>
    <xf numFmtId="165" fontId="0" fillId="19" borderId="26" xfId="0" applyNumberFormat="1" applyFill="1" applyBorder="1" applyAlignment="1" applyProtection="1">
      <alignment horizontal="center"/>
    </xf>
    <xf numFmtId="0" fontId="39" fillId="16" borderId="27" xfId="0" applyFont="1" applyFill="1" applyBorder="1" applyAlignment="1" applyProtection="1">
      <alignment horizontal="center"/>
      <protection locked="0"/>
    </xf>
    <xf numFmtId="0" fontId="38" fillId="14" borderId="27" xfId="0" applyFont="1" applyFill="1" applyBorder="1" applyAlignment="1" applyProtection="1">
      <alignment horizontal="center"/>
    </xf>
    <xf numFmtId="0" fontId="38" fillId="19" borderId="27" xfId="0" applyFont="1" applyFill="1" applyBorder="1" applyAlignment="1" applyProtection="1">
      <alignment horizontal="center"/>
    </xf>
    <xf numFmtId="1" fontId="38" fillId="14" borderId="27" xfId="0" applyNumberFormat="1" applyFont="1" applyFill="1" applyBorder="1" applyAlignment="1" applyProtection="1">
      <alignment horizontal="center"/>
    </xf>
    <xf numFmtId="0" fontId="39" fillId="14" borderId="0" xfId="0" applyFont="1" applyFill="1" applyBorder="1" applyProtection="1"/>
    <xf numFmtId="1" fontId="38" fillId="14" borderId="0" xfId="0" applyNumberFormat="1" applyFont="1" applyFill="1" applyBorder="1" applyAlignment="1" applyProtection="1">
      <alignment horizontal="center"/>
    </xf>
    <xf numFmtId="165" fontId="38" fillId="14" borderId="0" xfId="0" applyNumberFormat="1" applyFont="1" applyFill="1" applyBorder="1" applyAlignment="1" applyProtection="1">
      <alignment horizontal="center"/>
    </xf>
    <xf numFmtId="0" fontId="43" fillId="0" borderId="0" xfId="0" applyFont="1" applyProtection="1"/>
    <xf numFmtId="9" fontId="0" fillId="0" borderId="0" xfId="0" applyNumberFormat="1" applyProtection="1"/>
    <xf numFmtId="2" fontId="8" fillId="0" borderId="0" xfId="0" applyNumberFormat="1" applyFont="1" applyProtection="1"/>
    <xf numFmtId="2" fontId="8" fillId="0" borderId="46" xfId="0" applyNumberFormat="1" applyFont="1" applyBorder="1" applyAlignment="1" applyProtection="1">
      <alignment horizontal="center"/>
    </xf>
    <xf numFmtId="2" fontId="8" fillId="0" borderId="0" xfId="0" applyNumberFormat="1" applyFont="1" applyAlignment="1" applyProtection="1">
      <alignment horizontal="center"/>
    </xf>
    <xf numFmtId="9" fontId="0" fillId="0" borderId="0" xfId="4" applyFont="1" applyProtection="1"/>
    <xf numFmtId="0" fontId="39" fillId="14" borderId="19" xfId="0" applyFont="1" applyFill="1" applyBorder="1" applyAlignment="1" applyProtection="1">
      <alignment horizontal="center"/>
    </xf>
    <xf numFmtId="0" fontId="39" fillId="16" borderId="19" xfId="0" applyFont="1" applyFill="1" applyBorder="1" applyAlignment="1" applyProtection="1">
      <alignment horizontal="center"/>
    </xf>
    <xf numFmtId="0" fontId="38" fillId="16" borderId="27" xfId="0" applyFont="1" applyFill="1" applyBorder="1" applyAlignment="1" applyProtection="1">
      <alignment horizontal="center"/>
      <protection locked="0"/>
    </xf>
    <xf numFmtId="0" fontId="38" fillId="16" borderId="27" xfId="0" applyFont="1" applyFill="1" applyBorder="1" applyAlignment="1" applyProtection="1">
      <alignment horizontal="center"/>
    </xf>
    <xf numFmtId="0" fontId="38" fillId="15" borderId="27" xfId="0" applyFont="1" applyFill="1" applyBorder="1" applyAlignment="1" applyProtection="1">
      <alignment horizontal="center"/>
    </xf>
    <xf numFmtId="0" fontId="38" fillId="14" borderId="27" xfId="0" applyFont="1" applyFill="1" applyBorder="1" applyAlignment="1" applyProtection="1">
      <alignment horizontal="center"/>
      <protection locked="0"/>
    </xf>
    <xf numFmtId="0" fontId="68" fillId="0" borderId="0" xfId="0" applyFont="1" applyProtection="1"/>
    <xf numFmtId="0" fontId="39" fillId="16" borderId="27" xfId="0" applyFont="1" applyFill="1" applyBorder="1" applyAlignment="1" applyProtection="1">
      <alignment horizontal="center"/>
    </xf>
    <xf numFmtId="0" fontId="69" fillId="0" borderId="0" xfId="0" applyFont="1" applyProtection="1"/>
    <xf numFmtId="1" fontId="38" fillId="16" borderId="27" xfId="0" applyNumberFormat="1" applyFont="1" applyFill="1" applyBorder="1" applyAlignment="1" applyProtection="1">
      <alignment horizontal="center"/>
    </xf>
    <xf numFmtId="0" fontId="43" fillId="14" borderId="0" xfId="0" applyFont="1" applyFill="1" applyProtection="1"/>
    <xf numFmtId="2" fontId="8" fillId="16" borderId="0" xfId="0" applyNumberFormat="1" applyFont="1" applyFill="1" applyProtection="1"/>
    <xf numFmtId="0" fontId="38" fillId="19" borderId="0" xfId="0" applyFont="1" applyFill="1" applyBorder="1" applyAlignment="1" applyProtection="1">
      <alignment horizontal="center"/>
    </xf>
    <xf numFmtId="0" fontId="8" fillId="20" borderId="0" xfId="0" applyFont="1" applyFill="1" applyProtection="1"/>
    <xf numFmtId="2" fontId="8" fillId="20" borderId="0" xfId="0" applyNumberFormat="1" applyFont="1" applyFill="1" applyProtection="1"/>
    <xf numFmtId="2" fontId="8" fillId="20" borderId="0" xfId="0" applyNumberFormat="1" applyFont="1" applyFill="1" applyAlignment="1" applyProtection="1">
      <alignment horizontal="center"/>
    </xf>
    <xf numFmtId="9" fontId="0" fillId="20" borderId="0" xfId="4" applyFont="1" applyFill="1" applyProtection="1"/>
    <xf numFmtId="9" fontId="0" fillId="20" borderId="0" xfId="0" applyNumberFormat="1" applyFill="1" applyProtection="1"/>
    <xf numFmtId="0" fontId="0" fillId="20" borderId="0" xfId="0" applyFill="1" applyProtection="1"/>
    <xf numFmtId="0" fontId="8" fillId="20" borderId="0" xfId="0" applyNumberFormat="1" applyFont="1" applyFill="1" applyProtection="1"/>
    <xf numFmtId="0" fontId="0" fillId="16" borderId="0" xfId="0" applyFill="1"/>
    <xf numFmtId="1" fontId="0" fillId="16" borderId="0" xfId="4" applyNumberFormat="1" applyFont="1" applyFill="1" applyProtection="1"/>
    <xf numFmtId="4" fontId="8" fillId="20" borderId="0" xfId="0" applyNumberFormat="1" applyFont="1" applyFill="1" applyProtection="1"/>
    <xf numFmtId="1" fontId="0" fillId="20" borderId="0" xfId="4" applyNumberFormat="1" applyFont="1" applyFill="1" applyProtection="1"/>
    <xf numFmtId="1" fontId="38" fillId="19" borderId="27" xfId="0" applyNumberFormat="1" applyFont="1" applyFill="1" applyBorder="1" applyAlignment="1" applyProtection="1">
      <alignment horizontal="center"/>
    </xf>
    <xf numFmtId="0" fontId="0" fillId="0" borderId="0" xfId="0" applyFill="1" applyBorder="1" applyAlignment="1" applyProtection="1">
      <alignment horizontal="center" vertical="center"/>
    </xf>
    <xf numFmtId="3" fontId="0" fillId="0" borderId="0" xfId="0" applyNumberFormat="1" applyFill="1" applyBorder="1" applyAlignment="1" applyProtection="1">
      <alignment horizontal="center" vertical="center"/>
    </xf>
    <xf numFmtId="0" fontId="8" fillId="0" borderId="0" xfId="0" applyFont="1" applyFill="1" applyProtection="1"/>
    <xf numFmtId="0" fontId="41" fillId="0" borderId="0" xfId="0" applyFont="1" applyProtection="1"/>
    <xf numFmtId="14" fontId="38" fillId="15" borderId="0" xfId="0" applyNumberFormat="1" applyFont="1" applyFill="1" applyAlignment="1" applyProtection="1">
      <alignment vertical="center"/>
      <protection locked="0"/>
    </xf>
    <xf numFmtId="14" fontId="38" fillId="15" borderId="0" xfId="0" applyNumberFormat="1" applyFont="1" applyFill="1" applyProtection="1">
      <protection locked="0"/>
    </xf>
    <xf numFmtId="0" fontId="13" fillId="0" borderId="0" xfId="0" applyFont="1" applyFill="1" applyBorder="1" applyAlignment="1">
      <alignment horizontal="left" vertical="center"/>
    </xf>
    <xf numFmtId="0" fontId="13" fillId="0" borderId="1" xfId="0" applyFont="1" applyFill="1" applyBorder="1" applyAlignment="1">
      <alignment horizontal="center" vertical="center"/>
    </xf>
    <xf numFmtId="0" fontId="30" fillId="0" borderId="0" xfId="0" applyFont="1" applyFill="1" applyAlignment="1">
      <alignment horizontal="center" vertical="center"/>
    </xf>
    <xf numFmtId="0" fontId="32" fillId="0" borderId="0" xfId="0" applyFont="1" applyBorder="1"/>
    <xf numFmtId="0" fontId="32" fillId="0" borderId="48" xfId="0" applyFont="1" applyBorder="1"/>
    <xf numFmtId="0" fontId="32" fillId="0" borderId="18" xfId="0" applyFont="1" applyBorder="1"/>
    <xf numFmtId="14" fontId="72" fillId="0" borderId="50" xfId="0" applyNumberFormat="1" applyFont="1" applyBorder="1"/>
    <xf numFmtId="14" fontId="72" fillId="0" borderId="48" xfId="0" applyNumberFormat="1" applyFont="1" applyBorder="1"/>
    <xf numFmtId="0" fontId="38" fillId="15" borderId="20" xfId="0" applyFont="1" applyFill="1" applyBorder="1" applyAlignment="1" applyProtection="1">
      <alignment horizontal="center"/>
      <protection locked="0"/>
    </xf>
    <xf numFmtId="3" fontId="38" fillId="15" borderId="27" xfId="0" applyNumberFormat="1" applyFont="1" applyFill="1" applyBorder="1" applyAlignment="1" applyProtection="1">
      <alignment horizontal="center"/>
      <protection locked="0"/>
    </xf>
    <xf numFmtId="0" fontId="38" fillId="15" borderId="0" xfId="0" applyFont="1" applyFill="1" applyProtection="1">
      <protection locked="0"/>
    </xf>
    <xf numFmtId="0" fontId="74" fillId="0" borderId="0" xfId="0" applyFont="1"/>
    <xf numFmtId="0" fontId="75" fillId="0" borderId="0" xfId="0" applyFont="1" applyFill="1" applyBorder="1" applyAlignment="1">
      <alignment horizontal="center" vertical="center"/>
    </xf>
    <xf numFmtId="3" fontId="3" fillId="0" borderId="4" xfId="0" applyNumberFormat="1" applyFont="1" applyFill="1" applyBorder="1" applyAlignment="1" applyProtection="1">
      <alignment horizontal="left" vertical="center"/>
    </xf>
    <xf numFmtId="0" fontId="3" fillId="0" borderId="4" xfId="0" applyFont="1" applyFill="1" applyBorder="1" applyAlignment="1" applyProtection="1">
      <alignment horizontal="left" vertical="center"/>
    </xf>
    <xf numFmtId="3" fontId="38" fillId="0" borderId="0" xfId="0" applyNumberFormat="1" applyFont="1" applyFill="1" applyBorder="1" applyAlignment="1" applyProtection="1">
      <alignment horizontal="center" vertical="center"/>
      <protection locked="0"/>
    </xf>
    <xf numFmtId="3" fontId="38" fillId="0" borderId="0" xfId="0" applyNumberFormat="1" applyFont="1" applyFill="1" applyBorder="1" applyAlignment="1">
      <alignment horizontal="center" vertical="center"/>
    </xf>
    <xf numFmtId="0" fontId="38" fillId="0" borderId="0" xfId="0" applyFont="1" applyFill="1" applyBorder="1" applyAlignment="1" applyProtection="1">
      <alignment horizontal="center" vertical="center"/>
      <protection locked="0"/>
    </xf>
    <xf numFmtId="0" fontId="32" fillId="0" borderId="52" xfId="0" applyFont="1" applyBorder="1"/>
    <xf numFmtId="0" fontId="32" fillId="0" borderId="53" xfId="0" applyFont="1" applyBorder="1"/>
    <xf numFmtId="14" fontId="32" fillId="0" borderId="0" xfId="0" applyNumberFormat="1" applyFont="1" applyBorder="1" applyAlignment="1">
      <alignment horizontal="left" vertical="top" wrapText="1"/>
    </xf>
    <xf numFmtId="3" fontId="24" fillId="14" borderId="22" xfId="0" applyNumberFormat="1" applyFont="1" applyFill="1" applyBorder="1" applyAlignment="1">
      <alignment horizontal="center"/>
    </xf>
    <xf numFmtId="0" fontId="24" fillId="15" borderId="22" xfId="0" applyFont="1" applyFill="1" applyBorder="1" applyAlignment="1" applyProtection="1">
      <alignment horizontal="center" vertical="center"/>
      <protection locked="0"/>
    </xf>
    <xf numFmtId="0" fontId="39" fillId="0" borderId="21" xfId="0" applyFont="1" applyFill="1" applyBorder="1"/>
    <xf numFmtId="3" fontId="38" fillId="0" borderId="28" xfId="0" applyNumberFormat="1" applyFont="1" applyFill="1" applyBorder="1" applyAlignment="1" applyProtection="1">
      <alignment horizontal="center"/>
      <protection locked="0"/>
    </xf>
    <xf numFmtId="9" fontId="38" fillId="0" borderId="28" xfId="0" applyNumberFormat="1" applyFont="1" applyFill="1" applyBorder="1" applyAlignment="1" applyProtection="1">
      <alignment horizontal="center"/>
    </xf>
    <xf numFmtId="0" fontId="78" fillId="0" borderId="26" xfId="0" applyFont="1" applyBorder="1" applyAlignment="1" applyProtection="1">
      <alignment horizontal="left" vertical="center"/>
      <protection locked="0"/>
    </xf>
    <xf numFmtId="14" fontId="78" fillId="0" borderId="26" xfId="0" applyNumberFormat="1" applyFont="1" applyBorder="1" applyAlignment="1" applyProtection="1">
      <alignment horizontal="left" vertical="center"/>
      <protection locked="0"/>
    </xf>
    <xf numFmtId="0" fontId="39" fillId="0" borderId="26" xfId="0" applyFont="1" applyBorder="1" applyAlignment="1" applyProtection="1">
      <alignment horizontal="left" vertical="center"/>
      <protection locked="0"/>
    </xf>
    <xf numFmtId="14" fontId="39" fillId="0" borderId="26" xfId="0" applyNumberFormat="1" applyFont="1" applyBorder="1" applyAlignment="1" applyProtection="1">
      <alignment horizontal="left" vertical="center"/>
      <protection locked="0"/>
    </xf>
    <xf numFmtId="0" fontId="39" fillId="14" borderId="54" xfId="0" applyFont="1" applyFill="1" applyBorder="1" applyAlignment="1">
      <alignment horizontal="center" wrapText="1"/>
    </xf>
    <xf numFmtId="3" fontId="0" fillId="0" borderId="0" xfId="0" applyNumberFormat="1"/>
    <xf numFmtId="3" fontId="79" fillId="14" borderId="28" xfId="0" applyNumberFormat="1" applyFont="1" applyFill="1" applyBorder="1" applyAlignment="1" applyProtection="1">
      <alignment horizontal="center"/>
    </xf>
    <xf numFmtId="3" fontId="79" fillId="14" borderId="28" xfId="0" applyNumberFormat="1" applyFont="1" applyFill="1" applyBorder="1" applyAlignment="1">
      <alignment horizontal="center"/>
    </xf>
    <xf numFmtId="0" fontId="39" fillId="0" borderId="0" xfId="0" applyFont="1" applyBorder="1" applyAlignment="1">
      <alignment vertical="top" wrapText="1"/>
    </xf>
    <xf numFmtId="0" fontId="39" fillId="0" borderId="0" xfId="0" applyFont="1" applyFill="1" applyBorder="1" applyAlignment="1">
      <alignment vertical="top" wrapText="1"/>
    </xf>
    <xf numFmtId="0" fontId="39" fillId="0" borderId="0" xfId="0" applyFont="1" applyBorder="1" applyProtection="1">
      <protection locked="0"/>
    </xf>
    <xf numFmtId="3" fontId="38" fillId="14" borderId="28" xfId="0" applyNumberFormat="1" applyFont="1" applyFill="1" applyBorder="1" applyAlignment="1" applyProtection="1">
      <alignment horizontal="center"/>
    </xf>
    <xf numFmtId="0" fontId="80" fillId="0" borderId="0" xfId="0" applyFont="1"/>
    <xf numFmtId="0" fontId="39" fillId="14" borderId="23" xfId="0" applyFont="1" applyFill="1" applyBorder="1"/>
    <xf numFmtId="3" fontId="38" fillId="14" borderId="29" xfId="0" applyNumberFormat="1" applyFont="1" applyFill="1" applyBorder="1" applyAlignment="1" applyProtection="1">
      <alignment horizontal="center"/>
    </xf>
    <xf numFmtId="3" fontId="38" fillId="14" borderId="29" xfId="0" applyNumberFormat="1" applyFont="1" applyFill="1" applyBorder="1" applyAlignment="1">
      <alignment horizontal="center"/>
    </xf>
    <xf numFmtId="9" fontId="38" fillId="14" borderId="29" xfId="0" applyNumberFormat="1" applyFont="1" applyFill="1" applyBorder="1" applyAlignment="1">
      <alignment horizontal="center"/>
    </xf>
    <xf numFmtId="0" fontId="39" fillId="14" borderId="28" xfId="0" applyFont="1" applyFill="1" applyBorder="1" applyAlignment="1">
      <alignment wrapText="1"/>
    </xf>
    <xf numFmtId="0" fontId="39" fillId="14" borderId="28" xfId="0" applyFont="1" applyFill="1" applyBorder="1" applyAlignment="1">
      <alignment horizontal="center" vertical="center" wrapText="1"/>
    </xf>
    <xf numFmtId="0" fontId="39" fillId="14" borderId="28" xfId="0" applyFont="1" applyFill="1" applyBorder="1" applyAlignment="1">
      <alignment horizontal="center" wrapText="1"/>
    </xf>
    <xf numFmtId="0" fontId="39" fillId="16" borderId="28" xfId="0" applyFont="1" applyFill="1" applyBorder="1" applyAlignment="1">
      <alignment horizontal="center" wrapText="1"/>
    </xf>
    <xf numFmtId="0" fontId="39" fillId="14" borderId="21" xfId="0" applyFont="1" applyFill="1" applyBorder="1" applyAlignment="1">
      <alignment wrapText="1"/>
    </xf>
    <xf numFmtId="0" fontId="39" fillId="14" borderId="23" xfId="0" applyFont="1" applyFill="1" applyBorder="1" applyAlignment="1">
      <alignment wrapText="1"/>
    </xf>
    <xf numFmtId="0" fontId="39" fillId="16" borderId="29" xfId="0" applyFont="1" applyFill="1" applyBorder="1" applyAlignment="1">
      <alignment horizontal="center" wrapText="1"/>
    </xf>
    <xf numFmtId="0" fontId="39" fillId="14" borderId="29" xfId="0" applyFont="1" applyFill="1" applyBorder="1" applyAlignment="1">
      <alignment horizontal="center" wrapText="1"/>
    </xf>
    <xf numFmtId="0" fontId="39" fillId="0" borderId="0" xfId="0" applyFont="1" applyFill="1" applyBorder="1"/>
    <xf numFmtId="3" fontId="38" fillId="0" borderId="0" xfId="0" applyNumberFormat="1" applyFont="1" applyFill="1" applyBorder="1" applyAlignment="1" applyProtection="1">
      <alignment horizontal="center"/>
    </xf>
    <xf numFmtId="9" fontId="38" fillId="0" borderId="0" xfId="0" applyNumberFormat="1" applyFont="1" applyFill="1" applyBorder="1" applyAlignment="1" applyProtection="1">
      <alignment horizontal="center"/>
    </xf>
    <xf numFmtId="0" fontId="39" fillId="0" borderId="0" xfId="0" applyFont="1" applyFill="1" applyBorder="1" applyAlignment="1">
      <alignment horizontal="center"/>
    </xf>
    <xf numFmtId="0" fontId="39" fillId="14" borderId="55" xfId="0" applyFont="1" applyFill="1" applyBorder="1" applyAlignment="1">
      <alignment wrapText="1"/>
    </xf>
    <xf numFmtId="3" fontId="38" fillId="0" borderId="0" xfId="0" applyNumberFormat="1" applyFont="1" applyFill="1" applyBorder="1" applyAlignment="1">
      <alignment horizontal="center"/>
    </xf>
    <xf numFmtId="10" fontId="0" fillId="0" borderId="0" xfId="0" applyNumberFormat="1"/>
    <xf numFmtId="0" fontId="39" fillId="14" borderId="0" xfId="0" applyFont="1" applyFill="1" applyBorder="1" applyAlignment="1">
      <alignment wrapText="1"/>
    </xf>
    <xf numFmtId="3" fontId="38" fillId="14" borderId="28" xfId="0" applyNumberFormat="1" applyFont="1" applyFill="1" applyBorder="1" applyAlignment="1" applyProtection="1">
      <alignment horizontal="center"/>
      <protection locked="0"/>
    </xf>
    <xf numFmtId="0" fontId="0" fillId="0" borderId="0" xfId="0" applyFill="1" applyBorder="1" applyAlignment="1">
      <alignment horizontal="center" vertical="center"/>
    </xf>
    <xf numFmtId="0" fontId="8" fillId="0" borderId="0" xfId="0" applyFont="1" applyFill="1"/>
    <xf numFmtId="0" fontId="0" fillId="0" borderId="0" xfId="0" applyFill="1"/>
    <xf numFmtId="3" fontId="38" fillId="14" borderId="0" xfId="0" applyNumberFormat="1" applyFont="1" applyFill="1" applyBorder="1" applyAlignment="1" applyProtection="1">
      <alignment horizontal="center"/>
      <protection locked="0"/>
    </xf>
    <xf numFmtId="3" fontId="38" fillId="16" borderId="0" xfId="0" applyNumberFormat="1" applyFont="1" applyFill="1" applyBorder="1" applyAlignment="1" applyProtection="1">
      <alignment horizontal="center"/>
      <protection locked="0"/>
    </xf>
    <xf numFmtId="0" fontId="90" fillId="0" borderId="0" xfId="0" applyFont="1" applyFill="1" applyAlignment="1" applyProtection="1"/>
    <xf numFmtId="0" fontId="0" fillId="0" borderId="0" xfId="0" applyFont="1" applyAlignment="1"/>
    <xf numFmtId="0" fontId="91" fillId="0" borderId="0" xfId="0" applyFont="1" applyProtection="1"/>
    <xf numFmtId="14" fontId="38" fillId="15" borderId="0" xfId="0" applyNumberFormat="1" applyFont="1" applyFill="1" applyAlignment="1" applyProtection="1">
      <alignment horizontal="left" vertical="top"/>
      <protection locked="0"/>
    </xf>
    <xf numFmtId="0" fontId="90" fillId="0" borderId="0" xfId="0" applyFont="1" applyFill="1" applyAlignment="1" applyProtection="1">
      <alignment vertical="center"/>
    </xf>
    <xf numFmtId="0" fontId="0" fillId="0" borderId="0" xfId="0" applyFont="1" applyAlignment="1">
      <alignment vertical="top"/>
    </xf>
    <xf numFmtId="0" fontId="91" fillId="0" borderId="0" xfId="0" applyFont="1" applyAlignment="1" applyProtection="1">
      <alignment vertical="center"/>
    </xf>
    <xf numFmtId="0" fontId="38" fillId="15" borderId="0" xfId="0" applyFont="1" applyFill="1" applyAlignment="1" applyProtection="1">
      <alignment vertical="center"/>
      <protection locked="0"/>
    </xf>
    <xf numFmtId="0" fontId="0" fillId="0" borderId="0" xfId="0" applyAlignment="1" applyProtection="1">
      <alignment vertical="center"/>
    </xf>
    <xf numFmtId="0" fontId="0" fillId="0" borderId="0" xfId="0" applyAlignment="1">
      <alignment vertical="center"/>
    </xf>
    <xf numFmtId="0" fontId="38" fillId="0" borderId="0" xfId="0" applyFont="1" applyAlignment="1" applyProtection="1">
      <alignment vertical="top" wrapText="1"/>
      <protection locked="0"/>
    </xf>
    <xf numFmtId="14" fontId="38" fillId="15" borderId="0" xfId="0" applyNumberFormat="1" applyFont="1" applyFill="1" applyAlignment="1">
      <alignment vertical="top"/>
    </xf>
    <xf numFmtId="0" fontId="38" fillId="0" borderId="0" xfId="0" applyFont="1" applyAlignment="1" applyProtection="1">
      <protection locked="0"/>
    </xf>
    <xf numFmtId="14" fontId="38" fillId="15" borderId="0" xfId="0" applyNumberFormat="1" applyFont="1" applyFill="1" applyAlignment="1">
      <alignment horizontal="left" vertical="top"/>
    </xf>
    <xf numFmtId="0" fontId="88" fillId="15" borderId="0" xfId="0" applyFont="1" applyFill="1" applyAlignment="1" applyProtection="1">
      <alignment vertical="top" wrapText="1"/>
      <protection locked="0"/>
    </xf>
    <xf numFmtId="0" fontId="0" fillId="21" borderId="0" xfId="0" applyFill="1" applyBorder="1"/>
    <xf numFmtId="3" fontId="3" fillId="0" borderId="1" xfId="0" applyNumberFormat="1" applyFont="1" applyFill="1" applyBorder="1" applyAlignment="1">
      <alignment horizontal="left" vertical="center"/>
    </xf>
    <xf numFmtId="0" fontId="46" fillId="0" borderId="45" xfId="0" applyFont="1" applyBorder="1" applyAlignment="1">
      <alignment horizontal="left"/>
    </xf>
    <xf numFmtId="0" fontId="46" fillId="0" borderId="0" xfId="0" applyFont="1" applyAlignment="1">
      <alignment horizontal="left"/>
    </xf>
    <xf numFmtId="0" fontId="0" fillId="0" borderId="45" xfId="0" applyFill="1" applyBorder="1"/>
    <xf numFmtId="0" fontId="32" fillId="0" borderId="59" xfId="0" applyFont="1" applyBorder="1"/>
    <xf numFmtId="0" fontId="95" fillId="0" borderId="0" xfId="0" applyFont="1" applyBorder="1"/>
    <xf numFmtId="0" fontId="32" fillId="0" borderId="0" xfId="0" applyFont="1" applyFill="1" applyBorder="1" applyAlignment="1">
      <alignment vertical="top"/>
    </xf>
    <xf numFmtId="0" fontId="96" fillId="0" borderId="0" xfId="0" applyFont="1" applyFill="1" applyBorder="1" applyAlignment="1">
      <alignment vertical="top"/>
    </xf>
    <xf numFmtId="0" fontId="46" fillId="0" borderId="0" xfId="0" applyFont="1"/>
    <xf numFmtId="0" fontId="46" fillId="0" borderId="0" xfId="0" applyFont="1" applyBorder="1"/>
    <xf numFmtId="0" fontId="95" fillId="0" borderId="0" xfId="0" applyFont="1"/>
    <xf numFmtId="3" fontId="38" fillId="16" borderId="22" xfId="0" applyNumberFormat="1" applyFont="1" applyFill="1" applyBorder="1" applyAlignment="1">
      <alignment horizontal="center"/>
    </xf>
    <xf numFmtId="0" fontId="39" fillId="14" borderId="69" xfId="0" applyFont="1" applyFill="1" applyBorder="1" applyAlignment="1" applyProtection="1">
      <alignment horizontal="center"/>
    </xf>
    <xf numFmtId="0" fontId="38" fillId="14" borderId="22" xfId="0" applyFont="1" applyFill="1" applyBorder="1" applyAlignment="1" applyProtection="1">
      <alignment horizontal="center" vertical="center"/>
      <protection locked="0"/>
    </xf>
    <xf numFmtId="0" fontId="39" fillId="0" borderId="70" xfId="0" applyFont="1" applyBorder="1" applyAlignment="1"/>
    <xf numFmtId="0" fontId="39" fillId="0" borderId="46" xfId="0" applyFont="1" applyBorder="1" applyAlignment="1">
      <alignment horizontal="center"/>
    </xf>
    <xf numFmtId="0" fontId="39" fillId="0" borderId="26" xfId="0" applyFont="1" applyBorder="1"/>
    <xf numFmtId="14" fontId="39" fillId="0" borderId="26" xfId="0" applyNumberFormat="1" applyFont="1" applyBorder="1" applyAlignment="1" applyProtection="1">
      <alignment horizontal="center"/>
      <protection locked="0"/>
    </xf>
    <xf numFmtId="0" fontId="39" fillId="0" borderId="26" xfId="0" applyFont="1" applyFill="1" applyBorder="1"/>
    <xf numFmtId="0" fontId="39" fillId="0" borderId="26" xfId="0" applyFont="1" applyBorder="1" applyAlignment="1" applyProtection="1">
      <alignment horizontal="center"/>
      <protection locked="0"/>
    </xf>
    <xf numFmtId="0" fontId="39" fillId="23" borderId="27" xfId="0" applyFont="1" applyFill="1" applyBorder="1" applyAlignment="1" applyProtection="1">
      <alignment horizontal="center"/>
    </xf>
    <xf numFmtId="0" fontId="39" fillId="24" borderId="27" xfId="0" applyFont="1" applyFill="1" applyBorder="1" applyAlignment="1" applyProtection="1">
      <alignment horizontal="center"/>
    </xf>
    <xf numFmtId="0" fontId="39" fillId="14" borderId="28" xfId="0" applyFont="1" applyFill="1" applyBorder="1" applyAlignment="1" applyProtection="1">
      <alignment horizontal="center"/>
    </xf>
    <xf numFmtId="3" fontId="38" fillId="23" borderId="27" xfId="0" applyNumberFormat="1" applyFont="1" applyFill="1" applyBorder="1" applyAlignment="1" applyProtection="1">
      <alignment horizontal="center"/>
    </xf>
    <xf numFmtId="3" fontId="38" fillId="24" borderId="27" xfId="0" applyNumberFormat="1" applyFont="1" applyFill="1" applyBorder="1" applyAlignment="1" applyProtection="1">
      <alignment horizontal="center"/>
    </xf>
    <xf numFmtId="3" fontId="38" fillId="14" borderId="28" xfId="0" applyNumberFormat="1" applyFont="1" applyFill="1" applyBorder="1" applyProtection="1"/>
    <xf numFmtId="3" fontId="38" fillId="14" borderId="0" xfId="0" applyNumberFormat="1" applyFont="1" applyFill="1" applyBorder="1" applyAlignment="1" applyProtection="1">
      <alignment horizontal="center"/>
    </xf>
    <xf numFmtId="164" fontId="38" fillId="14" borderId="0" xfId="0" applyNumberFormat="1" applyFont="1" applyFill="1" applyProtection="1"/>
    <xf numFmtId="3" fontId="38" fillId="24" borderId="28" xfId="0" applyNumberFormat="1" applyFont="1" applyFill="1" applyBorder="1" applyAlignment="1" applyProtection="1">
      <alignment horizontal="center"/>
    </xf>
    <xf numFmtId="3" fontId="38" fillId="14" borderId="0" xfId="0" applyNumberFormat="1" applyFont="1" applyFill="1" applyBorder="1" applyProtection="1"/>
    <xf numFmtId="3" fontId="38" fillId="15" borderId="0" xfId="0" applyNumberFormat="1" applyFont="1" applyFill="1" applyBorder="1" applyAlignment="1" applyProtection="1">
      <alignment horizontal="center"/>
    </xf>
    <xf numFmtId="3" fontId="39" fillId="23" borderId="27" xfId="0" applyNumberFormat="1" applyFont="1" applyFill="1" applyBorder="1" applyAlignment="1" applyProtection="1">
      <alignment horizontal="center"/>
    </xf>
    <xf numFmtId="0" fontId="39" fillId="15" borderId="27" xfId="0" applyFont="1" applyFill="1" applyBorder="1" applyAlignment="1" applyProtection="1">
      <alignment horizontal="center"/>
    </xf>
    <xf numFmtId="3" fontId="38" fillId="15" borderId="27" xfId="0" applyNumberFormat="1" applyFont="1" applyFill="1" applyBorder="1" applyAlignment="1" applyProtection="1">
      <alignment horizontal="center"/>
    </xf>
    <xf numFmtId="3" fontId="38" fillId="16" borderId="27" xfId="0" applyNumberFormat="1" applyFont="1" applyFill="1" applyBorder="1" applyAlignment="1" applyProtection="1">
      <alignment horizontal="center"/>
    </xf>
    <xf numFmtId="3" fontId="8" fillId="0" borderId="0" xfId="0" applyNumberFormat="1" applyFont="1"/>
    <xf numFmtId="0" fontId="39" fillId="14" borderId="27" xfId="0" applyFont="1" applyFill="1" applyBorder="1" applyAlignment="1">
      <alignment horizontal="center" vertical="center" wrapText="1"/>
    </xf>
    <xf numFmtId="3" fontId="38" fillId="15" borderId="28" xfId="0" applyNumberFormat="1" applyFont="1" applyFill="1" applyBorder="1" applyAlignment="1" applyProtection="1">
      <alignment horizontal="center" vertical="center" wrapText="1"/>
      <protection locked="0"/>
    </xf>
    <xf numFmtId="0" fontId="0" fillId="0" borderId="0" xfId="0" applyAlignment="1">
      <alignment wrapText="1"/>
    </xf>
    <xf numFmtId="0" fontId="8" fillId="0" borderId="0" xfId="0" applyFont="1" applyAlignment="1">
      <alignment wrapText="1"/>
    </xf>
    <xf numFmtId="3" fontId="38" fillId="15" borderId="69" xfId="0" applyNumberFormat="1" applyFont="1" applyFill="1" applyBorder="1" applyAlignment="1" applyProtection="1">
      <alignment horizontal="center" vertical="center" wrapText="1"/>
      <protection locked="0"/>
    </xf>
    <xf numFmtId="0" fontId="88" fillId="0" borderId="0" xfId="0" applyFont="1" applyFill="1" applyAlignment="1" applyProtection="1"/>
    <xf numFmtId="0" fontId="88" fillId="15" borderId="0" xfId="0" applyFont="1" applyFill="1" applyAlignment="1" applyProtection="1">
      <alignment vertical="top"/>
      <protection locked="0"/>
    </xf>
    <xf numFmtId="0" fontId="88" fillId="15" borderId="0" xfId="0" applyFont="1" applyFill="1" applyAlignment="1" applyProtection="1">
      <alignment horizontal="center" vertical="top"/>
      <protection locked="0"/>
    </xf>
    <xf numFmtId="0" fontId="89" fillId="0" borderId="0" xfId="0" applyFont="1"/>
    <xf numFmtId="0" fontId="89" fillId="0" borderId="0" xfId="0" applyFont="1" applyProtection="1"/>
    <xf numFmtId="0" fontId="88" fillId="15" borderId="0" xfId="0" applyFont="1" applyFill="1" applyAlignment="1" applyProtection="1">
      <protection locked="0"/>
    </xf>
    <xf numFmtId="0" fontId="88" fillId="0" borderId="0" xfId="0" applyFont="1" applyAlignment="1" applyProtection="1"/>
    <xf numFmtId="14" fontId="88" fillId="15" borderId="0" xfId="0" applyNumberFormat="1" applyFont="1" applyFill="1" applyProtection="1">
      <protection locked="0"/>
    </xf>
    <xf numFmtId="0" fontId="89" fillId="0" borderId="0" xfId="0" applyFont="1" applyFill="1" applyProtection="1"/>
    <xf numFmtId="0" fontId="88" fillId="15" borderId="0" xfId="0" applyFont="1" applyFill="1" applyProtection="1">
      <protection locked="0"/>
    </xf>
    <xf numFmtId="0" fontId="3" fillId="0" borderId="2" xfId="0" applyFont="1" applyFill="1" applyBorder="1" applyAlignment="1">
      <alignment vertical="center"/>
    </xf>
    <xf numFmtId="164" fontId="13" fillId="0" borderId="0" xfId="4" applyNumberFormat="1" applyFont="1" applyFill="1" applyBorder="1" applyAlignment="1">
      <alignment horizontal="left" vertical="center"/>
    </xf>
    <xf numFmtId="0" fontId="32" fillId="0" borderId="75" xfId="0" applyFont="1" applyBorder="1"/>
    <xf numFmtId="14" fontId="32" fillId="0" borderId="80" xfId="0" applyNumberFormat="1" applyFont="1" applyBorder="1" applyAlignment="1">
      <alignment vertical="top" wrapText="1"/>
    </xf>
    <xf numFmtId="0" fontId="39" fillId="0" borderId="0" xfId="0" applyFont="1"/>
    <xf numFmtId="0" fontId="39" fillId="12" borderId="19" xfId="0" applyFont="1" applyFill="1" applyBorder="1"/>
    <xf numFmtId="9" fontId="38" fillId="12" borderId="20" xfId="0" applyNumberFormat="1" applyFont="1" applyFill="1" applyBorder="1"/>
    <xf numFmtId="0" fontId="39" fillId="25" borderId="21" xfId="0" applyFont="1" applyFill="1" applyBorder="1"/>
    <xf numFmtId="9" fontId="38" fillId="25" borderId="22" xfId="0" applyNumberFormat="1" applyFont="1" applyFill="1" applyBorder="1"/>
    <xf numFmtId="0" fontId="39" fillId="25" borderId="23" xfId="0" applyFont="1" applyFill="1" applyBorder="1"/>
    <xf numFmtId="9" fontId="38" fillId="25" borderId="24" xfId="0" applyNumberFormat="1" applyFont="1" applyFill="1" applyBorder="1"/>
    <xf numFmtId="164" fontId="38" fillId="16" borderId="22" xfId="4" applyNumberFormat="1" applyFont="1" applyFill="1" applyBorder="1" applyAlignment="1">
      <alignment horizontal="center"/>
    </xf>
    <xf numFmtId="164" fontId="38" fillId="14" borderId="22" xfId="4" applyNumberFormat="1" applyFont="1" applyFill="1" applyBorder="1" applyAlignment="1">
      <alignment horizontal="center"/>
    </xf>
    <xf numFmtId="0" fontId="39" fillId="14" borderId="19" xfId="0" applyFont="1" applyFill="1" applyBorder="1" applyAlignment="1">
      <alignment horizontal="center" vertical="center" wrapText="1"/>
    </xf>
    <xf numFmtId="0" fontId="39" fillId="14" borderId="27" xfId="0" applyFont="1" applyFill="1" applyBorder="1" applyAlignment="1">
      <alignment horizontal="center" wrapText="1"/>
    </xf>
    <xf numFmtId="3" fontId="38" fillId="14" borderId="19" xfId="0" applyNumberFormat="1" applyFont="1" applyFill="1" applyBorder="1"/>
    <xf numFmtId="164" fontId="38" fillId="14" borderId="27" xfId="4" applyNumberFormat="1" applyFont="1" applyFill="1" applyBorder="1" applyAlignment="1" applyProtection="1">
      <alignment horizontal="center"/>
    </xf>
    <xf numFmtId="3" fontId="38" fillId="19" borderId="28" xfId="0" applyNumberFormat="1" applyFont="1" applyFill="1" applyBorder="1" applyAlignment="1" applyProtection="1">
      <alignment horizontal="right"/>
      <protection locked="0"/>
    </xf>
    <xf numFmtId="3" fontId="38" fillId="19" borderId="28" xfId="0" applyNumberFormat="1" applyFont="1" applyFill="1" applyBorder="1" applyAlignment="1" applyProtection="1">
      <alignment horizontal="center"/>
      <protection locked="0"/>
    </xf>
    <xf numFmtId="3" fontId="39" fillId="14" borderId="28" xfId="0" applyNumberFormat="1" applyFont="1" applyFill="1" applyBorder="1" applyAlignment="1" applyProtection="1">
      <alignment horizontal="left"/>
      <protection locked="0"/>
    </xf>
    <xf numFmtId="3" fontId="38" fillId="19" borderId="28" xfId="0" applyNumberFormat="1" applyFont="1" applyFill="1" applyBorder="1" applyAlignment="1" applyProtection="1">
      <alignment horizontal="center"/>
    </xf>
    <xf numFmtId="0" fontId="39" fillId="14" borderId="28" xfId="0" applyFont="1" applyFill="1" applyBorder="1"/>
    <xf numFmtId="0" fontId="39" fillId="3" borderId="19" xfId="0" applyFont="1" applyFill="1" applyBorder="1"/>
    <xf numFmtId="3" fontId="38" fillId="3" borderId="27" xfId="0" applyNumberFormat="1" applyFont="1" applyFill="1" applyBorder="1" applyAlignment="1" applyProtection="1">
      <alignment horizontal="center"/>
    </xf>
    <xf numFmtId="164" fontId="38" fillId="3" borderId="27" xfId="4" applyNumberFormat="1" applyFont="1" applyFill="1" applyBorder="1" applyAlignment="1" applyProtection="1">
      <alignment horizontal="center"/>
    </xf>
    <xf numFmtId="3" fontId="38" fillId="3" borderId="28" xfId="0" applyNumberFormat="1" applyFont="1" applyFill="1" applyBorder="1" applyAlignment="1">
      <alignment horizontal="center"/>
    </xf>
    <xf numFmtId="9" fontId="38" fillId="3" borderId="28" xfId="0" applyNumberFormat="1" applyFont="1" applyFill="1" applyBorder="1" applyAlignment="1" applyProtection="1">
      <alignment horizontal="center"/>
    </xf>
    <xf numFmtId="0" fontId="38" fillId="3" borderId="22" xfId="0" applyFont="1" applyFill="1" applyBorder="1" applyAlignment="1">
      <alignment horizontal="center" vertical="center"/>
    </xf>
    <xf numFmtId="14" fontId="39" fillId="0" borderId="26" xfId="0" applyNumberFormat="1" applyFont="1" applyBorder="1" applyAlignment="1">
      <alignment horizontal="center" vertical="top" wrapText="1"/>
    </xf>
    <xf numFmtId="0" fontId="39" fillId="0" borderId="26" xfId="0" applyFont="1" applyBorder="1" applyAlignment="1">
      <alignment horizontal="center" vertical="top" wrapText="1"/>
    </xf>
    <xf numFmtId="14" fontId="39" fillId="0" borderId="26" xfId="0" applyNumberFormat="1" applyFont="1" applyBorder="1" applyAlignment="1" applyProtection="1">
      <alignment vertical="top"/>
      <protection locked="0"/>
    </xf>
    <xf numFmtId="0" fontId="39" fillId="3" borderId="21" xfId="0" applyFont="1" applyFill="1" applyBorder="1" applyAlignment="1">
      <alignment wrapText="1"/>
    </xf>
    <xf numFmtId="3" fontId="38" fillId="3" borderId="28" xfId="0" applyNumberFormat="1" applyFont="1" applyFill="1" applyBorder="1" applyAlignment="1" applyProtection="1">
      <alignment horizontal="center"/>
      <protection locked="0"/>
    </xf>
    <xf numFmtId="3" fontId="38" fillId="3" borderId="22" xfId="0" applyNumberFormat="1" applyFont="1" applyFill="1" applyBorder="1" applyAlignment="1">
      <alignment horizontal="center"/>
    </xf>
    <xf numFmtId="0" fontId="39" fillId="0" borderId="26" xfId="0" applyFont="1" applyBorder="1" applyAlignment="1" applyProtection="1">
      <alignment vertical="top"/>
      <protection locked="0"/>
    </xf>
    <xf numFmtId="14" fontId="88" fillId="15" borderId="0" xfId="0" applyNumberFormat="1" applyFont="1" applyFill="1" applyAlignment="1" applyProtection="1">
      <alignment vertical="top" wrapText="1"/>
      <protection locked="0"/>
    </xf>
    <xf numFmtId="0" fontId="13" fillId="0" borderId="0" xfId="0" applyFont="1" applyFill="1" applyBorder="1" applyAlignment="1">
      <alignment vertical="center"/>
    </xf>
    <xf numFmtId="9" fontId="3" fillId="0" borderId="1" xfId="0" applyNumberFormat="1" applyFont="1" applyFill="1" applyBorder="1" applyAlignment="1">
      <alignment horizontal="left" vertical="top"/>
    </xf>
    <xf numFmtId="3" fontId="13" fillId="0" borderId="0" xfId="4" applyNumberFormat="1" applyFont="1" applyFill="1" applyBorder="1" applyAlignment="1">
      <alignment horizontal="left" vertical="top"/>
    </xf>
    <xf numFmtId="0" fontId="3" fillId="0" borderId="1" xfId="0" applyFont="1" applyFill="1" applyBorder="1" applyAlignment="1">
      <alignment vertical="top"/>
    </xf>
    <xf numFmtId="0" fontId="3" fillId="0" borderId="0" xfId="0" applyFont="1" applyFill="1" applyBorder="1" applyAlignment="1">
      <alignment vertical="top"/>
    </xf>
    <xf numFmtId="0" fontId="22" fillId="0" borderId="0" xfId="0" applyFont="1" applyFill="1" applyBorder="1" applyAlignment="1">
      <alignment vertical="top" wrapText="1"/>
    </xf>
    <xf numFmtId="9" fontId="3" fillId="0" borderId="0" xfId="0" applyNumberFormat="1" applyFont="1" applyFill="1" applyBorder="1" applyAlignment="1">
      <alignment horizontal="left" vertical="top"/>
    </xf>
    <xf numFmtId="0" fontId="3" fillId="0" borderId="82" xfId="0" applyFont="1" applyFill="1" applyBorder="1" applyAlignment="1">
      <alignment vertical="top"/>
    </xf>
    <xf numFmtId="3" fontId="13" fillId="0" borderId="82" xfId="0" applyNumberFormat="1" applyFont="1" applyFill="1" applyBorder="1" applyAlignment="1">
      <alignment horizontal="left" vertical="top"/>
    </xf>
    <xf numFmtId="0" fontId="13" fillId="0" borderId="83" xfId="0" applyFont="1" applyFill="1" applyBorder="1" applyAlignment="1">
      <alignment horizontal="left" vertical="center"/>
    </xf>
    <xf numFmtId="0" fontId="13" fillId="0" borderId="83" xfId="0" applyFont="1" applyFill="1" applyBorder="1" applyAlignment="1">
      <alignment vertical="center"/>
    </xf>
    <xf numFmtId="0" fontId="3" fillId="0" borderId="4" xfId="0" applyFont="1" applyFill="1" applyBorder="1" applyAlignment="1">
      <alignment horizontal="left" vertical="top"/>
    </xf>
    <xf numFmtId="9" fontId="3" fillId="0" borderId="0" xfId="0" applyNumberFormat="1" applyFont="1" applyBorder="1" applyAlignment="1">
      <alignment horizontal="left" vertical="top"/>
    </xf>
    <xf numFmtId="0" fontId="3" fillId="0" borderId="2" xfId="0" applyFont="1" applyFill="1" applyBorder="1" applyAlignment="1">
      <alignment vertical="top"/>
    </xf>
    <xf numFmtId="0" fontId="22" fillId="0" borderId="0" xfId="0" applyFont="1" applyFill="1" applyBorder="1" applyAlignment="1">
      <alignment horizontal="left" vertical="top" wrapText="1"/>
    </xf>
    <xf numFmtId="0" fontId="3" fillId="0" borderId="0" xfId="0" applyFont="1" applyFill="1" applyBorder="1" applyAlignment="1">
      <alignment horizontal="left" vertical="top"/>
    </xf>
    <xf numFmtId="9" fontId="13" fillId="0" borderId="0" xfId="0" applyNumberFormat="1" applyFont="1" applyFill="1" applyBorder="1" applyAlignment="1">
      <alignment horizontal="left" vertical="top"/>
    </xf>
    <xf numFmtId="0" fontId="0" fillId="0" borderId="0" xfId="0" applyBorder="1" applyAlignment="1"/>
    <xf numFmtId="0" fontId="32" fillId="0" borderId="59" xfId="0" applyFont="1" applyBorder="1" applyAlignment="1">
      <alignment horizontal="left"/>
    </xf>
    <xf numFmtId="0" fontId="32" fillId="0" borderId="60" xfId="0" applyFont="1" applyBorder="1" applyAlignment="1">
      <alignment horizontal="left"/>
    </xf>
    <xf numFmtId="0" fontId="32" fillId="0" borderId="75" xfId="0" applyFont="1" applyBorder="1" applyAlignment="1">
      <alignment horizontal="left"/>
    </xf>
    <xf numFmtId="14" fontId="32" fillId="0" borderId="78" xfId="0" applyNumberFormat="1" applyFont="1" applyBorder="1" applyAlignment="1">
      <alignment horizontal="left" vertical="top" wrapText="1"/>
    </xf>
    <xf numFmtId="14" fontId="32" fillId="0" borderId="80" xfId="0" applyNumberFormat="1" applyFont="1" applyBorder="1" applyAlignment="1">
      <alignment horizontal="left" vertical="top" wrapText="1"/>
    </xf>
    <xf numFmtId="1" fontId="38" fillId="10" borderId="20" xfId="0" applyNumberFormat="1" applyFont="1" applyFill="1" applyBorder="1"/>
    <xf numFmtId="1" fontId="38" fillId="10" borderId="22" xfId="0" applyNumberFormat="1" applyFont="1" applyFill="1" applyBorder="1"/>
    <xf numFmtId="1" fontId="38" fillId="12" borderId="22" xfId="0" applyNumberFormat="1" applyFont="1" applyFill="1" applyBorder="1"/>
    <xf numFmtId="1" fontId="38" fillId="13" borderId="22" xfId="0" applyNumberFormat="1" applyFont="1" applyFill="1" applyBorder="1"/>
    <xf numFmtId="1" fontId="38" fillId="13" borderId="24" xfId="0" applyNumberFormat="1" applyFont="1" applyFill="1" applyBorder="1"/>
    <xf numFmtId="1" fontId="38" fillId="16" borderId="22" xfId="4" applyNumberFormat="1" applyFont="1" applyFill="1" applyBorder="1" applyAlignment="1">
      <alignment horizontal="center"/>
    </xf>
    <xf numFmtId="1" fontId="38" fillId="14" borderId="22" xfId="4" applyNumberFormat="1" applyFont="1" applyFill="1" applyBorder="1" applyAlignment="1">
      <alignment horizontal="center"/>
    </xf>
    <xf numFmtId="0" fontId="38" fillId="16" borderId="22" xfId="0" applyFont="1" applyFill="1" applyBorder="1" applyAlignment="1">
      <alignment horizontal="center" vertical="center"/>
    </xf>
    <xf numFmtId="0" fontId="39" fillId="14" borderId="20" xfId="0" applyFont="1" applyFill="1" applyBorder="1" applyAlignment="1">
      <alignment horizontal="center" wrapText="1"/>
    </xf>
    <xf numFmtId="3" fontId="39" fillId="16" borderId="19" xfId="0" applyNumberFormat="1" applyFont="1" applyFill="1" applyBorder="1" applyAlignment="1">
      <alignment horizontal="center"/>
    </xf>
    <xf numFmtId="3" fontId="38" fillId="16" borderId="19" xfId="0" applyNumberFormat="1" applyFont="1" applyFill="1" applyBorder="1"/>
    <xf numFmtId="3" fontId="38" fillId="3" borderId="27" xfId="0" applyNumberFormat="1" applyFont="1" applyFill="1" applyBorder="1" applyAlignment="1" applyProtection="1">
      <alignment horizontal="center"/>
      <protection locked="0"/>
    </xf>
    <xf numFmtId="9" fontId="39" fillId="14" borderId="19" xfId="4" applyFont="1" applyFill="1" applyBorder="1" applyAlignment="1">
      <alignment horizontal="center" vertical="center" wrapText="1"/>
    </xf>
    <xf numFmtId="9" fontId="39" fillId="14" borderId="27" xfId="4" applyFont="1" applyFill="1" applyBorder="1" applyAlignment="1">
      <alignment horizontal="center" wrapText="1"/>
    </xf>
    <xf numFmtId="9" fontId="38" fillId="15" borderId="27" xfId="4" applyFont="1" applyFill="1" applyBorder="1" applyAlignment="1" applyProtection="1">
      <alignment horizontal="center"/>
    </xf>
    <xf numFmtId="9" fontId="39" fillId="16" borderId="19" xfId="4" applyFont="1" applyFill="1" applyBorder="1" applyAlignment="1">
      <alignment horizontal="center"/>
    </xf>
    <xf numFmtId="9" fontId="38" fillId="16" borderId="19" xfId="4" applyFont="1" applyFill="1" applyBorder="1"/>
    <xf numFmtId="9" fontId="38" fillId="19" borderId="28" xfId="4" applyFont="1" applyFill="1" applyBorder="1" applyAlignment="1" applyProtection="1">
      <alignment horizontal="right"/>
      <protection locked="0"/>
    </xf>
    <xf numFmtId="9" fontId="38" fillId="19" borderId="28" xfId="4" applyFont="1" applyFill="1" applyBorder="1" applyAlignment="1" applyProtection="1">
      <alignment horizontal="center"/>
      <protection locked="0"/>
    </xf>
    <xf numFmtId="0" fontId="38" fillId="3" borderId="0" xfId="0" quotePrefix="1" applyFont="1" applyFill="1" applyBorder="1" applyAlignment="1" applyProtection="1">
      <alignment horizontal="left" vertical="top" wrapText="1"/>
      <protection locked="0"/>
    </xf>
    <xf numFmtId="0" fontId="0" fillId="3" borderId="0" xfId="0" applyFill="1"/>
    <xf numFmtId="3" fontId="38" fillId="14" borderId="19" xfId="0" applyNumberFormat="1" applyFont="1" applyFill="1" applyBorder="1" applyAlignment="1">
      <alignment horizontal="center"/>
    </xf>
    <xf numFmtId="14" fontId="88" fillId="15" borderId="0" xfId="0" applyNumberFormat="1" applyFont="1" applyFill="1" applyAlignment="1" applyProtection="1">
      <alignment vertical="top"/>
      <protection locked="0"/>
    </xf>
    <xf numFmtId="0" fontId="89" fillId="0" borderId="0" xfId="0" applyFont="1" applyAlignment="1">
      <alignment vertical="top"/>
    </xf>
    <xf numFmtId="14" fontId="88" fillId="15" borderId="0" xfId="0" applyNumberFormat="1" applyFont="1" applyFill="1" applyAlignment="1" applyProtection="1">
      <alignment horizontal="right" vertical="top"/>
      <protection locked="0"/>
    </xf>
    <xf numFmtId="0" fontId="0" fillId="26" borderId="0" xfId="0" applyFill="1" applyBorder="1"/>
    <xf numFmtId="9" fontId="3" fillId="0" borderId="2" xfId="0" applyNumberFormat="1" applyFont="1" applyFill="1" applyBorder="1" applyAlignment="1">
      <alignment horizontal="left" vertical="center"/>
    </xf>
    <xf numFmtId="9" fontId="3" fillId="0" borderId="0" xfId="0" applyNumberFormat="1" applyFont="1" applyBorder="1" applyAlignment="1">
      <alignment horizontal="left" vertical="center"/>
    </xf>
    <xf numFmtId="167" fontId="13" fillId="0" borderId="0" xfId="4" applyNumberFormat="1" applyFont="1" applyBorder="1" applyAlignment="1">
      <alignment horizontal="left" vertical="center"/>
    </xf>
    <xf numFmtId="167" fontId="13" fillId="0" borderId="0" xfId="0" applyNumberFormat="1" applyFont="1" applyFill="1" applyBorder="1" applyAlignment="1">
      <alignment horizontal="left" vertical="center"/>
    </xf>
    <xf numFmtId="9" fontId="3" fillId="0" borderId="1" xfId="0" applyNumberFormat="1" applyFont="1" applyFill="1" applyBorder="1" applyAlignment="1">
      <alignment horizontal="left" vertical="center"/>
    </xf>
    <xf numFmtId="0" fontId="24" fillId="0" borderId="85" xfId="0" applyFont="1" applyBorder="1"/>
    <xf numFmtId="0" fontId="24" fillId="0" borderId="86" xfId="0" applyFont="1" applyBorder="1"/>
    <xf numFmtId="14" fontId="24" fillId="0" borderId="0" xfId="0" applyNumberFormat="1" applyFont="1" applyBorder="1" applyAlignment="1">
      <alignment horizontal="left" vertical="center"/>
    </xf>
    <xf numFmtId="0" fontId="39" fillId="23" borderId="19" xfId="0" applyFont="1" applyFill="1" applyBorder="1"/>
    <xf numFmtId="9" fontId="38" fillId="23" borderId="20" xfId="0" applyNumberFormat="1" applyFont="1" applyFill="1" applyBorder="1"/>
    <xf numFmtId="0" fontId="39" fillId="23" borderId="21" xfId="0" applyFont="1" applyFill="1" applyBorder="1"/>
    <xf numFmtId="9" fontId="38" fillId="23" borderId="22" xfId="0" applyNumberFormat="1" applyFont="1" applyFill="1" applyBorder="1"/>
    <xf numFmtId="167" fontId="38" fillId="16" borderId="22" xfId="0" applyNumberFormat="1" applyFont="1" applyFill="1" applyBorder="1" applyAlignment="1">
      <alignment horizontal="center"/>
    </xf>
    <xf numFmtId="9" fontId="38" fillId="14" borderId="22" xfId="0" applyNumberFormat="1" applyFont="1" applyFill="1" applyBorder="1" applyAlignment="1">
      <alignment horizontal="center"/>
    </xf>
    <xf numFmtId="0" fontId="70" fillId="0" borderId="0" xfId="0" applyFont="1"/>
    <xf numFmtId="0" fontId="39" fillId="14" borderId="19" xfId="0" applyFont="1" applyFill="1" applyBorder="1" applyAlignment="1">
      <alignment horizontal="center"/>
    </xf>
    <xf numFmtId="0" fontId="39" fillId="14" borderId="19" xfId="0" applyFont="1" applyFill="1" applyBorder="1" applyAlignment="1">
      <alignment horizontal="center" wrapText="1"/>
    </xf>
    <xf numFmtId="0" fontId="39" fillId="14" borderId="45" xfId="0" applyFont="1" applyFill="1" applyBorder="1" applyAlignment="1">
      <alignment horizontal="center"/>
    </xf>
    <xf numFmtId="9" fontId="38" fillId="14" borderId="27" xfId="0" applyNumberFormat="1" applyFont="1" applyFill="1" applyBorder="1" applyAlignment="1">
      <alignment horizontal="center"/>
    </xf>
    <xf numFmtId="9" fontId="38" fillId="14" borderId="20" xfId="0" applyNumberFormat="1" applyFont="1" applyFill="1" applyBorder="1" applyAlignment="1">
      <alignment horizontal="center"/>
    </xf>
    <xf numFmtId="1" fontId="39" fillId="14" borderId="19" xfId="0" applyNumberFormat="1" applyFont="1" applyFill="1" applyBorder="1" applyAlignment="1">
      <alignment horizontal="center"/>
    </xf>
    <xf numFmtId="1" fontId="38" fillId="14" borderId="21" xfId="0" applyNumberFormat="1" applyFont="1" applyFill="1" applyBorder="1" applyAlignment="1" applyProtection="1">
      <alignment horizontal="center"/>
    </xf>
    <xf numFmtId="1" fontId="39" fillId="14" borderId="19" xfId="0" applyNumberFormat="1" applyFont="1" applyFill="1" applyBorder="1" applyAlignment="1" applyProtection="1">
      <alignment horizontal="center"/>
    </xf>
    <xf numFmtId="0" fontId="39" fillId="14" borderId="0" xfId="0" applyFont="1" applyFill="1" applyBorder="1"/>
    <xf numFmtId="1" fontId="38" fillId="14" borderId="21" xfId="0" applyNumberFormat="1" applyFont="1" applyFill="1" applyBorder="1" applyAlignment="1" applyProtection="1">
      <alignment horizontal="center"/>
      <protection locked="0"/>
    </xf>
    <xf numFmtId="9" fontId="0" fillId="0" borderId="0" xfId="4" applyFont="1"/>
    <xf numFmtId="9" fontId="0" fillId="0" borderId="0" xfId="0" applyNumberFormat="1"/>
    <xf numFmtId="0" fontId="8" fillId="14" borderId="0" xfId="0" applyFont="1" applyFill="1"/>
    <xf numFmtId="0" fontId="0" fillId="14" borderId="0" xfId="0" applyFill="1"/>
    <xf numFmtId="9" fontId="0" fillId="14" borderId="0" xfId="4" applyFont="1" applyFill="1"/>
    <xf numFmtId="1" fontId="38" fillId="16" borderId="21" xfId="0" applyNumberFormat="1" applyFont="1" applyFill="1" applyBorder="1" applyAlignment="1" applyProtection="1">
      <alignment horizontal="center"/>
      <protection locked="0"/>
    </xf>
    <xf numFmtId="14" fontId="39" fillId="0" borderId="26" xfId="0" applyNumberFormat="1" applyFont="1" applyBorder="1"/>
    <xf numFmtId="0" fontId="3" fillId="0" borderId="0" xfId="0" applyFont="1" applyFill="1" applyBorder="1" applyAlignment="1">
      <alignment horizontal="left" vertical="center"/>
    </xf>
    <xf numFmtId="164" fontId="13" fillId="0" borderId="0" xfId="0" applyNumberFormat="1" applyFont="1" applyFill="1" applyBorder="1" applyAlignment="1">
      <alignment horizontal="left" vertical="center"/>
    </xf>
    <xf numFmtId="9" fontId="13" fillId="0" borderId="0" xfId="0" applyNumberFormat="1" applyFont="1" applyFill="1" applyBorder="1" applyAlignment="1">
      <alignment horizontal="left" vertical="center"/>
    </xf>
    <xf numFmtId="0" fontId="32" fillId="0" borderId="85" xfId="0" applyFont="1" applyBorder="1"/>
    <xf numFmtId="0" fontId="32" fillId="0" borderId="86" xfId="0" applyFont="1" applyBorder="1"/>
    <xf numFmtId="0" fontId="32" fillId="0" borderId="91" xfId="0" applyFont="1" applyBorder="1"/>
    <xf numFmtId="14" fontId="32" fillId="0" borderId="87" xfId="0" applyNumberFormat="1" applyFont="1" applyBorder="1" applyAlignment="1">
      <alignment vertical="top" wrapText="1"/>
    </xf>
    <xf numFmtId="0" fontId="0" fillId="0" borderId="89" xfId="0" applyBorder="1"/>
    <xf numFmtId="0" fontId="9" fillId="3" borderId="0" xfId="5" quotePrefix="1" applyFont="1" applyFill="1"/>
    <xf numFmtId="1" fontId="9" fillId="3" borderId="0" xfId="5" applyNumberFormat="1" applyFont="1" applyFill="1"/>
    <xf numFmtId="9" fontId="102" fillId="0" borderId="0" xfId="5" applyNumberFormat="1" applyFont="1"/>
    <xf numFmtId="0" fontId="9" fillId="3" borderId="0" xfId="5" applyFont="1" applyFill="1"/>
    <xf numFmtId="164" fontId="38" fillId="14" borderId="22" xfId="0" applyNumberFormat="1" applyFont="1" applyFill="1" applyBorder="1" applyAlignment="1">
      <alignment horizontal="center"/>
    </xf>
    <xf numFmtId="1" fontId="0" fillId="0" borderId="0" xfId="0" applyNumberFormat="1"/>
    <xf numFmtId="0" fontId="39" fillId="14" borderId="25" xfId="0" applyFont="1" applyFill="1" applyBorder="1" applyAlignment="1">
      <alignment horizontal="center"/>
    </xf>
    <xf numFmtId="0" fontId="39" fillId="14" borderId="69" xfId="0" applyFont="1" applyFill="1" applyBorder="1" applyAlignment="1">
      <alignment horizontal="center"/>
    </xf>
    <xf numFmtId="9" fontId="38" fillId="14" borderId="28" xfId="4" applyFont="1" applyFill="1" applyBorder="1" applyAlignment="1">
      <alignment horizontal="center"/>
    </xf>
    <xf numFmtId="164" fontId="38" fillId="14" borderId="28" xfId="4" applyNumberFormat="1" applyFont="1" applyFill="1" applyBorder="1" applyAlignment="1">
      <alignment horizontal="center"/>
    </xf>
    <xf numFmtId="14" fontId="38" fillId="15" borderId="0" xfId="0" applyNumberFormat="1" applyFont="1" applyFill="1" applyAlignment="1" applyProtection="1">
      <alignment vertical="top"/>
      <protection locked="0"/>
    </xf>
    <xf numFmtId="0" fontId="0" fillId="28" borderId="0" xfId="0" applyFill="1" applyBorder="1"/>
    <xf numFmtId="3" fontId="3" fillId="0" borderId="1" xfId="0" applyNumberFormat="1" applyFont="1" applyFill="1" applyBorder="1" applyAlignment="1">
      <alignment vertical="center"/>
    </xf>
    <xf numFmtId="3" fontId="3" fillId="0" borderId="0" xfId="0" applyNumberFormat="1" applyFont="1" applyFill="1" applyBorder="1" applyAlignment="1">
      <alignment vertical="center"/>
    </xf>
    <xf numFmtId="0" fontId="3" fillId="0" borderId="0" xfId="0" applyFont="1"/>
    <xf numFmtId="0" fontId="6" fillId="0" borderId="0" xfId="0" applyFont="1" applyAlignment="1">
      <alignment horizontal="center"/>
    </xf>
    <xf numFmtId="0" fontId="6" fillId="0" borderId="0" xfId="0" applyFont="1" applyFill="1" applyBorder="1" applyAlignment="1">
      <alignment horizontal="center" vertical="center"/>
    </xf>
    <xf numFmtId="0" fontId="22" fillId="0" borderId="0" xfId="0" applyFont="1"/>
    <xf numFmtId="9" fontId="104" fillId="0" borderId="0" xfId="4" applyFont="1" applyFill="1" applyBorder="1" applyAlignment="1">
      <alignment horizontal="center"/>
    </xf>
    <xf numFmtId="9" fontId="3" fillId="0" borderId="0" xfId="4" applyFont="1"/>
    <xf numFmtId="166" fontId="22" fillId="0" borderId="0" xfId="0" applyNumberFormat="1" applyFont="1" applyAlignment="1">
      <alignment horizontal="center"/>
    </xf>
    <xf numFmtId="166" fontId="22" fillId="3" borderId="0" xfId="0" applyNumberFormat="1" applyFont="1" applyFill="1" applyAlignment="1">
      <alignment horizontal="center"/>
    </xf>
    <xf numFmtId="9" fontId="1" fillId="0" borderId="0" xfId="4" applyFont="1"/>
    <xf numFmtId="164" fontId="104" fillId="0" borderId="0" xfId="4" applyNumberFormat="1" applyFont="1" applyFill="1" applyBorder="1" applyAlignment="1">
      <alignment horizontal="center"/>
    </xf>
    <xf numFmtId="9" fontId="3" fillId="0" borderId="0" xfId="4" applyFont="1" applyBorder="1"/>
    <xf numFmtId="0" fontId="0" fillId="0" borderId="0" xfId="0" applyAlignment="1">
      <alignment horizontal="left"/>
    </xf>
    <xf numFmtId="0" fontId="106" fillId="0" borderId="45" xfId="0" applyFont="1" applyFill="1" applyBorder="1" applyAlignment="1"/>
    <xf numFmtId="0" fontId="106" fillId="0" borderId="0" xfId="0" applyFont="1" applyFill="1" applyBorder="1" applyAlignment="1"/>
    <xf numFmtId="0" fontId="66" fillId="28" borderId="96" xfId="0" applyFont="1" applyFill="1" applyBorder="1"/>
    <xf numFmtId="0" fontId="79" fillId="14" borderId="20" xfId="0" applyFont="1" applyFill="1" applyBorder="1" applyAlignment="1" applyProtection="1">
      <alignment horizontal="center"/>
      <protection locked="0"/>
    </xf>
    <xf numFmtId="0" fontId="39" fillId="14" borderId="19" xfId="0" applyFont="1" applyFill="1" applyBorder="1" applyAlignment="1">
      <alignment wrapText="1"/>
    </xf>
    <xf numFmtId="0" fontId="39" fillId="14" borderId="21" xfId="0" applyFont="1" applyFill="1" applyBorder="1" applyProtection="1">
      <protection locked="0"/>
    </xf>
    <xf numFmtId="0" fontId="8" fillId="0" borderId="0" xfId="0" applyFont="1" applyProtection="1">
      <protection locked="0"/>
    </xf>
    <xf numFmtId="0" fontId="0" fillId="0" borderId="0" xfId="0" applyProtection="1">
      <protection locked="0"/>
    </xf>
    <xf numFmtId="0" fontId="38" fillId="14" borderId="28" xfId="0" applyFont="1" applyFill="1" applyBorder="1" applyAlignment="1" applyProtection="1">
      <alignment horizontal="center"/>
    </xf>
    <xf numFmtId="1" fontId="38" fillId="14" borderId="28" xfId="0" applyNumberFormat="1" applyFont="1" applyFill="1" applyBorder="1" applyAlignment="1" applyProtection="1">
      <alignment horizontal="center"/>
    </xf>
    <xf numFmtId="1" fontId="38" fillId="14" borderId="28" xfId="0" applyNumberFormat="1" applyFont="1" applyFill="1" applyBorder="1" applyAlignment="1">
      <alignment horizontal="center"/>
    </xf>
    <xf numFmtId="9" fontId="8" fillId="0" borderId="0" xfId="0" applyNumberFormat="1" applyFont="1"/>
    <xf numFmtId="1" fontId="38" fillId="14" borderId="21" xfId="0" applyNumberFormat="1" applyFont="1" applyFill="1" applyBorder="1"/>
    <xf numFmtId="0" fontId="38" fillId="14" borderId="21" xfId="0" applyFont="1" applyFill="1" applyBorder="1"/>
    <xf numFmtId="1" fontId="38" fillId="14" borderId="19" xfId="0" applyNumberFormat="1" applyFont="1" applyFill="1" applyBorder="1"/>
    <xf numFmtId="3" fontId="38" fillId="15" borderId="19" xfId="0" applyNumberFormat="1" applyFont="1" applyFill="1" applyBorder="1"/>
    <xf numFmtId="1" fontId="38" fillId="14" borderId="25" xfId="0" applyNumberFormat="1" applyFont="1" applyFill="1" applyBorder="1"/>
    <xf numFmtId="0" fontId="38" fillId="14" borderId="25" xfId="0" applyFont="1" applyFill="1" applyBorder="1"/>
    <xf numFmtId="3" fontId="38" fillId="14" borderId="69" xfId="0" applyNumberFormat="1" applyFont="1" applyFill="1" applyBorder="1" applyAlignment="1" applyProtection="1">
      <alignment horizontal="center"/>
      <protection locked="0"/>
    </xf>
    <xf numFmtId="0" fontId="6" fillId="0" borderId="0" xfId="0" applyFont="1"/>
    <xf numFmtId="0" fontId="109" fillId="0" borderId="0" xfId="0" applyFont="1"/>
    <xf numFmtId="0" fontId="0" fillId="0" borderId="0" xfId="0" applyNumberFormat="1"/>
    <xf numFmtId="0" fontId="110" fillId="0" borderId="0" xfId="0" applyFont="1" applyAlignment="1">
      <alignment horizontal="left" indent="4"/>
    </xf>
    <xf numFmtId="0" fontId="111" fillId="0" borderId="0" xfId="0" applyFont="1"/>
    <xf numFmtId="14" fontId="38" fillId="15" borderId="0" xfId="0" quotePrefix="1" applyNumberFormat="1" applyFont="1" applyFill="1" applyAlignment="1" applyProtection="1">
      <alignment vertical="top"/>
      <protection locked="0"/>
    </xf>
    <xf numFmtId="0" fontId="0" fillId="29" borderId="0" xfId="0" applyFill="1" applyBorder="1"/>
    <xf numFmtId="10" fontId="3" fillId="0" borderId="4" xfId="0" applyNumberFormat="1" applyFont="1" applyFill="1" applyBorder="1" applyAlignment="1">
      <alignment vertical="top"/>
    </xf>
    <xf numFmtId="164" fontId="13" fillId="0" borderId="102" xfId="0" applyNumberFormat="1" applyFont="1" applyFill="1" applyBorder="1" applyAlignment="1">
      <alignment horizontal="left" vertical="top"/>
    </xf>
    <xf numFmtId="0" fontId="3" fillId="0" borderId="4" xfId="0" applyFont="1" applyFill="1" applyBorder="1" applyAlignment="1">
      <alignment vertical="top"/>
    </xf>
    <xf numFmtId="0" fontId="3" fillId="0" borderId="102" xfId="0" applyFont="1" applyBorder="1" applyAlignment="1">
      <alignment vertical="top"/>
    </xf>
    <xf numFmtId="0" fontId="13" fillId="0" borderId="103" xfId="0" applyFont="1" applyFill="1" applyBorder="1" applyAlignment="1">
      <alignment vertical="center"/>
    </xf>
    <xf numFmtId="0" fontId="3" fillId="0" borderId="4" xfId="0" applyFont="1" applyFill="1" applyBorder="1" applyAlignment="1">
      <alignment vertical="center"/>
    </xf>
    <xf numFmtId="9" fontId="13" fillId="0" borderId="102" xfId="0" applyNumberFormat="1" applyFont="1" applyFill="1" applyBorder="1" applyAlignment="1">
      <alignment horizontal="left" vertical="center"/>
    </xf>
    <xf numFmtId="0" fontId="3" fillId="0" borderId="102" xfId="0" applyFont="1" applyBorder="1" applyAlignment="1">
      <alignment vertical="center"/>
    </xf>
    <xf numFmtId="0" fontId="112" fillId="0" borderId="0" xfId="0" applyFont="1" applyFill="1" applyBorder="1" applyAlignment="1">
      <alignment horizontal="left" vertical="top" wrapText="1"/>
    </xf>
    <xf numFmtId="0" fontId="5" fillId="0" borderId="0" xfId="0" applyFont="1"/>
    <xf numFmtId="0" fontId="32" fillId="0" borderId="104" xfId="0" applyFont="1" applyBorder="1"/>
    <xf numFmtId="0" fontId="32" fillId="0" borderId="105" xfId="0" applyFont="1" applyBorder="1"/>
    <xf numFmtId="0" fontId="32" fillId="0" borderId="106" xfId="0" applyFont="1" applyBorder="1"/>
    <xf numFmtId="14" fontId="32" fillId="0" borderId="107" xfId="0" applyNumberFormat="1" applyFont="1" applyBorder="1"/>
    <xf numFmtId="14" fontId="32" fillId="0" borderId="109" xfId="0" applyNumberFormat="1" applyFont="1" applyBorder="1"/>
    <xf numFmtId="10" fontId="38" fillId="14" borderId="22" xfId="0" applyNumberFormat="1" applyFont="1" applyFill="1" applyBorder="1" applyAlignment="1">
      <alignment horizontal="center"/>
    </xf>
    <xf numFmtId="0" fontId="39" fillId="14" borderId="0" xfId="0" applyFont="1" applyFill="1" applyBorder="1" applyAlignment="1">
      <alignment horizontal="center"/>
    </xf>
    <xf numFmtId="0" fontId="45" fillId="0" borderId="0" xfId="0" applyFont="1" applyFill="1" applyBorder="1" applyAlignment="1">
      <alignment horizontal="center"/>
    </xf>
    <xf numFmtId="10" fontId="38" fillId="14" borderId="0" xfId="0" applyNumberFormat="1" applyFont="1" applyFill="1" applyBorder="1" applyAlignment="1">
      <alignment horizontal="center"/>
    </xf>
    <xf numFmtId="10" fontId="38" fillId="14" borderId="21" xfId="0" applyNumberFormat="1" applyFont="1" applyFill="1" applyBorder="1" applyAlignment="1" applyProtection="1">
      <alignment horizontal="center"/>
      <protection locked="0"/>
    </xf>
    <xf numFmtId="10" fontId="38" fillId="15" borderId="21" xfId="0" applyNumberFormat="1" applyFont="1" applyFill="1" applyBorder="1" applyAlignment="1" applyProtection="1">
      <alignment horizontal="center"/>
      <protection locked="0"/>
    </xf>
    <xf numFmtId="0" fontId="38" fillId="15" borderId="22" xfId="0" applyFont="1" applyFill="1" applyBorder="1" applyAlignment="1">
      <alignment horizontal="center" vertical="center"/>
    </xf>
    <xf numFmtId="0" fontId="43" fillId="0" borderId="0" xfId="0" applyFont="1" applyAlignment="1"/>
    <xf numFmtId="0" fontId="39" fillId="14" borderId="27" xfId="0" applyFont="1" applyFill="1" applyBorder="1" applyAlignment="1">
      <alignment horizontal="center" vertical="center"/>
    </xf>
    <xf numFmtId="0" fontId="39" fillId="0" borderId="20" xfId="0" applyFont="1" applyFill="1" applyBorder="1" applyAlignment="1">
      <alignment horizontal="center" vertical="center" wrapText="1"/>
    </xf>
    <xf numFmtId="0" fontId="39" fillId="14" borderId="21" xfId="0" applyFont="1" applyFill="1" applyBorder="1" applyAlignment="1">
      <alignment horizontal="center" vertical="center"/>
    </xf>
    <xf numFmtId="164" fontId="38" fillId="14" borderId="0" xfId="0" applyNumberFormat="1" applyFont="1" applyFill="1" applyBorder="1" applyAlignment="1" applyProtection="1">
      <alignment horizontal="center"/>
    </xf>
    <xf numFmtId="164" fontId="38" fillId="14" borderId="21" xfId="0" applyNumberFormat="1" applyFont="1" applyFill="1" applyBorder="1" applyAlignment="1">
      <alignment horizontal="center" vertical="center"/>
    </xf>
    <xf numFmtId="0" fontId="39" fillId="14" borderId="21" xfId="0" applyFont="1" applyFill="1" applyBorder="1" applyAlignment="1">
      <alignment horizontal="center"/>
    </xf>
    <xf numFmtId="164" fontId="38" fillId="15" borderId="21" xfId="0" applyNumberFormat="1" applyFont="1" applyFill="1" applyBorder="1" applyAlignment="1">
      <alignment horizontal="center" vertical="center"/>
    </xf>
    <xf numFmtId="164" fontId="38" fillId="0" borderId="0" xfId="0" applyNumberFormat="1" applyFont="1" applyFill="1" applyBorder="1" applyAlignment="1">
      <alignment horizontal="center"/>
    </xf>
    <xf numFmtId="10" fontId="38" fillId="14" borderId="19" xfId="0" applyNumberFormat="1" applyFont="1" applyFill="1" applyBorder="1" applyAlignment="1">
      <alignment horizontal="center"/>
    </xf>
    <xf numFmtId="9" fontId="38" fillId="14" borderId="21" xfId="0" applyNumberFormat="1" applyFont="1" applyFill="1" applyBorder="1" applyAlignment="1" applyProtection="1">
      <alignment horizontal="center"/>
    </xf>
    <xf numFmtId="10" fontId="38" fillId="15" borderId="19" xfId="0" applyNumberFormat="1" applyFont="1" applyFill="1" applyBorder="1" applyAlignment="1">
      <alignment horizontal="center"/>
    </xf>
    <xf numFmtId="1" fontId="38" fillId="15" borderId="21" xfId="0" applyNumberFormat="1" applyFont="1" applyFill="1" applyBorder="1" applyAlignment="1" applyProtection="1">
      <alignment horizontal="center"/>
    </xf>
    <xf numFmtId="10" fontId="8" fillId="0" borderId="0" xfId="0" applyNumberFormat="1" applyFont="1"/>
    <xf numFmtId="0" fontId="39" fillId="0" borderId="20" xfId="0" applyFont="1" applyFill="1" applyBorder="1" applyAlignment="1">
      <alignment horizontal="center"/>
    </xf>
    <xf numFmtId="9" fontId="38" fillId="14" borderId="19" xfId="0" applyNumberFormat="1" applyFont="1" applyFill="1" applyBorder="1" applyAlignment="1">
      <alignment horizontal="center"/>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9" fontId="38" fillId="15" borderId="21" xfId="0" applyNumberFormat="1" applyFont="1" applyFill="1" applyBorder="1" applyAlignment="1" applyProtection="1">
      <alignment horizontal="center"/>
    </xf>
    <xf numFmtId="4" fontId="3" fillId="0" borderId="4" xfId="0" applyNumberFormat="1" applyFont="1" applyFill="1" applyBorder="1" applyAlignment="1">
      <alignment horizontal="left" vertical="center"/>
    </xf>
    <xf numFmtId="4" fontId="13" fillId="0" borderId="0" xfId="0" applyNumberFormat="1" applyFont="1" applyFill="1" applyBorder="1" applyAlignment="1">
      <alignment horizontal="left" vertical="center"/>
    </xf>
    <xf numFmtId="0" fontId="32" fillId="0" borderId="114" xfId="0" applyFont="1" applyBorder="1"/>
    <xf numFmtId="0" fontId="32" fillId="0" borderId="115" xfId="0" applyFont="1" applyBorder="1"/>
    <xf numFmtId="0" fontId="32" fillId="0" borderId="116" xfId="0" applyFont="1" applyBorder="1"/>
    <xf numFmtId="14" fontId="32" fillId="0" borderId="118" xfId="0" applyNumberFormat="1" applyFont="1" applyBorder="1" applyAlignment="1">
      <alignment vertical="center"/>
    </xf>
    <xf numFmtId="0" fontId="3" fillId="0" borderId="0" xfId="0" applyFont="1" applyAlignment="1"/>
    <xf numFmtId="17" fontId="38" fillId="15" borderId="20" xfId="0" applyNumberFormat="1" applyFont="1" applyFill="1" applyBorder="1" applyAlignment="1" applyProtection="1">
      <alignment horizontal="center"/>
      <protection locked="0"/>
    </xf>
    <xf numFmtId="4" fontId="38" fillId="14" borderId="22" xfId="0" applyNumberFormat="1" applyFont="1" applyFill="1" applyBorder="1" applyAlignment="1">
      <alignment horizontal="center"/>
    </xf>
    <xf numFmtId="0" fontId="39" fillId="14" borderId="19" xfId="0" applyFont="1" applyFill="1" applyBorder="1" applyAlignment="1" applyProtection="1">
      <alignment horizontal="left" vertical="center"/>
    </xf>
    <xf numFmtId="0" fontId="39" fillId="14" borderId="19" xfId="0" applyFont="1" applyFill="1" applyBorder="1" applyAlignment="1" applyProtection="1">
      <alignment horizontal="center" vertical="center" wrapText="1"/>
    </xf>
    <xf numFmtId="0" fontId="39" fillId="14" borderId="27" xfId="0" applyFont="1" applyFill="1" applyBorder="1" applyAlignment="1" applyProtection="1">
      <alignment horizontal="center" vertical="center" wrapText="1"/>
    </xf>
    <xf numFmtId="0" fontId="39" fillId="14" borderId="27" xfId="0" applyFont="1" applyFill="1" applyBorder="1" applyAlignment="1" applyProtection="1">
      <alignment horizontal="center" vertical="center"/>
    </xf>
    <xf numFmtId="0" fontId="39" fillId="14" borderId="20" xfId="0" applyFont="1" applyFill="1" applyBorder="1" applyAlignment="1" applyProtection="1">
      <alignment horizontal="center" vertical="center"/>
    </xf>
    <xf numFmtId="17" fontId="39" fillId="14" borderId="19" xfId="0" applyNumberFormat="1" applyFont="1" applyFill="1" applyBorder="1" applyProtection="1"/>
    <xf numFmtId="2" fontId="38" fillId="14" borderId="19" xfId="0" applyNumberFormat="1" applyFont="1" applyFill="1" applyBorder="1" applyAlignment="1" applyProtection="1">
      <alignment horizontal="center"/>
    </xf>
    <xf numFmtId="2" fontId="38" fillId="14" borderId="27" xfId="0" applyNumberFormat="1" applyFont="1" applyFill="1" applyBorder="1" applyAlignment="1" applyProtection="1">
      <alignment horizontal="center"/>
    </xf>
    <xf numFmtId="17" fontId="39" fillId="14" borderId="0" xfId="0" applyNumberFormat="1" applyFont="1" applyFill="1" applyBorder="1" applyProtection="1"/>
    <xf numFmtId="2" fontId="24" fillId="14" borderId="0" xfId="0" applyNumberFormat="1" applyFont="1" applyFill="1" applyBorder="1" applyAlignment="1" applyProtection="1">
      <alignment horizontal="center"/>
      <protection locked="0"/>
    </xf>
    <xf numFmtId="17" fontId="39" fillId="14" borderId="28" xfId="0" applyNumberFormat="1" applyFont="1" applyFill="1" applyBorder="1" applyAlignment="1" applyProtection="1">
      <alignment horizontal="right"/>
    </xf>
    <xf numFmtId="4" fontId="38" fillId="14" borderId="28" xfId="0" applyNumberFormat="1" applyFont="1" applyFill="1" applyBorder="1" applyAlignment="1" applyProtection="1">
      <alignment horizontal="center"/>
    </xf>
    <xf numFmtId="2" fontId="38" fillId="14" borderId="28" xfId="0" applyNumberFormat="1" applyFont="1" applyFill="1" applyBorder="1" applyAlignment="1" applyProtection="1">
      <alignment horizontal="center"/>
    </xf>
    <xf numFmtId="4" fontId="38" fillId="14" borderId="29" xfId="0" applyNumberFormat="1" applyFont="1" applyFill="1" applyBorder="1" applyAlignment="1" applyProtection="1">
      <alignment horizontal="center"/>
    </xf>
    <xf numFmtId="17" fontId="39" fillId="14" borderId="22" xfId="0" applyNumberFormat="1" applyFont="1" applyFill="1" applyBorder="1" applyAlignment="1" applyProtection="1">
      <alignment horizontal="right"/>
    </xf>
    <xf numFmtId="4" fontId="38" fillId="14" borderId="19" xfId="0" applyNumberFormat="1" applyFont="1" applyFill="1" applyBorder="1" applyAlignment="1" applyProtection="1">
      <alignment horizontal="center"/>
    </xf>
    <xf numFmtId="4" fontId="38" fillId="14" borderId="20" xfId="0" applyNumberFormat="1" applyFont="1" applyFill="1" applyBorder="1" applyAlignment="1" applyProtection="1">
      <alignment horizontal="center"/>
    </xf>
    <xf numFmtId="2" fontId="38" fillId="14" borderId="21" xfId="0" applyNumberFormat="1" applyFont="1" applyFill="1" applyBorder="1" applyAlignment="1" applyProtection="1">
      <alignment horizontal="center"/>
    </xf>
    <xf numFmtId="4" fontId="38" fillId="14" borderId="21" xfId="0" applyNumberFormat="1" applyFont="1" applyFill="1" applyBorder="1" applyAlignment="1" applyProtection="1">
      <alignment horizontal="center"/>
    </xf>
    <xf numFmtId="4" fontId="38" fillId="14" borderId="22" xfId="0" applyNumberFormat="1" applyFont="1" applyFill="1" applyBorder="1" applyAlignment="1" applyProtection="1">
      <alignment horizontal="center"/>
    </xf>
    <xf numFmtId="4" fontId="38" fillId="15" borderId="21" xfId="0" applyNumberFormat="1" applyFont="1" applyFill="1" applyBorder="1" applyAlignment="1" applyProtection="1">
      <alignment horizontal="center"/>
    </xf>
    <xf numFmtId="4" fontId="38" fillId="15" borderId="22" xfId="0" applyNumberFormat="1" applyFont="1" applyFill="1" applyBorder="1" applyAlignment="1" applyProtection="1">
      <alignment horizontal="center"/>
    </xf>
    <xf numFmtId="2" fontId="38" fillId="14" borderId="0" xfId="0" applyNumberFormat="1" applyFont="1" applyFill="1" applyBorder="1" applyAlignment="1" applyProtection="1">
      <alignment horizontal="center"/>
    </xf>
    <xf numFmtId="9" fontId="38" fillId="14" borderId="0" xfId="0" applyNumberFormat="1" applyFont="1" applyFill="1" applyBorder="1" applyAlignment="1" applyProtection="1">
      <alignment horizontal="center"/>
    </xf>
    <xf numFmtId="0" fontId="38" fillId="14" borderId="0" xfId="0" applyFont="1" applyFill="1" applyBorder="1" applyAlignment="1" applyProtection="1">
      <alignment horizontal="center" vertical="center"/>
    </xf>
    <xf numFmtId="0" fontId="39" fillId="14" borderId="25" xfId="0" applyFont="1" applyFill="1" applyBorder="1" applyAlignment="1" applyProtection="1">
      <alignment horizontal="center"/>
    </xf>
    <xf numFmtId="17" fontId="39" fillId="14" borderId="40" xfId="0" applyNumberFormat="1" applyFont="1" applyFill="1" applyBorder="1" applyProtection="1"/>
    <xf numFmtId="0" fontId="38" fillId="14" borderId="28" xfId="0" applyFont="1" applyFill="1" applyBorder="1" applyProtection="1"/>
    <xf numFmtId="2" fontId="38" fillId="14" borderId="28" xfId="0" applyNumberFormat="1" applyFont="1" applyFill="1" applyBorder="1" applyProtection="1"/>
    <xf numFmtId="0" fontId="38" fillId="15" borderId="28" xfId="0" applyFont="1" applyFill="1" applyBorder="1" applyProtection="1"/>
    <xf numFmtId="0" fontId="38" fillId="14" borderId="0" xfId="0" applyFont="1" applyFill="1" applyBorder="1" applyProtection="1"/>
    <xf numFmtId="2" fontId="38" fillId="14" borderId="0" xfId="0" applyNumberFormat="1" applyFont="1" applyFill="1" applyBorder="1" applyProtection="1"/>
    <xf numFmtId="17" fontId="39" fillId="0" borderId="0" xfId="0" applyNumberFormat="1" applyFont="1" applyFill="1" applyBorder="1" applyProtection="1"/>
    <xf numFmtId="168" fontId="38" fillId="0" borderId="0" xfId="0" applyNumberFormat="1" applyFont="1" applyFill="1" applyBorder="1" applyAlignment="1" applyProtection="1">
      <alignment horizontal="center"/>
      <protection locked="0"/>
    </xf>
    <xf numFmtId="2" fontId="8" fillId="0" borderId="0" xfId="0" applyNumberFormat="1" applyFont="1" applyFill="1" applyBorder="1"/>
    <xf numFmtId="0" fontId="3" fillId="0" borderId="0" xfId="0" applyFont="1" applyFill="1"/>
    <xf numFmtId="165" fontId="16" fillId="0" borderId="0" xfId="2" applyNumberFormat="1" applyFont="1" applyFill="1" applyBorder="1" applyAlignment="1">
      <alignment horizontal="left" vertical="center" wrapText="1"/>
    </xf>
    <xf numFmtId="0" fontId="28" fillId="3" borderId="0" xfId="1" applyFont="1" applyFill="1" applyBorder="1" applyAlignment="1">
      <alignment horizontal="center"/>
    </xf>
    <xf numFmtId="0" fontId="26" fillId="3" borderId="0" xfId="1" applyFont="1" applyFill="1" applyBorder="1" applyAlignment="1">
      <alignment horizontal="center"/>
    </xf>
    <xf numFmtId="0" fontId="25" fillId="3" borderId="0" xfId="1" applyFont="1" applyFill="1" applyBorder="1" applyAlignment="1">
      <alignment horizontal="center"/>
    </xf>
    <xf numFmtId="165" fontId="11" fillId="8" borderId="0" xfId="2" applyNumberFormat="1" applyFont="1" applyFill="1" applyBorder="1" applyAlignment="1">
      <alignment horizontal="left" vertical="center" wrapText="1"/>
    </xf>
    <xf numFmtId="165" fontId="11" fillId="5" borderId="0" xfId="2" applyNumberFormat="1" applyFont="1" applyFill="1" applyBorder="1" applyAlignment="1">
      <alignment horizontal="left" vertical="top" wrapText="1"/>
    </xf>
    <xf numFmtId="165" fontId="11" fillId="7" borderId="0" xfId="2" applyNumberFormat="1" applyFont="1" applyFill="1" applyBorder="1" applyAlignment="1">
      <alignment horizontal="left" vertical="top" wrapText="1"/>
    </xf>
    <xf numFmtId="165" fontId="16" fillId="3" borderId="0" xfId="2" applyNumberFormat="1" applyFont="1" applyFill="1" applyBorder="1" applyAlignment="1">
      <alignment horizontal="left" vertical="center" wrapText="1"/>
    </xf>
    <xf numFmtId="0" fontId="16" fillId="3" borderId="0" xfId="1" applyFont="1" applyFill="1" applyBorder="1" applyAlignment="1">
      <alignment vertical="center" wrapText="1"/>
    </xf>
    <xf numFmtId="0" fontId="16" fillId="3" borderId="0" xfId="1" applyFont="1" applyFill="1" applyBorder="1" applyAlignment="1">
      <alignment horizontal="left" vertical="center" wrapText="1"/>
    </xf>
    <xf numFmtId="165" fontId="11" fillId="6" borderId="0" xfId="2" applyNumberFormat="1" applyFont="1" applyFill="1" applyBorder="1" applyAlignment="1">
      <alignment horizontal="left" vertical="top" wrapText="1"/>
    </xf>
    <xf numFmtId="1" fontId="16" fillId="3" borderId="0" xfId="2" applyNumberFormat="1" applyFont="1" applyFill="1" applyBorder="1" applyAlignment="1">
      <alignment horizontal="left" vertical="center" wrapText="1"/>
    </xf>
    <xf numFmtId="165" fontId="8" fillId="3" borderId="0" xfId="2" applyNumberFormat="1" applyFont="1" applyFill="1" applyBorder="1" applyAlignment="1">
      <alignment horizontal="left" vertical="center" wrapText="1"/>
    </xf>
    <xf numFmtId="0" fontId="18" fillId="2" borderId="0" xfId="1" applyFont="1" applyFill="1" applyBorder="1" applyAlignment="1">
      <alignment horizontal="center" vertical="center"/>
    </xf>
    <xf numFmtId="0" fontId="12" fillId="3" borderId="0" xfId="1" applyFont="1" applyFill="1" applyBorder="1" applyAlignment="1">
      <alignment horizontal="left" vertical="center" wrapText="1"/>
    </xf>
    <xf numFmtId="165" fontId="11" fillId="4" borderId="0" xfId="2" applyNumberFormat="1" applyFont="1" applyFill="1" applyBorder="1" applyAlignment="1">
      <alignment horizontal="left" vertical="top" wrapText="1"/>
    </xf>
    <xf numFmtId="165" fontId="10" fillId="0" borderId="0" xfId="2" applyNumberFormat="1" applyFont="1" applyFill="1" applyBorder="1" applyAlignment="1">
      <alignment horizontal="left" vertical="top" wrapText="1"/>
    </xf>
    <xf numFmtId="0" fontId="32" fillId="0" borderId="0" xfId="0" applyNumberFormat="1" applyFont="1" applyFill="1" applyBorder="1" applyAlignment="1"/>
    <xf numFmtId="0" fontId="32" fillId="0" borderId="0" xfId="0" applyNumberFormat="1" applyFont="1" applyBorder="1" applyAlignment="1"/>
    <xf numFmtId="0" fontId="32" fillId="0" borderId="18" xfId="0" applyNumberFormat="1" applyFont="1" applyBorder="1" applyAlignment="1"/>
    <xf numFmtId="0" fontId="32" fillId="0" borderId="0" xfId="0" applyFont="1" applyFill="1" applyBorder="1" applyAlignment="1"/>
    <xf numFmtId="0" fontId="32" fillId="0" borderId="18" xfId="0" applyFont="1" applyFill="1" applyBorder="1" applyAlignment="1"/>
    <xf numFmtId="0" fontId="31" fillId="9" borderId="9" xfId="0" applyFont="1" applyFill="1" applyBorder="1" applyAlignment="1">
      <alignment horizontal="center" vertical="center" wrapText="1"/>
    </xf>
    <xf numFmtId="0" fontId="30" fillId="9" borderId="10"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0" fontId="32" fillId="0" borderId="49" xfId="0" applyNumberFormat="1" applyFont="1" applyFill="1" applyBorder="1" applyAlignment="1"/>
    <xf numFmtId="0" fontId="32" fillId="0" borderId="49" xfId="0" applyNumberFormat="1" applyFont="1" applyBorder="1" applyAlignment="1"/>
    <xf numFmtId="0" fontId="32" fillId="0" borderId="51" xfId="0" applyNumberFormat="1" applyFont="1" applyBorder="1" applyAlignment="1"/>
    <xf numFmtId="0" fontId="6" fillId="0" borderId="0" xfId="0" applyFont="1" applyFill="1" applyBorder="1" applyAlignment="1"/>
    <xf numFmtId="0" fontId="6" fillId="0" borderId="0" xfId="0" applyFont="1" applyFill="1" applyBorder="1" applyAlignment="1">
      <alignment horizontal="left" vertical="center"/>
    </xf>
    <xf numFmtId="3" fontId="6" fillId="0" borderId="0" xfId="0" applyNumberFormat="1" applyFont="1" applyFill="1" applyBorder="1" applyAlignment="1">
      <alignment horizontal="left" vertical="center"/>
    </xf>
    <xf numFmtId="0" fontId="31" fillId="9" borderId="0" xfId="0" applyFont="1" applyFill="1" applyBorder="1" applyAlignment="1">
      <alignment horizontal="center" vertical="center"/>
    </xf>
    <xf numFmtId="0" fontId="30" fillId="9" borderId="0" xfId="0" applyFont="1" applyFill="1" applyAlignment="1">
      <alignment horizontal="center" vertical="center"/>
    </xf>
    <xf numFmtId="0" fontId="32" fillId="0" borderId="0" xfId="0" applyFont="1" applyFill="1" applyBorder="1" applyAlignment="1">
      <alignment horizontal="left" vertical="top" wrapText="1"/>
    </xf>
    <xf numFmtId="0" fontId="32" fillId="0" borderId="8" xfId="0" applyFont="1" applyFill="1" applyBorder="1" applyAlignment="1">
      <alignment horizontal="left" vertical="top" wrapText="1"/>
    </xf>
    <xf numFmtId="0" fontId="32" fillId="0" borderId="0" xfId="0" applyFont="1" applyFill="1" applyBorder="1" applyAlignment="1" applyProtection="1">
      <alignment vertical="top" wrapText="1"/>
    </xf>
    <xf numFmtId="0" fontId="32" fillId="0" borderId="18" xfId="0" applyFont="1" applyFill="1" applyBorder="1" applyAlignment="1" applyProtection="1">
      <alignment vertical="top" wrapText="1"/>
    </xf>
    <xf numFmtId="0" fontId="32" fillId="0" borderId="0" xfId="0" applyFont="1" applyFill="1" applyBorder="1" applyAlignment="1" applyProtection="1">
      <alignment vertical="center" wrapText="1"/>
    </xf>
    <xf numFmtId="0" fontId="32" fillId="0" borderId="0" xfId="0" applyFont="1" applyBorder="1" applyAlignment="1" applyProtection="1">
      <alignment vertical="center" wrapText="1"/>
    </xf>
    <xf numFmtId="0" fontId="32" fillId="0" borderId="43" xfId="0" applyFont="1" applyBorder="1" applyAlignment="1" applyProtection="1">
      <alignment vertical="center" wrapText="1"/>
    </xf>
    <xf numFmtId="0" fontId="31" fillId="9" borderId="41" xfId="0" applyFont="1" applyFill="1" applyBorder="1" applyAlignment="1" applyProtection="1">
      <alignment horizontal="center" vertical="center"/>
    </xf>
    <xf numFmtId="0" fontId="31" fillId="9" borderId="11" xfId="0" applyFont="1" applyFill="1" applyBorder="1" applyAlignment="1" applyProtection="1">
      <alignment horizontal="center" vertical="center"/>
    </xf>
    <xf numFmtId="0" fontId="31" fillId="9" borderId="12" xfId="0" applyFont="1" applyFill="1" applyBorder="1" applyAlignment="1" applyProtection="1">
      <alignment horizontal="center" vertical="center"/>
    </xf>
    <xf numFmtId="0" fontId="31" fillId="9" borderId="34" xfId="0" applyFont="1" applyFill="1" applyBorder="1" applyAlignment="1">
      <alignment horizontal="center" vertical="center"/>
    </xf>
    <xf numFmtId="0" fontId="30" fillId="9" borderId="35" xfId="0" applyFont="1" applyFill="1" applyBorder="1" applyAlignment="1">
      <alignment horizontal="center" vertical="center"/>
    </xf>
    <xf numFmtId="0" fontId="31" fillId="9" borderId="35" xfId="0" applyFont="1" applyFill="1" applyBorder="1" applyAlignment="1">
      <alignment horizontal="center" vertical="center"/>
    </xf>
    <xf numFmtId="0" fontId="30" fillId="9" borderId="36" xfId="0" applyFont="1" applyFill="1" applyBorder="1" applyAlignment="1">
      <alignment horizontal="center" vertical="center"/>
    </xf>
    <xf numFmtId="0" fontId="33" fillId="3" borderId="0" xfId="0" applyFont="1" applyFill="1" applyBorder="1" applyAlignment="1" applyProtection="1">
      <alignment horizontal="center" vertical="center"/>
    </xf>
    <xf numFmtId="0" fontId="58" fillId="3" borderId="0" xfId="0" applyFont="1" applyFill="1" applyProtection="1"/>
    <xf numFmtId="0" fontId="58" fillId="3" borderId="25" xfId="0" applyFont="1" applyFill="1" applyBorder="1" applyProtection="1"/>
    <xf numFmtId="0" fontId="33" fillId="0" borderId="0"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1" fillId="9" borderId="0" xfId="0" applyFont="1" applyFill="1" applyBorder="1" applyAlignment="1">
      <alignment horizontal="center" vertical="center" wrapText="1"/>
    </xf>
    <xf numFmtId="0" fontId="30" fillId="9" borderId="0" xfId="0" applyFont="1" applyFill="1" applyAlignment="1">
      <alignment horizontal="center" vertical="center" wrapText="1"/>
    </xf>
    <xf numFmtId="0" fontId="0" fillId="9" borderId="0" xfId="0" applyFill="1" applyAlignment="1">
      <alignment horizontal="center" vertical="center" wrapText="1"/>
    </xf>
    <xf numFmtId="0" fontId="32" fillId="0" borderId="0" xfId="0" applyFont="1" applyAlignment="1" applyProtection="1">
      <alignment vertical="top" wrapText="1"/>
      <protection locked="0"/>
    </xf>
    <xf numFmtId="0" fontId="116" fillId="0" borderId="0" xfId="0" applyFont="1" applyAlignment="1" applyProtection="1">
      <alignment wrapText="1"/>
      <protection locked="0"/>
    </xf>
    <xf numFmtId="0" fontId="117" fillId="0" borderId="0" xfId="0" applyFont="1" applyAlignment="1" applyProtection="1">
      <alignment vertical="top" wrapText="1"/>
      <protection locked="0"/>
    </xf>
    <xf numFmtId="0" fontId="57" fillId="0" borderId="0" xfId="0" applyFont="1" applyAlignment="1" applyProtection="1">
      <alignment horizontal="center"/>
    </xf>
    <xf numFmtId="0" fontId="49" fillId="9" borderId="0" xfId="0" applyFont="1" applyFill="1" applyAlignment="1" applyProtection="1">
      <alignment horizontal="center"/>
    </xf>
    <xf numFmtId="0" fontId="13" fillId="0" borderId="0" xfId="0" applyFont="1" applyFill="1" applyBorder="1" applyAlignment="1">
      <alignment horizontal="left" vertical="center"/>
    </xf>
    <xf numFmtId="3" fontId="13" fillId="0" borderId="0" xfId="0" applyNumberFormat="1" applyFont="1" applyFill="1" applyBorder="1" applyAlignment="1">
      <alignment horizontal="left" vertical="center"/>
    </xf>
    <xf numFmtId="0" fontId="31" fillId="17" borderId="0" xfId="0" applyFont="1" applyFill="1" applyBorder="1" applyAlignment="1">
      <alignment horizontal="center" vertical="center"/>
    </xf>
    <xf numFmtId="0" fontId="30" fillId="17" borderId="0" xfId="0" applyFont="1" applyFill="1" applyAlignment="1">
      <alignment horizontal="center" vertical="center"/>
    </xf>
    <xf numFmtId="0" fontId="0" fillId="0" borderId="0" xfId="0" applyAlignment="1" applyProtection="1">
      <alignment wrapText="1"/>
    </xf>
    <xf numFmtId="0" fontId="0" fillId="0" borderId="0" xfId="0" applyAlignment="1" applyProtection="1"/>
    <xf numFmtId="0" fontId="38" fillId="15" borderId="0" xfId="0" applyFont="1" applyFill="1" applyAlignment="1" applyProtection="1">
      <alignment wrapText="1"/>
      <protection locked="0"/>
    </xf>
    <xf numFmtId="0" fontId="38" fillId="15" borderId="0" xfId="0" applyFont="1" applyFill="1" applyAlignment="1" applyProtection="1">
      <alignment vertical="top" wrapText="1"/>
      <protection locked="0"/>
    </xf>
    <xf numFmtId="0" fontId="71" fillId="15" borderId="0" xfId="0" applyFont="1" applyFill="1" applyAlignment="1" applyProtection="1">
      <protection locked="0"/>
    </xf>
    <xf numFmtId="0" fontId="71" fillId="0" borderId="0" xfId="0" applyFont="1" applyAlignment="1" applyProtection="1">
      <protection locked="0"/>
    </xf>
    <xf numFmtId="0" fontId="43" fillId="0" borderId="33" xfId="0" applyFont="1" applyBorder="1" applyAlignment="1" applyProtection="1">
      <alignment horizontal="center" wrapText="1"/>
    </xf>
    <xf numFmtId="2" fontId="8" fillId="0" borderId="26" xfId="0" applyNumberFormat="1" applyFont="1" applyBorder="1" applyAlignment="1" applyProtection="1">
      <alignment horizontal="center"/>
    </xf>
    <xf numFmtId="2" fontId="8" fillId="0" borderId="47" xfId="0" applyNumberFormat="1" applyFont="1" applyBorder="1" applyAlignment="1" applyProtection="1">
      <alignment horizontal="center"/>
    </xf>
    <xf numFmtId="0" fontId="8" fillId="0" borderId="0" xfId="0" applyFont="1" applyBorder="1" applyAlignment="1" applyProtection="1"/>
    <xf numFmtId="0" fontId="0" fillId="0" borderId="0" xfId="0" applyBorder="1" applyAlignment="1" applyProtection="1"/>
    <xf numFmtId="0" fontId="70" fillId="18" borderId="0" xfId="0" applyFont="1" applyFill="1" applyBorder="1" applyAlignment="1" applyProtection="1">
      <alignment vertical="top" wrapText="1"/>
    </xf>
    <xf numFmtId="0" fontId="42" fillId="18" borderId="0" xfId="0" applyFont="1" applyFill="1" applyBorder="1" applyAlignment="1" applyProtection="1">
      <alignment vertical="top"/>
    </xf>
    <xf numFmtId="0" fontId="2" fillId="0" borderId="0" xfId="0" applyFont="1" applyAlignment="1" applyProtection="1"/>
    <xf numFmtId="0" fontId="34" fillId="0" borderId="0" xfId="0" applyFont="1" applyAlignment="1" applyProtection="1"/>
    <xf numFmtId="0" fontId="35" fillId="0" borderId="0" xfId="0" applyFont="1" applyAlignment="1" applyProtection="1"/>
    <xf numFmtId="0" fontId="36" fillId="0" borderId="0" xfId="0" applyFont="1" applyAlignment="1" applyProtection="1"/>
    <xf numFmtId="0" fontId="37" fillId="0" borderId="0" xfId="0" applyFont="1" applyAlignment="1" applyProtection="1"/>
    <xf numFmtId="0" fontId="38" fillId="0" borderId="0" xfId="0" applyFont="1" applyAlignment="1" applyProtection="1">
      <alignment horizontal="left" vertical="top" wrapText="1"/>
    </xf>
    <xf numFmtId="0" fontId="24" fillId="11" borderId="0" xfId="0" applyFont="1" applyFill="1" applyAlignment="1" applyProtection="1">
      <alignment horizontal="left" vertical="top" wrapText="1"/>
    </xf>
    <xf numFmtId="0" fontId="42" fillId="11" borderId="0" xfId="0" applyFont="1" applyFill="1" applyAlignment="1" applyProtection="1">
      <alignment horizontal="left"/>
    </xf>
    <xf numFmtId="0" fontId="0" fillId="11" borderId="0" xfId="0" applyFill="1" applyAlignment="1" applyProtection="1"/>
    <xf numFmtId="0" fontId="42" fillId="11" borderId="0" xfId="0" applyFont="1" applyFill="1" applyAlignment="1" applyProtection="1"/>
    <xf numFmtId="0" fontId="72" fillId="0" borderId="0" xfId="0" applyFont="1" applyFill="1" applyBorder="1" applyAlignment="1"/>
    <xf numFmtId="0" fontId="72" fillId="0" borderId="0" xfId="0" applyFont="1" applyBorder="1" applyAlignment="1"/>
    <xf numFmtId="0" fontId="72" fillId="0" borderId="48" xfId="0" applyFont="1" applyFill="1" applyBorder="1" applyAlignment="1"/>
    <xf numFmtId="0" fontId="72" fillId="0" borderId="18" xfId="0" applyFont="1" applyFill="1" applyBorder="1" applyAlignment="1"/>
    <xf numFmtId="0" fontId="32" fillId="0" borderId="45" xfId="0" applyFont="1" applyFill="1" applyBorder="1" applyAlignment="1">
      <alignment horizontal="left" vertical="top" wrapText="1"/>
    </xf>
    <xf numFmtId="0" fontId="46" fillId="0" borderId="0" xfId="0" applyFont="1" applyFill="1" applyBorder="1" applyAlignment="1">
      <alignment horizontal="left"/>
    </xf>
    <xf numFmtId="0" fontId="46" fillId="0" borderId="45" xfId="0" applyFont="1" applyFill="1" applyBorder="1" applyAlignment="1">
      <alignment horizontal="left"/>
    </xf>
    <xf numFmtId="0" fontId="31" fillId="0" borderId="0" xfId="0" applyFont="1" applyFill="1" applyBorder="1" applyAlignment="1">
      <alignment horizontal="center" vertical="center"/>
    </xf>
    <xf numFmtId="0" fontId="30" fillId="0" borderId="0" xfId="0" applyFont="1" applyFill="1" applyAlignment="1">
      <alignment horizontal="center" vertical="center"/>
    </xf>
    <xf numFmtId="0" fontId="31" fillId="9" borderId="33" xfId="0" applyFont="1" applyFill="1" applyBorder="1" applyAlignment="1">
      <alignment horizontal="center" vertical="center"/>
    </xf>
    <xf numFmtId="0" fontId="72" fillId="0" borderId="49" xfId="0" applyFont="1" applyFill="1" applyBorder="1" applyAlignment="1"/>
    <xf numFmtId="0" fontId="72" fillId="0" borderId="49" xfId="0" applyFont="1" applyBorder="1" applyAlignment="1"/>
    <xf numFmtId="0" fontId="72" fillId="0" borderId="50" xfId="0" applyFont="1" applyFill="1" applyBorder="1" applyAlignment="1"/>
    <xf numFmtId="0" fontId="72" fillId="0" borderId="51" xfId="0" applyFont="1" applyFill="1" applyBorder="1" applyAlignment="1"/>
    <xf numFmtId="0" fontId="32" fillId="0" borderId="0" xfId="0" applyFont="1" applyFill="1" applyBorder="1" applyAlignment="1">
      <alignment vertical="top" wrapText="1"/>
    </xf>
    <xf numFmtId="0" fontId="32" fillId="0" borderId="48" xfId="0" applyFont="1" applyFill="1" applyBorder="1" applyAlignment="1">
      <alignment horizontal="left" vertical="top" wrapText="1"/>
    </xf>
    <xf numFmtId="0" fontId="32" fillId="0" borderId="18" xfId="0" applyFont="1" applyFill="1" applyBorder="1" applyAlignment="1">
      <alignment horizontal="left" vertical="top" wrapText="1"/>
    </xf>
    <xf numFmtId="0" fontId="38"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3" fontId="38" fillId="0" borderId="0" xfId="0" applyNumberFormat="1" applyFont="1" applyFill="1" applyBorder="1" applyAlignment="1" applyProtection="1">
      <alignment horizontal="center" vertical="center"/>
      <protection locked="0"/>
    </xf>
    <xf numFmtId="3" fontId="38" fillId="0" borderId="0" xfId="0" applyNumberFormat="1" applyFont="1" applyFill="1" applyBorder="1" applyAlignment="1">
      <alignment horizontal="center" vertical="center"/>
    </xf>
    <xf numFmtId="0" fontId="32" fillId="0" borderId="50" xfId="0" applyFont="1" applyFill="1" applyBorder="1" applyAlignment="1">
      <alignment horizontal="left" vertical="top" wrapText="1"/>
    </xf>
    <xf numFmtId="0" fontId="32" fillId="0" borderId="51" xfId="0" applyFont="1" applyFill="1" applyBorder="1" applyAlignment="1">
      <alignment horizontal="left" vertical="top" wrapText="1"/>
    </xf>
    <xf numFmtId="0" fontId="32" fillId="0" borderId="40" xfId="0" applyFont="1" applyFill="1" applyBorder="1" applyAlignment="1">
      <alignment horizontal="left" vertical="top" wrapText="1"/>
    </xf>
    <xf numFmtId="0" fontId="66"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0" fillId="0" borderId="0" xfId="0" applyFill="1" applyBorder="1" applyAlignment="1">
      <alignment vertical="center"/>
    </xf>
    <xf numFmtId="3" fontId="13" fillId="0" borderId="0" xfId="0" applyNumberFormat="1" applyFont="1" applyFill="1" applyBorder="1" applyAlignment="1">
      <alignment horizontal="left" vertical="center" indent="1"/>
    </xf>
    <xf numFmtId="0" fontId="32" fillId="0" borderId="64" xfId="0" applyFont="1" applyFill="1" applyBorder="1" applyAlignment="1"/>
    <xf numFmtId="0" fontId="32" fillId="0" borderId="66" xfId="0" applyFont="1" applyFill="1" applyBorder="1" applyAlignment="1"/>
    <xf numFmtId="0" fontId="32" fillId="0" borderId="67" xfId="0" applyFont="1" applyFill="1" applyBorder="1" applyAlignment="1"/>
    <xf numFmtId="0" fontId="32" fillId="0" borderId="68" xfId="0" applyFont="1" applyFill="1" applyBorder="1" applyAlignment="1"/>
    <xf numFmtId="0" fontId="32" fillId="0" borderId="65" xfId="0" applyFont="1" applyFill="1" applyBorder="1" applyAlignment="1"/>
    <xf numFmtId="0" fontId="32" fillId="0" borderId="61" xfId="0" applyFont="1" applyFill="1" applyBorder="1" applyAlignment="1">
      <alignment wrapText="1"/>
    </xf>
    <xf numFmtId="0" fontId="32" fillId="0" borderId="62" xfId="0" applyFont="1" applyBorder="1" applyAlignment="1">
      <alignment wrapText="1"/>
    </xf>
    <xf numFmtId="0" fontId="32" fillId="0" borderId="63" xfId="0" applyFont="1" applyBorder="1" applyAlignment="1">
      <alignment wrapText="1"/>
    </xf>
    <xf numFmtId="0" fontId="32" fillId="0" borderId="64" xfId="0" applyFont="1" applyFill="1" applyBorder="1" applyAlignment="1">
      <alignment vertical="top"/>
    </xf>
    <xf numFmtId="0" fontId="32" fillId="0" borderId="65" xfId="0" applyFont="1" applyFill="1" applyBorder="1" applyAlignment="1">
      <alignment vertical="top"/>
    </xf>
    <xf numFmtId="0" fontId="31" fillId="21" borderId="0" xfId="0" applyFont="1" applyFill="1" applyBorder="1" applyAlignment="1">
      <alignment horizontal="center" vertical="center"/>
    </xf>
    <xf numFmtId="0" fontId="30" fillId="21" borderId="0" xfId="0" applyFont="1" applyFill="1" applyAlignment="1">
      <alignment horizontal="center" vertical="center"/>
    </xf>
    <xf numFmtId="0" fontId="46" fillId="0" borderId="0" xfId="0" applyFont="1" applyAlignment="1">
      <alignment horizontal="left"/>
    </xf>
    <xf numFmtId="0" fontId="46" fillId="0" borderId="45" xfId="0" applyFont="1" applyBorder="1" applyAlignment="1">
      <alignment horizontal="left"/>
    </xf>
    <xf numFmtId="0" fontId="31" fillId="22" borderId="0" xfId="0" applyFont="1" applyFill="1" applyBorder="1" applyAlignment="1">
      <alignment horizontal="center" vertical="center"/>
    </xf>
    <xf numFmtId="0" fontId="30" fillId="22" borderId="0" xfId="0" applyFont="1" applyFill="1" applyAlignment="1">
      <alignment horizontal="center" vertical="center"/>
    </xf>
    <xf numFmtId="0" fontId="31" fillId="21" borderId="56" xfId="0" applyFont="1" applyFill="1" applyBorder="1" applyAlignment="1">
      <alignment horizontal="center" vertical="center" wrapText="1"/>
    </xf>
    <xf numFmtId="0" fontId="30" fillId="21" borderId="57" xfId="0" applyFont="1" applyFill="1" applyBorder="1" applyAlignment="1">
      <alignment horizontal="center" vertical="center" wrapText="1"/>
    </xf>
    <xf numFmtId="0" fontId="30" fillId="21" borderId="58" xfId="0" applyFont="1" applyFill="1" applyBorder="1" applyAlignment="1">
      <alignment horizontal="center" vertical="center" wrapText="1"/>
    </xf>
    <xf numFmtId="0" fontId="32" fillId="0" borderId="59" xfId="0" applyFont="1" applyBorder="1" applyAlignment="1">
      <alignment wrapText="1"/>
    </xf>
    <xf numFmtId="0" fontId="46" fillId="0" borderId="59" xfId="0" applyFont="1" applyBorder="1" applyAlignment="1">
      <alignment wrapText="1"/>
    </xf>
    <xf numFmtId="0" fontId="46" fillId="0" borderId="60" xfId="0" applyFont="1" applyBorder="1" applyAlignment="1">
      <alignment wrapText="1"/>
    </xf>
    <xf numFmtId="0" fontId="13" fillId="0" borderId="0" xfId="0" applyFont="1" applyFill="1" applyBorder="1" applyAlignment="1">
      <alignment horizontal="left" vertical="center" indent="2"/>
    </xf>
    <xf numFmtId="0" fontId="13" fillId="0" borderId="0" xfId="0" applyFont="1" applyFill="1" applyBorder="1" applyAlignment="1">
      <alignment horizontal="left" vertical="top" wrapText="1"/>
    </xf>
    <xf numFmtId="3" fontId="13" fillId="0" borderId="0" xfId="0" applyNumberFormat="1" applyFont="1" applyFill="1" applyBorder="1" applyAlignment="1">
      <alignment horizontal="left" vertical="center" indent="2"/>
    </xf>
    <xf numFmtId="0" fontId="88" fillId="15" borderId="0" xfId="0" applyFont="1" applyFill="1" applyAlignment="1" applyProtection="1">
      <protection locked="0"/>
    </xf>
    <xf numFmtId="0" fontId="0" fillId="0" borderId="0" xfId="0" applyAlignment="1">
      <alignment wrapText="1"/>
    </xf>
    <xf numFmtId="0" fontId="0" fillId="0" borderId="0" xfId="0" applyAlignment="1"/>
    <xf numFmtId="0" fontId="43" fillId="0" borderId="0" xfId="0" applyFont="1" applyAlignment="1"/>
    <xf numFmtId="0" fontId="8" fillId="0" borderId="0" xfId="0" applyFont="1" applyBorder="1" applyAlignment="1"/>
    <xf numFmtId="0" fontId="0" fillId="0" borderId="0" xfId="0" applyBorder="1" applyAlignment="1"/>
    <xf numFmtId="0" fontId="88" fillId="15" borderId="0" xfId="0" applyFont="1" applyFill="1" applyBorder="1" applyAlignment="1" applyProtection="1">
      <alignment vertical="top" wrapText="1"/>
      <protection locked="0"/>
    </xf>
    <xf numFmtId="0" fontId="89" fillId="15" borderId="0" xfId="0" applyFont="1" applyFill="1" applyBorder="1" applyAlignment="1" applyProtection="1">
      <alignment vertical="top"/>
      <protection locked="0"/>
    </xf>
    <xf numFmtId="0" fontId="2" fillId="0" borderId="0" xfId="0" applyFont="1" applyAlignment="1"/>
    <xf numFmtId="0" fontId="88" fillId="15" borderId="0" xfId="0" applyFont="1" applyFill="1" applyAlignment="1" applyProtection="1">
      <alignment wrapText="1"/>
      <protection locked="0"/>
    </xf>
    <xf numFmtId="0" fontId="34" fillId="0" borderId="0" xfId="0" applyFont="1" applyAlignment="1"/>
    <xf numFmtId="0" fontId="35" fillId="0" borderId="0" xfId="0" applyFont="1" applyAlignment="1"/>
    <xf numFmtId="0" fontId="36" fillId="0" borderId="0" xfId="0" applyFont="1" applyAlignment="1"/>
    <xf numFmtId="0" fontId="37" fillId="0" borderId="0" xfId="0" applyFont="1" applyAlignment="1"/>
    <xf numFmtId="0" fontId="38" fillId="0" borderId="0" xfId="0" applyFont="1" applyAlignment="1">
      <alignment horizontal="left" vertical="top" wrapText="1"/>
    </xf>
    <xf numFmtId="0" fontId="24" fillId="11" borderId="0" xfId="0" applyFont="1" applyFill="1" applyAlignment="1">
      <alignment horizontal="left" vertical="top" wrapText="1"/>
    </xf>
    <xf numFmtId="0" fontId="42" fillId="11" borderId="0" xfId="0" applyFont="1" applyFill="1" applyAlignment="1">
      <alignment horizontal="left"/>
    </xf>
    <xf numFmtId="0" fontId="0" fillId="11" borderId="0" xfId="0" applyFill="1" applyAlignment="1"/>
    <xf numFmtId="0" fontId="42" fillId="11" borderId="0" xfId="0" applyFont="1" applyFill="1" applyAlignment="1"/>
    <xf numFmtId="0" fontId="97" fillId="23" borderId="22" xfId="0" applyFont="1" applyFill="1" applyBorder="1" applyAlignment="1" applyProtection="1">
      <alignment horizontal="center" vertical="center" wrapText="1"/>
    </xf>
    <xf numFmtId="0" fontId="0" fillId="0" borderId="55" xfId="0" applyBorder="1" applyAlignment="1" applyProtection="1">
      <alignment horizontal="center" vertical="center" wrapText="1"/>
    </xf>
    <xf numFmtId="0" fontId="97" fillId="24" borderId="22" xfId="0"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97" fillId="14" borderId="45" xfId="0" applyFont="1" applyFill="1" applyBorder="1" applyAlignment="1" applyProtection="1">
      <alignment horizontal="center" vertical="center" wrapText="1"/>
    </xf>
    <xf numFmtId="0" fontId="98" fillId="0" borderId="0" xfId="0" applyFont="1" applyBorder="1" applyAlignment="1" applyProtection="1">
      <alignment horizontal="center" vertical="center" wrapText="1"/>
    </xf>
    <xf numFmtId="0" fontId="32" fillId="0" borderId="0" xfId="0" applyNumberFormat="1" applyFont="1" applyFill="1" applyBorder="1" applyAlignment="1">
      <alignment horizontal="left" vertical="top" wrapText="1"/>
    </xf>
    <xf numFmtId="0" fontId="32" fillId="0" borderId="81" xfId="0" applyNumberFormat="1" applyFont="1" applyFill="1" applyBorder="1" applyAlignment="1">
      <alignment horizontal="left" vertical="top" wrapText="1"/>
    </xf>
    <xf numFmtId="0" fontId="32" fillId="0" borderId="80" xfId="0" applyFont="1" applyFill="1" applyBorder="1" applyAlignment="1">
      <alignment horizontal="left" vertical="top" wrapText="1"/>
    </xf>
    <xf numFmtId="0" fontId="32" fillId="0" borderId="81" xfId="0" applyFont="1" applyFill="1" applyBorder="1" applyAlignment="1">
      <alignment horizontal="left" vertical="top" wrapText="1"/>
    </xf>
    <xf numFmtId="0" fontId="0" fillId="21" borderId="57" xfId="0" applyFill="1" applyBorder="1" applyAlignment="1">
      <alignment horizontal="center" vertical="center" wrapText="1"/>
    </xf>
    <xf numFmtId="0" fontId="0" fillId="21" borderId="58" xfId="0" applyFill="1" applyBorder="1" applyAlignment="1">
      <alignment horizontal="center" vertical="center" wrapText="1"/>
    </xf>
    <xf numFmtId="0" fontId="32" fillId="0" borderId="71" xfId="0" applyFont="1" applyFill="1" applyBorder="1" applyAlignment="1">
      <alignment horizontal="left" vertical="top" wrapText="1"/>
    </xf>
    <xf numFmtId="0" fontId="32" fillId="0" borderId="72" xfId="0" applyFont="1" applyFill="1" applyBorder="1" applyAlignment="1">
      <alignment horizontal="left" vertical="top" wrapText="1"/>
    </xf>
    <xf numFmtId="0" fontId="32" fillId="0" borderId="73" xfId="0" applyFont="1" applyFill="1" applyBorder="1" applyAlignment="1">
      <alignment horizontal="left" vertical="top" wrapText="1"/>
    </xf>
    <xf numFmtId="0" fontId="32" fillId="0" borderId="74" xfId="0" applyFont="1" applyFill="1" applyBorder="1" applyAlignment="1">
      <alignment horizontal="left" vertical="top" wrapText="1"/>
    </xf>
    <xf numFmtId="0" fontId="32" fillId="0" borderId="59" xfId="0" applyFont="1" applyBorder="1" applyAlignment="1">
      <alignment horizontal="left"/>
    </xf>
    <xf numFmtId="0" fontId="32" fillId="0" borderId="76" xfId="0" applyNumberFormat="1" applyFont="1" applyFill="1" applyBorder="1" applyAlignment="1">
      <alignment horizontal="left" vertical="top" wrapText="1"/>
    </xf>
    <xf numFmtId="0" fontId="32" fillId="0" borderId="77" xfId="0" applyNumberFormat="1" applyFont="1" applyFill="1" applyBorder="1" applyAlignment="1">
      <alignment horizontal="left" vertical="top" wrapText="1"/>
    </xf>
    <xf numFmtId="0" fontId="32" fillId="0" borderId="78" xfId="0" applyFont="1" applyFill="1" applyBorder="1" applyAlignment="1">
      <alignment horizontal="left" vertical="top" wrapText="1"/>
    </xf>
    <xf numFmtId="0" fontId="32" fillId="0" borderId="79" xfId="0" applyFont="1" applyFill="1" applyBorder="1" applyAlignment="1">
      <alignment horizontal="left" vertical="top" wrapText="1"/>
    </xf>
    <xf numFmtId="0" fontId="13" fillId="0" borderId="0" xfId="0" applyFont="1" applyFill="1" applyBorder="1" applyAlignment="1">
      <alignment horizontal="left"/>
    </xf>
    <xf numFmtId="164" fontId="13" fillId="0" borderId="0" xfId="4" applyNumberFormat="1" applyFont="1" applyFill="1" applyBorder="1" applyAlignment="1">
      <alignment horizontal="left" vertical="center" indent="2"/>
    </xf>
    <xf numFmtId="164" fontId="13" fillId="0" borderId="0" xfId="0" applyNumberFormat="1" applyFont="1" applyFill="1" applyBorder="1" applyAlignment="1">
      <alignment horizontal="left" vertical="center"/>
    </xf>
    <xf numFmtId="0" fontId="32" fillId="0" borderId="84" xfId="0" applyNumberFormat="1" applyFont="1" applyFill="1" applyBorder="1" applyAlignment="1">
      <alignment horizontal="left" vertical="top" wrapText="1"/>
    </xf>
    <xf numFmtId="0" fontId="32" fillId="0" borderId="79" xfId="0" applyNumberFormat="1" applyFont="1" applyFill="1" applyBorder="1" applyAlignment="1">
      <alignment horizontal="left" vertical="top" wrapText="1"/>
    </xf>
    <xf numFmtId="0" fontId="22" fillId="0" borderId="0" xfId="0" applyFont="1" applyFill="1" applyBorder="1" applyAlignment="1">
      <alignment vertical="top" wrapText="1"/>
    </xf>
    <xf numFmtId="3" fontId="13" fillId="0" borderId="0" xfId="0" applyNumberFormat="1" applyFont="1" applyFill="1" applyBorder="1" applyAlignment="1">
      <alignment horizontal="left" vertical="top"/>
    </xf>
    <xf numFmtId="0" fontId="22" fillId="0" borderId="83" xfId="0" applyFont="1" applyFill="1" applyBorder="1" applyAlignment="1">
      <alignment horizontal="left" vertical="top" wrapText="1"/>
    </xf>
    <xf numFmtId="0" fontId="22" fillId="0" borderId="0" xfId="0" applyFont="1" applyFill="1" applyBorder="1" applyAlignment="1">
      <alignment horizontal="left" vertical="top" wrapText="1"/>
    </xf>
    <xf numFmtId="9" fontId="13" fillId="0" borderId="0" xfId="0" applyNumberFormat="1" applyFont="1" applyFill="1" applyBorder="1" applyAlignment="1">
      <alignment horizontal="left" vertical="top"/>
    </xf>
    <xf numFmtId="0" fontId="31" fillId="21" borderId="0" xfId="0" applyFont="1" applyFill="1" applyBorder="1" applyAlignment="1">
      <alignment horizontal="center" vertical="center" wrapText="1"/>
    </xf>
    <xf numFmtId="0" fontId="31" fillId="21" borderId="56" xfId="0" applyFont="1" applyFill="1" applyBorder="1" applyAlignment="1">
      <alignment horizontal="center" vertical="center"/>
    </xf>
    <xf numFmtId="0" fontId="30" fillId="21" borderId="57" xfId="0" applyFont="1" applyFill="1" applyBorder="1" applyAlignment="1">
      <alignment horizontal="center" vertical="center"/>
    </xf>
    <xf numFmtId="0" fontId="31" fillId="21" borderId="57" xfId="0" applyFont="1" applyFill="1" applyBorder="1" applyAlignment="1">
      <alignment horizontal="center" vertical="center"/>
    </xf>
    <xf numFmtId="0" fontId="30" fillId="21" borderId="58" xfId="0" applyFont="1" applyFill="1" applyBorder="1" applyAlignment="1">
      <alignment horizontal="center" vertical="center"/>
    </xf>
    <xf numFmtId="0" fontId="24" fillId="0" borderId="0" xfId="0" applyFont="1" applyFill="1" applyBorder="1" applyAlignment="1">
      <alignment vertical="center" wrapText="1"/>
    </xf>
    <xf numFmtId="0" fontId="24" fillId="0" borderId="0" xfId="0" applyFont="1" applyBorder="1" applyAlignment="1">
      <alignment vertical="center" wrapText="1"/>
    </xf>
    <xf numFmtId="0" fontId="24" fillId="0" borderId="89" xfId="0" applyFont="1" applyFill="1" applyBorder="1" applyAlignment="1">
      <alignment vertical="center"/>
    </xf>
    <xf numFmtId="0" fontId="24" fillId="0" borderId="90" xfId="0" applyFont="1" applyFill="1" applyBorder="1" applyAlignment="1">
      <alignment vertical="center"/>
    </xf>
    <xf numFmtId="0" fontId="24" fillId="0" borderId="87" xfId="0" applyFont="1" applyFill="1" applyBorder="1" applyAlignment="1">
      <alignment vertical="center"/>
    </xf>
    <xf numFmtId="0" fontId="24" fillId="0" borderId="88" xfId="0" applyFont="1" applyFill="1" applyBorder="1" applyAlignment="1">
      <alignment vertical="center"/>
    </xf>
    <xf numFmtId="0" fontId="31" fillId="26" borderId="33" xfId="0" applyFont="1" applyFill="1" applyBorder="1" applyAlignment="1">
      <alignment horizontal="center" vertical="center"/>
    </xf>
    <xf numFmtId="9" fontId="13" fillId="0" borderId="0" xfId="0" applyNumberFormat="1" applyFont="1" applyFill="1" applyBorder="1" applyAlignment="1">
      <alignment horizontal="left" vertical="center"/>
    </xf>
    <xf numFmtId="0" fontId="31" fillId="26" borderId="0" xfId="0" applyFont="1" applyFill="1" applyBorder="1" applyAlignment="1">
      <alignment horizontal="center" vertical="center"/>
    </xf>
    <xf numFmtId="0" fontId="30" fillId="26" borderId="0" xfId="0" applyFont="1" applyFill="1" applyAlignment="1">
      <alignment horizontal="center" vertical="center"/>
    </xf>
    <xf numFmtId="9" fontId="32" fillId="0" borderId="45" xfId="0" applyNumberFormat="1" applyFont="1" applyFill="1" applyBorder="1" applyAlignment="1">
      <alignment horizontal="left" vertical="top" wrapText="1"/>
    </xf>
    <xf numFmtId="0" fontId="46" fillId="0" borderId="20" xfId="0" applyFont="1" applyBorder="1" applyAlignment="1">
      <alignment horizontal="left"/>
    </xf>
    <xf numFmtId="0" fontId="46" fillId="0" borderId="40" xfId="0" applyFont="1" applyBorder="1" applyAlignment="1">
      <alignment horizontal="left"/>
    </xf>
    <xf numFmtId="0" fontId="0" fillId="0" borderId="89" xfId="0" applyBorder="1" applyAlignment="1">
      <alignment horizontal="left"/>
    </xf>
    <xf numFmtId="0" fontId="0" fillId="0" borderId="0" xfId="0" applyBorder="1" applyAlignment="1">
      <alignment horizontal="left"/>
    </xf>
    <xf numFmtId="0" fontId="32" fillId="0" borderId="0" xfId="0" applyFont="1" applyBorder="1" applyAlignment="1">
      <alignment vertical="top" wrapText="1"/>
    </xf>
    <xf numFmtId="0" fontId="32" fillId="0" borderId="87" xfId="0" applyFont="1" applyFill="1" applyBorder="1" applyAlignment="1">
      <alignment wrapText="1"/>
    </xf>
    <xf numFmtId="0" fontId="32" fillId="0" borderId="92" xfId="0" applyFont="1" applyFill="1" applyBorder="1" applyAlignment="1">
      <alignment wrapText="1"/>
    </xf>
    <xf numFmtId="12" fontId="32" fillId="0" borderId="0" xfId="0" applyNumberFormat="1" applyFont="1" applyFill="1" applyBorder="1" applyAlignment="1">
      <alignment horizontal="left" vertical="top" wrapText="1"/>
    </xf>
    <xf numFmtId="0" fontId="32" fillId="0" borderId="45" xfId="0" applyFont="1" applyFill="1" applyBorder="1" applyAlignment="1">
      <alignment horizontal="justify" vertical="top" wrapText="1"/>
    </xf>
    <xf numFmtId="0" fontId="32" fillId="0" borderId="0" xfId="0" applyFont="1" applyFill="1" applyBorder="1" applyAlignment="1">
      <alignment horizontal="justify" vertical="top" wrapText="1"/>
    </xf>
    <xf numFmtId="0" fontId="32" fillId="0" borderId="100" xfId="0" applyFont="1" applyFill="1" applyBorder="1" applyAlignment="1">
      <alignment horizontal="justify" vertical="top" wrapText="1"/>
    </xf>
    <xf numFmtId="0" fontId="32" fillId="0" borderId="101" xfId="0" applyFont="1" applyFill="1" applyBorder="1" applyAlignment="1">
      <alignment horizontal="justify" vertical="top" wrapText="1"/>
    </xf>
    <xf numFmtId="0" fontId="105" fillId="0" borderId="0" xfId="0" applyFont="1" applyAlignment="1">
      <alignment vertical="top" wrapText="1"/>
    </xf>
    <xf numFmtId="0" fontId="107" fillId="28" borderId="93" xfId="0" applyFont="1" applyFill="1" applyBorder="1" applyAlignment="1">
      <alignment horizontal="left" vertical="center"/>
    </xf>
    <xf numFmtId="0" fontId="107" fillId="28" borderId="94" xfId="0" applyFont="1" applyFill="1" applyBorder="1" applyAlignment="1">
      <alignment horizontal="left" vertical="center"/>
    </xf>
    <xf numFmtId="0" fontId="107" fillId="28" borderId="95" xfId="0" applyFont="1" applyFill="1" applyBorder="1" applyAlignment="1">
      <alignment horizontal="left" vertical="center"/>
    </xf>
    <xf numFmtId="0" fontId="66" fillId="28" borderId="93" xfId="0" applyFont="1" applyFill="1" applyBorder="1" applyAlignment="1">
      <alignment horizontal="left"/>
    </xf>
    <xf numFmtId="0" fontId="66" fillId="28" borderId="95" xfId="0" applyFont="1" applyFill="1" applyBorder="1" applyAlignment="1">
      <alignment horizontal="left"/>
    </xf>
    <xf numFmtId="0" fontId="32" fillId="0" borderId="97" xfId="0" applyFont="1" applyFill="1" applyBorder="1" applyAlignment="1">
      <alignment horizontal="justify" vertical="top" wrapText="1"/>
    </xf>
    <xf numFmtId="0" fontId="32" fillId="0" borderId="98" xfId="0" applyFont="1" applyFill="1" applyBorder="1" applyAlignment="1">
      <alignment horizontal="justify" vertical="top" wrapText="1"/>
    </xf>
    <xf numFmtId="0" fontId="32" fillId="0" borderId="99" xfId="0" applyFont="1" applyFill="1" applyBorder="1" applyAlignment="1">
      <alignment horizontal="justify" vertical="top" wrapText="1"/>
    </xf>
    <xf numFmtId="0" fontId="31" fillId="28" borderId="0" xfId="0" applyFont="1" applyFill="1" applyBorder="1" applyAlignment="1">
      <alignment horizontal="center" vertical="center"/>
    </xf>
    <xf numFmtId="0" fontId="30" fillId="28" borderId="0" xfId="0" applyFont="1" applyFill="1" applyAlignment="1">
      <alignment horizontal="center" vertical="center"/>
    </xf>
    <xf numFmtId="0" fontId="32" fillId="0" borderId="0" xfId="0" applyFont="1" applyBorder="1" applyAlignment="1"/>
    <xf numFmtId="0" fontId="32" fillId="0" borderId="109" xfId="0" applyFont="1" applyFill="1" applyBorder="1" applyAlignment="1"/>
    <xf numFmtId="0" fontId="32" fillId="0" borderId="110" xfId="0" applyFont="1" applyFill="1" applyBorder="1" applyAlignment="1"/>
    <xf numFmtId="0" fontId="31" fillId="29" borderId="0" xfId="0" applyFont="1" applyFill="1" applyBorder="1" applyAlignment="1">
      <alignment horizontal="center" vertical="center"/>
    </xf>
    <xf numFmtId="0" fontId="30" fillId="29" borderId="0" xfId="0" applyFont="1" applyFill="1" applyAlignment="1">
      <alignment horizontal="center" vertical="center"/>
    </xf>
    <xf numFmtId="0" fontId="31" fillId="29" borderId="33" xfId="0" applyFont="1" applyFill="1" applyBorder="1" applyAlignment="1">
      <alignment horizontal="center" vertical="center"/>
    </xf>
    <xf numFmtId="0" fontId="32" fillId="0" borderId="107" xfId="0" applyFont="1" applyFill="1" applyBorder="1" applyAlignment="1"/>
    <xf numFmtId="0" fontId="32" fillId="0" borderId="108" xfId="0" applyFont="1" applyFill="1" applyBorder="1" applyAlignment="1"/>
    <xf numFmtId="0" fontId="6" fillId="0" borderId="0" xfId="0" applyFont="1" applyFill="1" applyBorder="1" applyAlignment="1">
      <alignment vertical="top" wrapText="1"/>
    </xf>
    <xf numFmtId="0" fontId="6" fillId="0" borderId="102" xfId="0" applyFont="1" applyFill="1" applyBorder="1" applyAlignment="1">
      <alignment vertical="top" wrapText="1"/>
    </xf>
    <xf numFmtId="0" fontId="13" fillId="0" borderId="0" xfId="0" applyFont="1" applyFill="1" applyBorder="1" applyAlignment="1">
      <alignment vertical="center"/>
    </xf>
    <xf numFmtId="0" fontId="13" fillId="0" borderId="0" xfId="0" applyFont="1" applyFill="1" applyBorder="1" applyAlignment="1"/>
    <xf numFmtId="164" fontId="13" fillId="0" borderId="102" xfId="0" applyNumberFormat="1" applyFont="1" applyFill="1" applyBorder="1" applyAlignment="1">
      <alignment horizontal="left" vertical="top"/>
    </xf>
    <xf numFmtId="0" fontId="6" fillId="0" borderId="103" xfId="0" applyFont="1" applyFill="1" applyBorder="1" applyAlignment="1">
      <alignment vertical="center" wrapText="1"/>
    </xf>
    <xf numFmtId="0" fontId="6" fillId="0" borderId="102" xfId="0" applyFont="1" applyFill="1" applyBorder="1" applyAlignment="1">
      <alignment vertical="center" wrapText="1"/>
    </xf>
    <xf numFmtId="0" fontId="13" fillId="0" borderId="103" xfId="0" applyFont="1" applyFill="1" applyBorder="1" applyAlignment="1">
      <alignment vertical="center"/>
    </xf>
    <xf numFmtId="9" fontId="13" fillId="0" borderId="102" xfId="0" applyNumberFormat="1" applyFont="1" applyFill="1" applyBorder="1" applyAlignment="1">
      <alignment horizontal="left" vertical="top"/>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117" xfId="0" applyFont="1" applyBorder="1" applyAlignment="1">
      <alignment vertical="center"/>
    </xf>
    <xf numFmtId="0" fontId="32" fillId="0" borderId="0" xfId="0" applyFont="1" applyFill="1" applyBorder="1" applyAlignment="1">
      <alignment vertical="center" wrapText="1"/>
    </xf>
    <xf numFmtId="2" fontId="13" fillId="0" borderId="0" xfId="0" applyNumberFormat="1" applyFont="1" applyFill="1" applyBorder="1" applyAlignment="1">
      <alignment horizontal="left" vertical="top"/>
    </xf>
    <xf numFmtId="0" fontId="31" fillId="29" borderId="111" xfId="0" applyFont="1" applyFill="1" applyBorder="1" applyAlignment="1">
      <alignment horizontal="center" vertical="center"/>
    </xf>
    <xf numFmtId="0" fontId="31" fillId="29" borderId="112" xfId="0" applyFont="1" applyFill="1" applyBorder="1" applyAlignment="1">
      <alignment horizontal="center" vertical="center"/>
    </xf>
    <xf numFmtId="0" fontId="31" fillId="29" borderId="113" xfId="0" applyFont="1" applyFill="1" applyBorder="1" applyAlignment="1">
      <alignment horizontal="center" vertical="center"/>
    </xf>
    <xf numFmtId="0" fontId="38" fillId="15" borderId="0" xfId="0" applyFont="1" applyFill="1" applyAlignment="1" applyProtection="1">
      <protection locked="0"/>
    </xf>
    <xf numFmtId="0" fontId="0" fillId="0" borderId="0" xfId="0" applyAlignment="1">
      <alignment vertical="top" wrapText="1"/>
    </xf>
    <xf numFmtId="0" fontId="8" fillId="0" borderId="0" xfId="0" applyFont="1" applyAlignment="1"/>
    <xf numFmtId="0" fontId="38" fillId="15" borderId="0" xfId="0" applyFont="1" applyFill="1" applyAlignment="1" applyProtection="1">
      <alignment vertical="center"/>
      <protection locked="0"/>
    </xf>
    <xf numFmtId="0" fontId="38" fillId="15" borderId="0" xfId="0" applyFont="1" applyFill="1" applyAlignment="1" applyProtection="1">
      <alignment vertical="center" wrapText="1"/>
      <protection locked="0"/>
    </xf>
    <xf numFmtId="0" fontId="38" fillId="0" borderId="0" xfId="0" applyFont="1" applyAlignment="1" applyProtection="1">
      <alignment vertical="center"/>
      <protection locked="0"/>
    </xf>
    <xf numFmtId="0" fontId="38" fillId="0" borderId="0" xfId="0" applyFont="1" applyAlignment="1" applyProtection="1">
      <protection locked="0"/>
    </xf>
    <xf numFmtId="0" fontId="8" fillId="0" borderId="0" xfId="0" applyFont="1" applyAlignment="1">
      <alignment wrapText="1"/>
    </xf>
    <xf numFmtId="0" fontId="39" fillId="0" borderId="0" xfId="0" applyFont="1" applyAlignment="1">
      <alignment horizontal="left" vertical="top" wrapText="1"/>
    </xf>
    <xf numFmtId="0" fontId="38" fillId="0" borderId="0" xfId="0" applyFont="1" applyAlignment="1" applyProtection="1">
      <alignment wrapText="1"/>
      <protection locked="0"/>
    </xf>
    <xf numFmtId="0" fontId="38" fillId="15" borderId="0" xfId="0" applyFont="1" applyFill="1" applyBorder="1" applyAlignment="1" applyProtection="1">
      <alignment vertical="top" wrapText="1"/>
      <protection locked="0"/>
    </xf>
    <xf numFmtId="0" fontId="38" fillId="15" borderId="0" xfId="0" applyFont="1" applyFill="1" applyBorder="1" applyAlignment="1" applyProtection="1">
      <alignment horizontal="justify" vertical="top" wrapText="1"/>
      <protection locked="0"/>
    </xf>
    <xf numFmtId="0" fontId="108" fillId="15" borderId="0" xfId="0" applyFont="1" applyFill="1" applyBorder="1" applyAlignment="1" applyProtection="1">
      <alignment vertical="top" wrapText="1"/>
      <protection locked="0"/>
    </xf>
    <xf numFmtId="0" fontId="8" fillId="0" borderId="0" xfId="0" applyNumberFormat="1" applyFont="1" applyAlignment="1">
      <alignment horizontal="left" wrapText="1"/>
    </xf>
    <xf numFmtId="0" fontId="38" fillId="15" borderId="0" xfId="0" applyFont="1" applyFill="1" applyAlignment="1" applyProtection="1">
      <alignment horizontal="left" wrapText="1"/>
      <protection locked="0"/>
    </xf>
    <xf numFmtId="0" fontId="38" fillId="0" borderId="0" xfId="0" applyFont="1" applyAlignment="1" applyProtection="1">
      <alignment vertical="top" wrapText="1"/>
      <protection locked="0"/>
    </xf>
    <xf numFmtId="0" fontId="81" fillId="0" borderId="0" xfId="0" applyFont="1" applyBorder="1" applyAlignment="1"/>
    <xf numFmtId="0" fontId="76" fillId="0" borderId="0" xfId="0" applyFont="1" applyAlignment="1">
      <alignment horizontal="left" vertical="top" wrapText="1"/>
    </xf>
    <xf numFmtId="0" fontId="88" fillId="15" borderId="0" xfId="0" applyFont="1" applyFill="1" applyAlignment="1" applyProtection="1">
      <alignment vertical="top"/>
      <protection locked="0"/>
    </xf>
    <xf numFmtId="12" fontId="88" fillId="27" borderId="0" xfId="0" applyNumberFormat="1" applyFont="1" applyFill="1" applyBorder="1" applyAlignment="1" applyProtection="1">
      <alignment vertical="top" wrapText="1"/>
      <protection locked="0"/>
    </xf>
    <xf numFmtId="12" fontId="103" fillId="27" borderId="0" xfId="0" applyNumberFormat="1" applyFont="1" applyFill="1" applyBorder="1" applyAlignment="1" applyProtection="1">
      <alignment vertical="top"/>
      <protection locked="0"/>
    </xf>
    <xf numFmtId="9" fontId="88" fillId="15" borderId="0" xfId="0" applyNumberFormat="1" applyFont="1" applyFill="1" applyBorder="1" applyAlignment="1" applyProtection="1">
      <alignment vertical="top" wrapText="1"/>
      <protection locked="0"/>
    </xf>
    <xf numFmtId="0" fontId="89" fillId="0" borderId="0" xfId="0" applyFont="1" applyAlignment="1">
      <alignment vertical="top" wrapText="1"/>
    </xf>
    <xf numFmtId="0" fontId="88" fillId="15" borderId="0" xfId="0" applyFont="1" applyFill="1" applyAlignment="1" applyProtection="1">
      <alignment vertical="top" wrapText="1"/>
      <protection locked="0"/>
    </xf>
    <xf numFmtId="0" fontId="88" fillId="0" borderId="0" xfId="0" applyFont="1" applyAlignment="1" applyProtection="1">
      <alignment vertical="top" wrapText="1"/>
      <protection locked="0"/>
    </xf>
    <xf numFmtId="0" fontId="38" fillId="15" borderId="0" xfId="0" applyFont="1" applyFill="1" applyAlignment="1" applyProtection="1">
      <alignment horizontal="left" vertical="top" wrapText="1"/>
      <protection locked="0"/>
    </xf>
    <xf numFmtId="0" fontId="88" fillId="0" borderId="0" xfId="0" applyFont="1" applyAlignment="1" applyProtection="1">
      <alignment wrapText="1"/>
      <protection locked="0"/>
    </xf>
    <xf numFmtId="0" fontId="88" fillId="15" borderId="0" xfId="0" applyFont="1" applyFill="1" applyBorder="1" applyAlignment="1" applyProtection="1">
      <alignment horizontal="left" vertical="top" wrapText="1"/>
      <protection locked="0"/>
    </xf>
    <xf numFmtId="0" fontId="88" fillId="15" borderId="0" xfId="0" quotePrefix="1" applyFont="1" applyFill="1" applyBorder="1" applyAlignment="1" applyProtection="1">
      <alignment horizontal="left" vertical="top" wrapText="1"/>
      <protection locked="0"/>
    </xf>
    <xf numFmtId="0" fontId="38" fillId="15" borderId="0" xfId="0" applyFont="1" applyFill="1" applyBorder="1" applyAlignment="1" applyProtection="1">
      <alignment horizontal="left" vertical="top" wrapText="1"/>
      <protection locked="0"/>
    </xf>
    <xf numFmtId="0" fontId="38" fillId="15" borderId="0" xfId="0" quotePrefix="1" applyFont="1" applyFill="1" applyBorder="1" applyAlignment="1" applyProtection="1">
      <alignment horizontal="left" vertical="top" wrapText="1"/>
      <protection locked="0"/>
    </xf>
    <xf numFmtId="0" fontId="88" fillId="15" borderId="0" xfId="0" quotePrefix="1" applyFont="1" applyFill="1" applyBorder="1" applyAlignment="1" applyProtection="1">
      <alignment vertical="top" wrapText="1"/>
      <protection locked="0"/>
    </xf>
    <xf numFmtId="0" fontId="88" fillId="0" borderId="0" xfId="0" applyFont="1" applyAlignment="1" applyProtection="1">
      <protection locked="0"/>
    </xf>
    <xf numFmtId="0" fontId="38" fillId="15" borderId="0" xfId="0" applyFont="1" applyFill="1" applyAlignment="1" applyProtection="1">
      <alignment vertical="top"/>
      <protection locked="0"/>
    </xf>
    <xf numFmtId="0" fontId="88" fillId="15" borderId="0" xfId="0" applyFont="1" applyFill="1" applyAlignment="1" applyProtection="1">
      <alignment horizontal="left" vertical="top" wrapText="1"/>
      <protection locked="0"/>
    </xf>
    <xf numFmtId="0" fontId="89" fillId="0" borderId="0" xfId="0" applyFont="1" applyAlignment="1">
      <alignment horizontal="left" vertical="top" wrapText="1"/>
    </xf>
    <xf numFmtId="0" fontId="89" fillId="0" borderId="0" xfId="0" applyFont="1" applyAlignment="1"/>
    <xf numFmtId="0" fontId="32" fillId="15" borderId="0" xfId="0" applyFont="1" applyFill="1" applyAlignment="1" applyProtection="1">
      <alignment horizontal="left" vertical="top" wrapText="1"/>
      <protection locked="0"/>
    </xf>
    <xf numFmtId="0" fontId="92" fillId="0" borderId="0" xfId="0" applyFont="1" applyAlignment="1">
      <alignment horizontal="left" vertical="top" wrapText="1"/>
    </xf>
    <xf numFmtId="14" fontId="38" fillId="15" borderId="0" xfId="0" applyNumberFormat="1" applyFont="1" applyFill="1" applyAlignment="1">
      <alignment horizontal="left" vertical="top"/>
    </xf>
    <xf numFmtId="0" fontId="85" fillId="15" borderId="0" xfId="0" applyFont="1" applyFill="1" applyBorder="1" applyAlignment="1" applyProtection="1">
      <alignment horizontal="left" vertical="top" wrapText="1"/>
      <protection locked="0"/>
    </xf>
    <xf numFmtId="0" fontId="86" fillId="15" borderId="0" xfId="0" applyFont="1" applyFill="1" applyBorder="1" applyAlignment="1" applyProtection="1">
      <alignment horizontal="left" vertical="top" wrapText="1"/>
      <protection locked="0"/>
    </xf>
    <xf numFmtId="0" fontId="24" fillId="15" borderId="0" xfId="0" applyFont="1" applyFill="1" applyBorder="1" applyAlignment="1" applyProtection="1">
      <alignment vertical="top" wrapText="1"/>
      <protection locked="0"/>
    </xf>
    <xf numFmtId="0" fontId="42" fillId="15" borderId="0" xfId="0" applyFont="1" applyFill="1" applyBorder="1" applyAlignment="1" applyProtection="1">
      <alignment vertical="top"/>
      <protection locked="0"/>
    </xf>
    <xf numFmtId="0" fontId="38" fillId="16" borderId="0" xfId="0" applyFont="1" applyFill="1" applyAlignment="1">
      <alignment horizontal="left" vertical="top" wrapText="1"/>
    </xf>
    <xf numFmtId="0" fontId="0" fillId="16" borderId="0" xfId="0" applyFill="1" applyAlignment="1"/>
    <xf numFmtId="0" fontId="32" fillId="15" borderId="0" xfId="0" applyFont="1" applyFill="1" applyBorder="1" applyAlignment="1" applyProtection="1">
      <alignment vertical="top" wrapText="1"/>
      <protection locked="0"/>
    </xf>
    <xf numFmtId="0" fontId="46" fillId="0" borderId="0" xfId="0" applyFont="1" applyAlignment="1">
      <alignment vertical="top" wrapText="1"/>
    </xf>
    <xf numFmtId="0" fontId="32" fillId="15" borderId="0" xfId="0" applyFont="1" applyFill="1" applyAlignment="1" applyProtection="1">
      <protection locked="0"/>
    </xf>
    <xf numFmtId="0" fontId="32" fillId="0" borderId="0" xfId="0" applyFont="1" applyAlignment="1" applyProtection="1">
      <protection locked="0"/>
    </xf>
    <xf numFmtId="0" fontId="8" fillId="0" borderId="0" xfId="0" applyFont="1" applyBorder="1" applyAlignment="1">
      <alignment wrapText="1"/>
    </xf>
  </cellXfs>
  <cellStyles count="6">
    <cellStyle name="Normal" xfId="0" builtinId="0"/>
    <cellStyle name="Normal 2" xfId="1"/>
    <cellStyle name="Normal 3" xfId="5"/>
    <cellStyle name="Normal_NEW target sheet 2" xfId="2"/>
    <cellStyle name="Percent 2" xfId="3"/>
    <cellStyle name="Percent 3" xfId="4"/>
  </cellStyles>
  <dxfs count="39">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s>
  <tableStyles count="0" defaultTableStyle="TableStyleMedium2" defaultPivotStyle="PivotStyleLight16"/>
  <colors>
    <mruColors>
      <color rgb="FFB2C326"/>
      <color rgb="FFF78913"/>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0000129953292994"/>
          <c:y val="6.6411354765371647E-2"/>
          <c:w val="0.87375216831550506"/>
          <c:h val="0.8337294234249778"/>
        </c:manualLayout>
      </c:layout>
      <c:barChart>
        <c:barDir val="col"/>
        <c:grouping val="clustered"/>
        <c:varyColors val="0"/>
        <c:ser>
          <c:idx val="0"/>
          <c:order val="0"/>
          <c:tx>
            <c:strRef>
              <c:f>'1 EA 1  Data Sheet'!$B$22</c:f>
              <c:strCache>
                <c:ptCount val="1"/>
                <c:pt idx="0">
                  <c:v>Actual</c:v>
                </c:pt>
              </c:strCache>
            </c:strRef>
          </c:tx>
          <c:spPr>
            <a:solidFill>
              <a:srgbClr val="00AF4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'1 EA 1  Data Sheet'!$A$23:$A$29</c15:sqref>
                  </c15:fullRef>
                </c:ext>
              </c:extLst>
              <c:f>'1 EA 1  Data Sheet'!$A$24:$A$29</c:f>
              <c:strCache>
                <c:ptCount val="5"/>
                <c:pt idx="0">
                  <c:v>2016/17 Q3</c:v>
                </c:pt>
                <c:pt idx="1">
                  <c:v>2016/17 Q4</c:v>
                </c:pt>
                <c:pt idx="2">
                  <c:v>2017/18 Q1</c:v>
                </c:pt>
                <c:pt idx="3">
                  <c:v>2017/18 Q2</c:v>
                </c:pt>
                <c:pt idx="4">
                  <c:v>2017/18 Q3</c:v>
                </c:pt>
              </c:strCache>
            </c:strRef>
          </c:cat>
          <c:val>
            <c:numRef>
              <c:extLst>
                <c:ext xmlns:c15="http://schemas.microsoft.com/office/drawing/2012/chart" uri="{02D57815-91ED-43cb-92C2-25804820EDAC}">
                  <c15:fullRef>
                    <c15:sqref>'1 EA 1  Data Sheet'!$B$23:$B$29</c15:sqref>
                  </c15:fullRef>
                </c:ext>
              </c:extLst>
              <c:f>'1 EA 1  Data Sheet'!$B$24:$B$29</c:f>
              <c:numCache>
                <c:formatCode>#,##0</c:formatCode>
                <c:ptCount val="5"/>
                <c:pt idx="0">
                  <c:v>941</c:v>
                </c:pt>
                <c:pt idx="1">
                  <c:v>1230.8</c:v>
                </c:pt>
                <c:pt idx="2">
                  <c:v>896</c:v>
                </c:pt>
                <c:pt idx="3">
                  <c:v>971</c:v>
                </c:pt>
                <c:pt idx="4">
                  <c:v>1155.67</c:v>
                </c:pt>
              </c:numCache>
            </c:numRef>
          </c:val>
          <c:extLst/>
        </c:ser>
        <c:dLbls>
          <c:showLegendKey val="0"/>
          <c:showVal val="0"/>
          <c:showCatName val="0"/>
          <c:showSerName val="0"/>
          <c:showPercent val="0"/>
          <c:showBubbleSize val="0"/>
        </c:dLbls>
        <c:gapWidth val="62"/>
        <c:axId val="189029704"/>
        <c:axId val="189031272"/>
      </c:barChart>
      <c:lineChart>
        <c:grouping val="standard"/>
        <c:varyColors val="0"/>
        <c:ser>
          <c:idx val="1"/>
          <c:order val="1"/>
          <c:tx>
            <c:strRef>
              <c:f>'1 EA 1  Data Sheet'!$C$22</c:f>
              <c:strCache>
                <c:ptCount val="1"/>
                <c:pt idx="0">
                  <c:v>Target </c:v>
                </c:pt>
              </c:strCache>
            </c:strRef>
          </c:tx>
          <c:spPr>
            <a:ln>
              <a:solidFill>
                <a:srgbClr val="002060"/>
              </a:solidFill>
            </a:ln>
          </c:spPr>
          <c:marker>
            <c:spPr>
              <a:solidFill>
                <a:srgbClr val="002B54"/>
              </a:solidFill>
              <a:ln>
                <a:solidFill>
                  <a:srgbClr val="002B54"/>
                </a:solidFill>
              </a:ln>
            </c:spPr>
          </c:marker>
          <c:dPt>
            <c:idx val="1"/>
            <c:bubble3D val="0"/>
          </c:dPt>
          <c:dPt>
            <c:idx val="2"/>
            <c:bubble3D val="0"/>
            <c:spPr>
              <a:ln>
                <a:noFill/>
              </a:ln>
            </c:spPr>
          </c:dPt>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 EA 1  Data Sheet'!$A$23:$A$29</c15:sqref>
                  </c15:fullRef>
                </c:ext>
              </c:extLst>
              <c:f>'1 EA 1  Data Sheet'!$A$24:$A$29</c:f>
              <c:strCache>
                <c:ptCount val="5"/>
                <c:pt idx="0">
                  <c:v>2016/17 Q3</c:v>
                </c:pt>
                <c:pt idx="1">
                  <c:v>2016/17 Q4</c:v>
                </c:pt>
                <c:pt idx="2">
                  <c:v>2017/18 Q1</c:v>
                </c:pt>
                <c:pt idx="3">
                  <c:v>2017/18 Q2</c:v>
                </c:pt>
                <c:pt idx="4">
                  <c:v>2017/18 Q3</c:v>
                </c:pt>
              </c:strCache>
            </c:strRef>
          </c:cat>
          <c:val>
            <c:numRef>
              <c:extLst>
                <c:ext xmlns:c15="http://schemas.microsoft.com/office/drawing/2012/chart" uri="{02D57815-91ED-43cb-92C2-25804820EDAC}">
                  <c15:fullRef>
                    <c15:sqref>'1 EA 1  Data Sheet'!$C$23:$C$29</c15:sqref>
                  </c15:fullRef>
                </c:ext>
              </c:extLst>
              <c:f>'1 EA 1  Data Sheet'!$C$24:$C$29</c:f>
              <c:numCache>
                <c:formatCode>#,##0</c:formatCode>
                <c:ptCount val="5"/>
                <c:pt idx="0">
                  <c:v>717</c:v>
                </c:pt>
                <c:pt idx="1">
                  <c:v>717</c:v>
                </c:pt>
                <c:pt idx="2">
                  <c:v>583</c:v>
                </c:pt>
                <c:pt idx="3">
                  <c:v>959</c:v>
                </c:pt>
                <c:pt idx="4">
                  <c:v>1156</c:v>
                </c:pt>
              </c:numCache>
            </c:numRef>
          </c:val>
          <c:smooth val="0"/>
          <c:extLst/>
        </c:ser>
        <c:dLbls>
          <c:showLegendKey val="0"/>
          <c:showVal val="0"/>
          <c:showCatName val="0"/>
          <c:showSerName val="0"/>
          <c:showPercent val="0"/>
          <c:showBubbleSize val="0"/>
        </c:dLbls>
        <c:marker val="1"/>
        <c:smooth val="0"/>
        <c:axId val="189029704"/>
        <c:axId val="189031272"/>
      </c:lineChart>
      <c:catAx>
        <c:axId val="189029704"/>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89031272"/>
        <c:crosses val="autoZero"/>
        <c:auto val="1"/>
        <c:lblAlgn val="ctr"/>
        <c:lblOffset val="100"/>
        <c:noMultiLvlLbl val="0"/>
      </c:catAx>
      <c:valAx>
        <c:axId val="189031272"/>
        <c:scaling>
          <c:orientation val="minMax"/>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89029704"/>
        <c:crosses val="autoZero"/>
        <c:crossBetween val="between"/>
      </c:valAx>
      <c:spPr>
        <a:noFill/>
      </c:spPr>
    </c:plotArea>
    <c:plotVisOnly val="1"/>
    <c:dispBlanksAs val="gap"/>
    <c:showDLblsOverMax val="0"/>
  </c:chart>
  <c:spPr>
    <a:noFill/>
    <a:ln>
      <a:noFill/>
    </a:ln>
  </c:spPr>
  <c:printSettings>
    <c:headerFooter/>
    <c:pageMargins b="0.75000000000000688" l="0.70000000000000062" r="0.70000000000000062" t="0.75000000000000688"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r>
              <a:rPr lang="en-US" sz="1100">
                <a:solidFill>
                  <a:sysClr val="windowText" lastClr="000000"/>
                </a:solidFill>
              </a:rPr>
              <a:t>Category 1 and 2 incidents from the main contributors to other</a:t>
            </a:r>
            <a:r>
              <a:rPr lang="en-US" sz="1100" baseline="0">
                <a:solidFill>
                  <a:sysClr val="windowText" lastClr="000000"/>
                </a:solidFill>
              </a:rPr>
              <a:t> non regulated industry sectors</a:t>
            </a:r>
            <a:endParaRPr lang="en-US" sz="1100">
              <a:solidFill>
                <a:sysClr val="windowText" lastClr="000000"/>
              </a:solidFill>
            </a:endParaRPr>
          </a:p>
        </c:rich>
      </c:tx>
      <c:layout>
        <c:manualLayout>
          <c:xMode val="edge"/>
          <c:yMode val="edge"/>
          <c:x val="0.20081681246380523"/>
          <c:y val="2.4991464782850699E-2"/>
        </c:manualLayout>
      </c:layout>
      <c:overlay val="0"/>
      <c:spPr>
        <a:noFill/>
        <a:ln>
          <a:noFill/>
        </a:ln>
        <a:effectLst/>
      </c:spPr>
      <c:txPr>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724980359962076E-2"/>
          <c:y val="0.13082474690663667"/>
          <c:w val="0.87461219746055763"/>
          <c:h val="0.56876126262814886"/>
        </c:manualLayout>
      </c:layout>
      <c:barChart>
        <c:barDir val="col"/>
        <c:grouping val="clustered"/>
        <c:varyColors val="0"/>
        <c:ser>
          <c:idx val="0"/>
          <c:order val="0"/>
          <c:tx>
            <c:strRef>
              <c:f>'1 EA 2 Data Sheet'!$A$195</c:f>
              <c:strCache>
                <c:ptCount val="1"/>
                <c:pt idx="0">
                  <c:v>2010 Apr-Jun</c:v>
                </c:pt>
              </c:strCache>
            </c:strRef>
          </c:tx>
          <c:spPr>
            <a:solidFill>
              <a:schemeClr val="accent1"/>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Sheet'!$D$195:$G$195</c:f>
            </c:numRef>
          </c:val>
        </c:ser>
        <c:ser>
          <c:idx val="1"/>
          <c:order val="1"/>
          <c:tx>
            <c:strRef>
              <c:f>'1 EA 2 Data Sheet'!$A$196</c:f>
              <c:strCache>
                <c:ptCount val="1"/>
                <c:pt idx="0">
                  <c:v>2010 Jul-Sep</c:v>
                </c:pt>
              </c:strCache>
            </c:strRef>
          </c:tx>
          <c:spPr>
            <a:solidFill>
              <a:schemeClr val="accent3"/>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Sheet'!$D$196:$G$196</c:f>
            </c:numRef>
          </c:val>
        </c:ser>
        <c:ser>
          <c:idx val="2"/>
          <c:order val="2"/>
          <c:tx>
            <c:strRef>
              <c:f>'1 EA 2 Data Sheet'!$A$197</c:f>
              <c:strCache>
                <c:ptCount val="1"/>
                <c:pt idx="0">
                  <c:v>2010 Oct-Dec</c:v>
                </c:pt>
              </c:strCache>
            </c:strRef>
          </c:tx>
          <c:spPr>
            <a:solidFill>
              <a:schemeClr val="accent5"/>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Sheet'!$D$197:$G$197</c:f>
            </c:numRef>
          </c:val>
        </c:ser>
        <c:ser>
          <c:idx val="3"/>
          <c:order val="3"/>
          <c:tx>
            <c:strRef>
              <c:f>'1 EA 2 Data Sheet'!$A$198</c:f>
              <c:strCache>
                <c:ptCount val="1"/>
                <c:pt idx="0">
                  <c:v>2011 Jan-Mar</c:v>
                </c:pt>
              </c:strCache>
            </c:strRef>
          </c:tx>
          <c:spPr>
            <a:solidFill>
              <a:schemeClr val="accent1">
                <a:lumMod val="6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Sheet'!$D$198:$G$198</c:f>
            </c:numRef>
          </c:val>
        </c:ser>
        <c:ser>
          <c:idx val="4"/>
          <c:order val="4"/>
          <c:tx>
            <c:strRef>
              <c:f>'1 EA 2 Data Sheet'!$A$199</c:f>
              <c:strCache>
                <c:ptCount val="1"/>
                <c:pt idx="0">
                  <c:v>2011 Apr-Jun</c:v>
                </c:pt>
              </c:strCache>
            </c:strRef>
          </c:tx>
          <c:spPr>
            <a:solidFill>
              <a:schemeClr val="accent3">
                <a:lumMod val="6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Sheet'!$D$199:$G$199</c:f>
            </c:numRef>
          </c:val>
        </c:ser>
        <c:ser>
          <c:idx val="5"/>
          <c:order val="5"/>
          <c:tx>
            <c:strRef>
              <c:f>'1 EA 2 Data Sheet'!$A$200</c:f>
              <c:strCache>
                <c:ptCount val="1"/>
                <c:pt idx="0">
                  <c:v>2011 Jul-Sep</c:v>
                </c:pt>
              </c:strCache>
            </c:strRef>
          </c:tx>
          <c:spPr>
            <a:solidFill>
              <a:schemeClr val="accent5">
                <a:lumMod val="6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Sheet'!$D$200:$G$200</c:f>
            </c:numRef>
          </c:val>
        </c:ser>
        <c:ser>
          <c:idx val="6"/>
          <c:order val="6"/>
          <c:tx>
            <c:strRef>
              <c:f>'1 EA 2 Data Sheet'!$A$201</c:f>
              <c:strCache>
                <c:ptCount val="1"/>
                <c:pt idx="0">
                  <c:v>2011 Oct-Dec</c:v>
                </c:pt>
              </c:strCache>
            </c:strRef>
          </c:tx>
          <c:spPr>
            <a:solidFill>
              <a:schemeClr val="accent1">
                <a:lumMod val="80000"/>
                <a:lumOff val="2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Sheet'!$D$201:$G$201</c:f>
            </c:numRef>
          </c:val>
        </c:ser>
        <c:ser>
          <c:idx val="7"/>
          <c:order val="7"/>
          <c:tx>
            <c:strRef>
              <c:f>'1 EA 2 Data Sheet'!$A$202</c:f>
              <c:strCache>
                <c:ptCount val="1"/>
                <c:pt idx="0">
                  <c:v>2012 Jan-Mar</c:v>
                </c:pt>
              </c:strCache>
            </c:strRef>
          </c:tx>
          <c:spPr>
            <a:solidFill>
              <a:schemeClr val="accent3">
                <a:lumMod val="80000"/>
                <a:lumOff val="2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Sheet'!$D$202:$G$202</c:f>
            </c:numRef>
          </c:val>
        </c:ser>
        <c:ser>
          <c:idx val="8"/>
          <c:order val="8"/>
          <c:tx>
            <c:strRef>
              <c:f>'1 EA 2 Data Sheet'!$A$203</c:f>
              <c:strCache>
                <c:ptCount val="1"/>
                <c:pt idx="0">
                  <c:v>2012 Apr-Jun</c:v>
                </c:pt>
              </c:strCache>
            </c:strRef>
          </c:tx>
          <c:spPr>
            <a:solidFill>
              <a:schemeClr val="accent5">
                <a:lumMod val="80000"/>
                <a:lumOff val="2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Sheet'!$D$203:$G$203</c:f>
            </c:numRef>
          </c:val>
        </c:ser>
        <c:ser>
          <c:idx val="9"/>
          <c:order val="9"/>
          <c:tx>
            <c:strRef>
              <c:f>'1 EA 2 Data Sheet'!$A$204</c:f>
              <c:strCache>
                <c:ptCount val="1"/>
                <c:pt idx="0">
                  <c:v>2012 Jul-Sep</c:v>
                </c:pt>
              </c:strCache>
            </c:strRef>
          </c:tx>
          <c:spPr>
            <a:solidFill>
              <a:schemeClr val="accent1">
                <a:lumMod val="8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Sheet'!$D$204:$G$204</c:f>
            </c:numRef>
          </c:val>
        </c:ser>
        <c:ser>
          <c:idx val="10"/>
          <c:order val="10"/>
          <c:tx>
            <c:strRef>
              <c:f>'1 EA 2 Data Sheet'!$A$205</c:f>
              <c:strCache>
                <c:ptCount val="1"/>
                <c:pt idx="0">
                  <c:v>2012 Oct-Dec</c:v>
                </c:pt>
              </c:strCache>
            </c:strRef>
          </c:tx>
          <c:spPr>
            <a:solidFill>
              <a:schemeClr val="accent3">
                <a:lumMod val="8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Sheet'!$D$205:$G$205</c:f>
            </c:numRef>
          </c:val>
        </c:ser>
        <c:ser>
          <c:idx val="11"/>
          <c:order val="11"/>
          <c:tx>
            <c:strRef>
              <c:f>'1 EA 2 Data Sheet'!$A$206</c:f>
              <c:strCache>
                <c:ptCount val="1"/>
                <c:pt idx="0">
                  <c:v>2013 Jan-Mar</c:v>
                </c:pt>
              </c:strCache>
            </c:strRef>
          </c:tx>
          <c:spPr>
            <a:solidFill>
              <a:schemeClr val="accent5">
                <a:lumMod val="8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Sheet'!$D$206:$G$206</c:f>
            </c:numRef>
          </c:val>
        </c:ser>
        <c:ser>
          <c:idx val="12"/>
          <c:order val="12"/>
          <c:tx>
            <c:strRef>
              <c:f>'1 EA 2 Data Sheet'!$A$207</c:f>
              <c:strCache>
                <c:ptCount val="1"/>
                <c:pt idx="0">
                  <c:v>2013 Apr-Jun</c:v>
                </c:pt>
              </c:strCache>
            </c:strRef>
          </c:tx>
          <c:spPr>
            <a:solidFill>
              <a:schemeClr val="accent1">
                <a:lumMod val="60000"/>
                <a:lumOff val="4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Sheet'!$D$207:$G$207</c:f>
            </c:numRef>
          </c:val>
        </c:ser>
        <c:ser>
          <c:idx val="13"/>
          <c:order val="13"/>
          <c:tx>
            <c:strRef>
              <c:f>'1 EA 2 Data Sheet'!$A$208</c:f>
              <c:strCache>
                <c:ptCount val="1"/>
                <c:pt idx="0">
                  <c:v>2013 Jul-Sep</c:v>
                </c:pt>
              </c:strCache>
            </c:strRef>
          </c:tx>
          <c:spPr>
            <a:solidFill>
              <a:schemeClr val="accent3">
                <a:lumMod val="60000"/>
                <a:lumOff val="4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Sheet'!$D$208:$G$208</c:f>
            </c:numRef>
          </c:val>
        </c:ser>
        <c:ser>
          <c:idx val="14"/>
          <c:order val="14"/>
          <c:tx>
            <c:strRef>
              <c:f>'1 EA 2 Data Sheet'!$A$209</c:f>
              <c:strCache>
                <c:ptCount val="1"/>
                <c:pt idx="0">
                  <c:v>2013 Oct-Dec</c:v>
                </c:pt>
              </c:strCache>
            </c:strRef>
          </c:tx>
          <c:spPr>
            <a:solidFill>
              <a:schemeClr val="accent5">
                <a:lumMod val="60000"/>
                <a:lumOff val="4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Sheet'!$D$209:$G$209</c:f>
            </c:numRef>
          </c:val>
        </c:ser>
        <c:ser>
          <c:idx val="15"/>
          <c:order val="15"/>
          <c:tx>
            <c:strRef>
              <c:f>'1 EA 2 Data Sheet'!$A$210</c:f>
              <c:strCache>
                <c:ptCount val="1"/>
                <c:pt idx="0">
                  <c:v>2014 Jan-Mar</c:v>
                </c:pt>
              </c:strCache>
            </c:strRef>
          </c:tx>
          <c:spPr>
            <a:solidFill>
              <a:schemeClr val="accent1">
                <a:lumMod val="5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Sheet'!$D$210:$G$210</c:f>
            </c:numRef>
          </c:val>
        </c:ser>
        <c:ser>
          <c:idx val="16"/>
          <c:order val="16"/>
          <c:tx>
            <c:strRef>
              <c:f>'1 EA 2 Data Sheet'!$A$211</c:f>
              <c:strCache>
                <c:ptCount val="1"/>
                <c:pt idx="0">
                  <c:v>2014 Apr-Jun</c:v>
                </c:pt>
              </c:strCache>
            </c:strRef>
          </c:tx>
          <c:spPr>
            <a:solidFill>
              <a:schemeClr val="accent3">
                <a:lumMod val="5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Sheet'!$D$211:$G$211</c:f>
            </c:numRef>
          </c:val>
        </c:ser>
        <c:ser>
          <c:idx val="17"/>
          <c:order val="17"/>
          <c:tx>
            <c:strRef>
              <c:f>'1 EA 2 Data Sheet'!$A$212</c:f>
              <c:strCache>
                <c:ptCount val="1"/>
                <c:pt idx="0">
                  <c:v>2014 Jul-Sep</c:v>
                </c:pt>
              </c:strCache>
            </c:strRef>
          </c:tx>
          <c:spPr>
            <a:solidFill>
              <a:schemeClr val="accent5">
                <a:lumMod val="5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Sheet'!$D$212:$G$212</c:f>
            </c:numRef>
          </c:val>
        </c:ser>
        <c:ser>
          <c:idx val="18"/>
          <c:order val="18"/>
          <c:tx>
            <c:strRef>
              <c:f>'1 EA 2 Data Sheet'!$A$213</c:f>
              <c:strCache>
                <c:ptCount val="1"/>
                <c:pt idx="0">
                  <c:v>2014 Oct-Dec</c:v>
                </c:pt>
              </c:strCache>
            </c:strRef>
          </c:tx>
          <c:spPr>
            <a:solidFill>
              <a:schemeClr val="accent1">
                <a:lumMod val="70000"/>
                <a:lumOff val="3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Sheet'!$D$213:$G$213</c:f>
            </c:numRef>
          </c:val>
        </c:ser>
        <c:ser>
          <c:idx val="19"/>
          <c:order val="19"/>
          <c:tx>
            <c:strRef>
              <c:f>'1 EA 2 Data Sheet'!$A$214</c:f>
              <c:strCache>
                <c:ptCount val="1"/>
                <c:pt idx="0">
                  <c:v>2015 Jan-Mar</c:v>
                </c:pt>
              </c:strCache>
            </c:strRef>
          </c:tx>
          <c:spPr>
            <a:solidFill>
              <a:schemeClr val="accent3">
                <a:lumMod val="70000"/>
                <a:lumOff val="30000"/>
              </a:schemeClr>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Sheet'!$D$214:$G$214</c:f>
            </c:numRef>
          </c:val>
        </c:ser>
        <c:ser>
          <c:idx val="20"/>
          <c:order val="20"/>
          <c:tx>
            <c:strRef>
              <c:f>'1 EA 2 Data Sheet'!$A$215</c:f>
              <c:strCache>
                <c:ptCount val="1"/>
                <c:pt idx="0">
                  <c:v>Natural source</c:v>
                </c:pt>
              </c:strCache>
            </c:strRef>
          </c:tx>
          <c:spPr>
            <a:solidFill>
              <a:srgbClr val="00AF41"/>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Sheet'!$D$215:$G$215</c:f>
              <c:numCache>
                <c:formatCode>General</c:formatCode>
                <c:ptCount val="4"/>
                <c:pt idx="1">
                  <c:v>11</c:v>
                </c:pt>
                <c:pt idx="2">
                  <c:v>9</c:v>
                </c:pt>
                <c:pt idx="3">
                  <c:v>1</c:v>
                </c:pt>
              </c:numCache>
            </c:numRef>
          </c:val>
        </c:ser>
        <c:ser>
          <c:idx val="21"/>
          <c:order val="21"/>
          <c:tx>
            <c:strRef>
              <c:f>'1 EA 2 Data Sheet'!$A$216</c:f>
              <c:strCache>
                <c:ptCount val="1"/>
                <c:pt idx="0">
                  <c:v>Service sector</c:v>
                </c:pt>
              </c:strCache>
            </c:strRef>
          </c:tx>
          <c:spPr>
            <a:solidFill>
              <a:srgbClr val="F78913"/>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Sheet'!$D$216:$G$216</c:f>
              <c:numCache>
                <c:formatCode>General</c:formatCode>
                <c:ptCount val="4"/>
                <c:pt idx="0">
                  <c:v>10</c:v>
                </c:pt>
                <c:pt idx="1">
                  <c:v>4</c:v>
                </c:pt>
                <c:pt idx="2">
                  <c:v>2</c:v>
                </c:pt>
                <c:pt idx="3">
                  <c:v>3</c:v>
                </c:pt>
              </c:numCache>
            </c:numRef>
          </c:val>
        </c:ser>
        <c:ser>
          <c:idx val="22"/>
          <c:order val="22"/>
          <c:tx>
            <c:strRef>
              <c:f>'1 EA 2 Data Sheet'!$A$217</c:f>
              <c:strCache>
                <c:ptCount val="1"/>
                <c:pt idx="0">
                  <c:v>Domestic and residential</c:v>
                </c:pt>
              </c:strCache>
            </c:strRef>
          </c:tx>
          <c:spPr>
            <a:solidFill>
              <a:srgbClr val="034B89"/>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Sheet'!$D$217:$G$217</c:f>
              <c:numCache>
                <c:formatCode>General</c:formatCode>
                <c:ptCount val="4"/>
                <c:pt idx="0">
                  <c:v>1</c:v>
                </c:pt>
                <c:pt idx="1">
                  <c:v>1</c:v>
                </c:pt>
                <c:pt idx="2">
                  <c:v>5</c:v>
                </c:pt>
                <c:pt idx="3">
                  <c:v>2</c:v>
                </c:pt>
              </c:numCache>
            </c:numRef>
          </c:val>
        </c:ser>
        <c:ser>
          <c:idx val="23"/>
          <c:order val="23"/>
          <c:tx>
            <c:strRef>
              <c:f>'1 EA 2 Data Sheet'!$A$218</c:f>
              <c:strCache>
                <c:ptCount val="1"/>
                <c:pt idx="0">
                  <c:v>Transport</c:v>
                </c:pt>
              </c:strCache>
            </c:strRef>
          </c:tx>
          <c:spPr>
            <a:solidFill>
              <a:srgbClr val="820053"/>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Sheet'!$D$218:$G$218</c:f>
              <c:numCache>
                <c:formatCode>0</c:formatCode>
                <c:ptCount val="4"/>
                <c:pt idx="0">
                  <c:v>4</c:v>
                </c:pt>
                <c:pt idx="1">
                  <c:v>3</c:v>
                </c:pt>
                <c:pt idx="2">
                  <c:v>1</c:v>
                </c:pt>
              </c:numCache>
            </c:numRef>
          </c:val>
        </c:ser>
        <c:ser>
          <c:idx val="24"/>
          <c:order val="24"/>
          <c:tx>
            <c:strRef>
              <c:f>'1 EA 2 Data Sheet'!$A$219</c:f>
              <c:strCache>
                <c:ptCount val="1"/>
                <c:pt idx="0">
                  <c:v>Manufacturing</c:v>
                </c:pt>
              </c:strCache>
            </c:strRef>
          </c:tx>
          <c:spPr>
            <a:solidFill>
              <a:srgbClr val="00CCFF"/>
            </a:solidFill>
            <a:ln>
              <a:noFill/>
            </a:ln>
            <a:effectLst/>
          </c:spPr>
          <c:invertIfNegative val="0"/>
          <c:cat>
            <c:strRef>
              <c:f>'1 EA 2 Data Sheet'!$D$194:$G$194</c:f>
              <c:strCache>
                <c:ptCount val="4"/>
                <c:pt idx="0">
                  <c:v>2017 Jan-Mar</c:v>
                </c:pt>
                <c:pt idx="1">
                  <c:v>2017 Apr-Jun</c:v>
                </c:pt>
                <c:pt idx="2">
                  <c:v>2017 Jul-Sep</c:v>
                </c:pt>
                <c:pt idx="3">
                  <c:v>2017 Oct-Dec</c:v>
                </c:pt>
              </c:strCache>
            </c:strRef>
          </c:cat>
          <c:val>
            <c:numRef>
              <c:f>'1 EA 2 Data Sheet'!$D$219:$G$219</c:f>
              <c:numCache>
                <c:formatCode>General</c:formatCode>
                <c:ptCount val="4"/>
                <c:pt idx="0">
                  <c:v>2</c:v>
                </c:pt>
                <c:pt idx="1">
                  <c:v>3</c:v>
                </c:pt>
                <c:pt idx="2">
                  <c:v>1</c:v>
                </c:pt>
                <c:pt idx="3">
                  <c:v>1</c:v>
                </c:pt>
              </c:numCache>
            </c:numRef>
          </c:val>
        </c:ser>
        <c:dLbls>
          <c:showLegendKey val="0"/>
          <c:showVal val="0"/>
          <c:showCatName val="0"/>
          <c:showSerName val="0"/>
          <c:showPercent val="0"/>
          <c:showBubbleSize val="0"/>
        </c:dLbls>
        <c:gapWidth val="50"/>
        <c:axId val="480177568"/>
        <c:axId val="480177960"/>
        <c:extLst/>
      </c:barChart>
      <c:catAx>
        <c:axId val="480177568"/>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480177960"/>
        <c:crosses val="autoZero"/>
        <c:auto val="1"/>
        <c:lblAlgn val="ctr"/>
        <c:lblOffset val="100"/>
        <c:noMultiLvlLbl val="0"/>
      </c:catAx>
      <c:valAx>
        <c:axId val="480177960"/>
        <c:scaling>
          <c:orientation val="minMax"/>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480177568"/>
        <c:crosses val="autoZero"/>
        <c:crossBetween val="between"/>
      </c:valAx>
      <c:spPr>
        <a:solidFill>
          <a:schemeClr val="bg1"/>
        </a:solidFill>
        <a:ln>
          <a:noFill/>
        </a:ln>
        <a:effectLst/>
      </c:spPr>
    </c:plotArea>
    <c:legend>
      <c:legendPos val="b"/>
      <c:layout>
        <c:manualLayout>
          <c:xMode val="edge"/>
          <c:yMode val="edge"/>
          <c:x val="7.4342997493493587E-2"/>
          <c:y val="0.80147283664170599"/>
          <c:w val="0.88478651060865143"/>
          <c:h val="0.17258810526414073"/>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50" b="1" i="0" u="none" strike="noStrike" kern="1200" baseline="0">
                <a:solidFill>
                  <a:sysClr val="windowText" lastClr="000000"/>
                </a:solidFill>
                <a:latin typeface="+mn-lt"/>
                <a:ea typeface="+mn-ea"/>
                <a:cs typeface="+mn-cs"/>
              </a:defRPr>
            </a:pPr>
            <a:r>
              <a:rPr lang="en-GB" sz="1050" baseline="0">
                <a:solidFill>
                  <a:sysClr val="windowText" lastClr="000000"/>
                </a:solidFill>
              </a:rPr>
              <a:t>12 month total to the end of the period shown</a:t>
            </a:r>
          </a:p>
        </c:rich>
      </c:tx>
      <c:layout>
        <c:manualLayout>
          <c:xMode val="edge"/>
          <c:yMode val="edge"/>
          <c:x val="0.18750092349567418"/>
          <c:y val="8.9610526359255576E-3"/>
        </c:manualLayout>
      </c:layout>
      <c:overlay val="0"/>
    </c:title>
    <c:autoTitleDeleted val="0"/>
    <c:plotArea>
      <c:layout>
        <c:manualLayout>
          <c:layoutTarget val="inner"/>
          <c:xMode val="edge"/>
          <c:yMode val="edge"/>
          <c:x val="7.3320611938484936E-2"/>
          <c:y val="9.4019350832199561E-2"/>
          <c:w val="0.91414736479107961"/>
          <c:h val="0.7056320670529348"/>
        </c:manualLayout>
      </c:layout>
      <c:barChart>
        <c:barDir val="col"/>
        <c:grouping val="stacked"/>
        <c:varyColors val="0"/>
        <c:ser>
          <c:idx val="0"/>
          <c:order val="0"/>
          <c:tx>
            <c:strRef>
              <c:f>'1 EA 2 Data Sheet'!$B$290</c:f>
              <c:strCache>
                <c:ptCount val="1"/>
                <c:pt idx="0">
                  <c:v>No. of incidents</c:v>
                </c:pt>
              </c:strCache>
            </c:strRef>
          </c:tx>
          <c:spPr>
            <a:solidFill>
              <a:srgbClr val="F7891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 EA 2 Data Sheet'!$A$291:$A$304</c:f>
              <c:strCache>
                <c:ptCount val="9"/>
                <c:pt idx="0">
                  <c:v>2011/12 @ Q4</c:v>
                </c:pt>
                <c:pt idx="1">
                  <c:v>2012/13 @ Q4</c:v>
                </c:pt>
                <c:pt idx="2">
                  <c:v>2013/14 @ Q4</c:v>
                </c:pt>
                <c:pt idx="3">
                  <c:v>2014/15 @ Q4</c:v>
                </c:pt>
                <c:pt idx="4">
                  <c:v>2015/16 @ Q4</c:v>
                </c:pt>
                <c:pt idx="5">
                  <c:v>2016/17 @ Q4</c:v>
                </c:pt>
                <c:pt idx="6">
                  <c:v>2017/18 @ Q1</c:v>
                </c:pt>
                <c:pt idx="7">
                  <c:v>2017/18 @ Q2</c:v>
                </c:pt>
                <c:pt idx="8">
                  <c:v>2017/18 @ Q3</c:v>
                </c:pt>
              </c:strCache>
            </c:strRef>
          </c:cat>
          <c:val>
            <c:numRef>
              <c:f>'1 EA 2 Data Sheet'!$B$291:$B$304</c:f>
              <c:numCache>
                <c:formatCode>General</c:formatCode>
                <c:ptCount val="9"/>
                <c:pt idx="0">
                  <c:v>599</c:v>
                </c:pt>
                <c:pt idx="1">
                  <c:v>531</c:v>
                </c:pt>
                <c:pt idx="2">
                  <c:v>696</c:v>
                </c:pt>
                <c:pt idx="3">
                  <c:v>602</c:v>
                </c:pt>
                <c:pt idx="4">
                  <c:v>507</c:v>
                </c:pt>
                <c:pt idx="5">
                  <c:v>492</c:v>
                </c:pt>
                <c:pt idx="6">
                  <c:v>480</c:v>
                </c:pt>
                <c:pt idx="7">
                  <c:v>412</c:v>
                </c:pt>
                <c:pt idx="8">
                  <c:v>394</c:v>
                </c:pt>
              </c:numCache>
            </c:numRef>
          </c:val>
        </c:ser>
        <c:ser>
          <c:idx val="1"/>
          <c:order val="1"/>
          <c:tx>
            <c:strRef>
              <c:f>'1 EA 2 Data Sheet'!$C$290</c:f>
              <c:strCache>
                <c:ptCount val="1"/>
                <c:pt idx="0">
                  <c:v>est final (10%)</c:v>
                </c:pt>
              </c:strCache>
            </c:strRef>
          </c:tx>
          <c:invertIfNegative val="0"/>
          <c:cat>
            <c:strRef>
              <c:f>'1 EA 2 Data Sheet'!$A$291:$A$304</c:f>
              <c:strCache>
                <c:ptCount val="9"/>
                <c:pt idx="0">
                  <c:v>2011/12 @ Q4</c:v>
                </c:pt>
                <c:pt idx="1">
                  <c:v>2012/13 @ Q4</c:v>
                </c:pt>
                <c:pt idx="2">
                  <c:v>2013/14 @ Q4</c:v>
                </c:pt>
                <c:pt idx="3">
                  <c:v>2014/15 @ Q4</c:v>
                </c:pt>
                <c:pt idx="4">
                  <c:v>2015/16 @ Q4</c:v>
                </c:pt>
                <c:pt idx="5">
                  <c:v>2016/17 @ Q4</c:v>
                </c:pt>
                <c:pt idx="6">
                  <c:v>2017/18 @ Q1</c:v>
                </c:pt>
                <c:pt idx="7">
                  <c:v>2017/18 @ Q2</c:v>
                </c:pt>
                <c:pt idx="8">
                  <c:v>2017/18 @ Q3</c:v>
                </c:pt>
              </c:strCache>
            </c:strRef>
          </c:cat>
          <c:val>
            <c:numRef>
              <c:f>'1 EA 2 Data Sheet'!$C$291:$C$304</c:f>
              <c:numCache>
                <c:formatCode>General</c:formatCode>
                <c:ptCount val="9"/>
                <c:pt idx="6">
                  <c:v>5</c:v>
                </c:pt>
                <c:pt idx="7">
                  <c:v>4</c:v>
                </c:pt>
                <c:pt idx="8">
                  <c:v>39</c:v>
                </c:pt>
              </c:numCache>
            </c:numRef>
          </c:val>
        </c:ser>
        <c:dLbls>
          <c:showLegendKey val="0"/>
          <c:showVal val="0"/>
          <c:showCatName val="0"/>
          <c:showSerName val="0"/>
          <c:showPercent val="0"/>
          <c:showBubbleSize val="0"/>
        </c:dLbls>
        <c:gapWidth val="23"/>
        <c:overlap val="100"/>
        <c:axId val="480456344"/>
        <c:axId val="480456736"/>
      </c:barChart>
      <c:lineChart>
        <c:grouping val="standard"/>
        <c:varyColors val="0"/>
        <c:ser>
          <c:idx val="2"/>
          <c:order val="2"/>
          <c:tx>
            <c:strRef>
              <c:f>'1 EA 2 Data Sheet'!$D$290</c:f>
              <c:strCache>
                <c:ptCount val="1"/>
                <c:pt idx="0">
                  <c:v>Target</c:v>
                </c:pt>
              </c:strCache>
            </c:strRef>
          </c:tx>
          <c:spPr>
            <a:ln>
              <a:solidFill>
                <a:srgbClr val="7030A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 EA 2 Data Sheet'!$A$291:$A$304</c:f>
              <c:strCache>
                <c:ptCount val="9"/>
                <c:pt idx="0">
                  <c:v>2011/12 @ Q4</c:v>
                </c:pt>
                <c:pt idx="1">
                  <c:v>2012/13 @ Q4</c:v>
                </c:pt>
                <c:pt idx="2">
                  <c:v>2013/14 @ Q4</c:v>
                </c:pt>
                <c:pt idx="3">
                  <c:v>2014/15 @ Q4</c:v>
                </c:pt>
                <c:pt idx="4">
                  <c:v>2015/16 @ Q4</c:v>
                </c:pt>
                <c:pt idx="5">
                  <c:v>2016/17 @ Q4</c:v>
                </c:pt>
                <c:pt idx="6">
                  <c:v>2017/18 @ Q1</c:v>
                </c:pt>
                <c:pt idx="7">
                  <c:v>2017/18 @ Q2</c:v>
                </c:pt>
                <c:pt idx="8">
                  <c:v>2017/18 @ Q3</c:v>
                </c:pt>
              </c:strCache>
            </c:strRef>
          </c:cat>
          <c:val>
            <c:numRef>
              <c:f>'1 EA 2 Data Sheet'!$D$291:$D$304</c:f>
              <c:numCache>
                <c:formatCode>General</c:formatCode>
                <c:ptCount val="9"/>
                <c:pt idx="0">
                  <c:v>560</c:v>
                </c:pt>
                <c:pt idx="1">
                  <c:v>532</c:v>
                </c:pt>
                <c:pt idx="2">
                  <c:v>436</c:v>
                </c:pt>
                <c:pt idx="3" formatCode="0">
                  <c:v>631</c:v>
                </c:pt>
                <c:pt idx="4" formatCode="0">
                  <c:v>631</c:v>
                </c:pt>
                <c:pt idx="5" formatCode="0">
                  <c:v>553</c:v>
                </c:pt>
                <c:pt idx="6" formatCode="0">
                  <c:v>496</c:v>
                </c:pt>
                <c:pt idx="7" formatCode="0">
                  <c:v>496</c:v>
                </c:pt>
                <c:pt idx="8" formatCode="0">
                  <c:v>496</c:v>
                </c:pt>
              </c:numCache>
            </c:numRef>
          </c:val>
          <c:smooth val="0"/>
        </c:ser>
        <c:dLbls>
          <c:showLegendKey val="0"/>
          <c:showVal val="0"/>
          <c:showCatName val="0"/>
          <c:showSerName val="0"/>
          <c:showPercent val="0"/>
          <c:showBubbleSize val="0"/>
        </c:dLbls>
        <c:marker val="1"/>
        <c:smooth val="0"/>
        <c:axId val="480456344"/>
        <c:axId val="480456736"/>
      </c:lineChart>
      <c:catAx>
        <c:axId val="480456344"/>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baseline="0">
                <a:solidFill>
                  <a:sysClr val="windowText" lastClr="000000"/>
                </a:solidFill>
              </a:defRPr>
            </a:pPr>
            <a:endParaRPr lang="en-US"/>
          </a:p>
        </c:txPr>
        <c:crossAx val="480456736"/>
        <c:crosses val="autoZero"/>
        <c:auto val="1"/>
        <c:lblAlgn val="ctr"/>
        <c:lblOffset val="100"/>
        <c:noMultiLvlLbl val="0"/>
      </c:catAx>
      <c:valAx>
        <c:axId val="480456736"/>
        <c:scaling>
          <c:orientation val="minMax"/>
          <c:min val="0"/>
        </c:scaling>
        <c:delete val="0"/>
        <c:axPos val="l"/>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80456344"/>
        <c:crosses val="autoZero"/>
        <c:crossBetween val="between"/>
      </c:valAx>
      <c:spPr>
        <a:noFill/>
        <a:ln>
          <a:noFill/>
        </a:ln>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000">
                <a:solidFill>
                  <a:sysClr val="windowText" lastClr="000000"/>
                </a:solidFill>
              </a:defRPr>
            </a:pPr>
            <a:r>
              <a:rPr lang="en-US" sz="1100">
                <a:solidFill>
                  <a:sysClr val="windowText" lastClr="000000"/>
                </a:solidFill>
              </a:rPr>
              <a:t>Pareto chart to show which sectors make up the most number of </a:t>
            </a:r>
          </a:p>
          <a:p>
            <a:pPr>
              <a:defRPr sz="1000">
                <a:solidFill>
                  <a:sysClr val="windowText" lastClr="000000"/>
                </a:solidFill>
              </a:defRPr>
            </a:pPr>
            <a:r>
              <a:rPr lang="en-US" sz="1100">
                <a:solidFill>
                  <a:sysClr val="windowText" lastClr="000000"/>
                </a:solidFill>
              </a:rPr>
              <a:t>category 1 and 2 pollution incidents over the last 12 months</a:t>
            </a:r>
          </a:p>
        </c:rich>
      </c:tx>
      <c:layout>
        <c:manualLayout>
          <c:xMode val="edge"/>
          <c:yMode val="edge"/>
          <c:x val="1.1444238260026414E-2"/>
          <c:y val="2.2560041266517995E-3"/>
        </c:manualLayout>
      </c:layout>
      <c:overlay val="0"/>
    </c:title>
    <c:autoTitleDeleted val="0"/>
    <c:plotArea>
      <c:layout>
        <c:manualLayout>
          <c:layoutTarget val="inner"/>
          <c:xMode val="edge"/>
          <c:yMode val="edge"/>
          <c:x val="4.1712690372302186E-2"/>
          <c:y val="0.12699861939222915"/>
          <c:w val="0.89471022949976353"/>
          <c:h val="0.6409397235750155"/>
        </c:manualLayout>
      </c:layout>
      <c:barChart>
        <c:barDir val="col"/>
        <c:grouping val="clustered"/>
        <c:varyColors val="0"/>
        <c:ser>
          <c:idx val="0"/>
          <c:order val="0"/>
          <c:tx>
            <c:strRef>
              <c:f>'1 EA 2 Data Sheet'!$B$277</c:f>
              <c:strCache>
                <c:ptCount val="1"/>
                <c:pt idx="0">
                  <c:v>Number of incidents</c:v>
                </c:pt>
              </c:strCache>
            </c:strRef>
          </c:tx>
          <c:spPr>
            <a:solidFill>
              <a:srgbClr val="00AF41"/>
            </a:solidFill>
            <a:ln>
              <a:solidFill>
                <a:schemeClr val="accent3">
                  <a:lumMod val="20000"/>
                  <a:lumOff val="80000"/>
                </a:schemeClr>
              </a:solidFill>
            </a:ln>
          </c:spPr>
          <c:invertIfNegative val="0"/>
          <c:dLbls>
            <c:dLbl>
              <c:idx val="0"/>
              <c:layout>
                <c:manualLayout>
                  <c:x val="-1.5569529976686872E-17"/>
                  <c:y val="0.56647398843930641"/>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0955414012738851E-3"/>
                  <c:y val="0.4431599229287090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6985138004246285E-3"/>
                  <c:y val="0.36994219653179189"/>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397027600849319E-3"/>
                  <c:y val="0.3801526254304917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794055201698514E-3"/>
                  <c:y val="0.3236994219653179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397027600849257E-3"/>
                  <c:y val="0.26589595375722541"/>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a:lstStyle/>
              <a:p>
                <a:pPr>
                  <a:defRPr sz="1050"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2 Data Sheet'!$A$278:$A$283</c:f>
              <c:strCache>
                <c:ptCount val="6"/>
                <c:pt idx="0">
                  <c:v>Other reg ind sectors</c:v>
                </c:pt>
                <c:pt idx="1">
                  <c:v>Other non reg industry sectors</c:v>
                </c:pt>
                <c:pt idx="2">
                  <c:v>Water company</c:v>
                </c:pt>
                <c:pt idx="3">
                  <c:v>Not identified</c:v>
                </c:pt>
                <c:pt idx="4">
                  <c:v>Agriculture</c:v>
                </c:pt>
                <c:pt idx="5">
                  <c:v>Illegal waste management</c:v>
                </c:pt>
              </c:strCache>
            </c:strRef>
          </c:cat>
          <c:val>
            <c:numRef>
              <c:f>'1 EA 2 Data Sheet'!$B$278:$B$283</c:f>
              <c:numCache>
                <c:formatCode>General</c:formatCode>
                <c:ptCount val="6"/>
                <c:pt idx="0">
                  <c:v>85</c:v>
                </c:pt>
                <c:pt idx="1">
                  <c:v>76</c:v>
                </c:pt>
                <c:pt idx="2">
                  <c:v>64</c:v>
                </c:pt>
                <c:pt idx="3">
                  <c:v>64</c:v>
                </c:pt>
                <c:pt idx="4">
                  <c:v>57</c:v>
                </c:pt>
                <c:pt idx="5">
                  <c:v>48</c:v>
                </c:pt>
              </c:numCache>
            </c:numRef>
          </c:val>
        </c:ser>
        <c:dLbls>
          <c:showLegendKey val="0"/>
          <c:showVal val="0"/>
          <c:showCatName val="0"/>
          <c:showSerName val="0"/>
          <c:showPercent val="0"/>
          <c:showBubbleSize val="0"/>
        </c:dLbls>
        <c:gapWidth val="0"/>
        <c:axId val="480457520"/>
        <c:axId val="480457912"/>
      </c:barChart>
      <c:lineChart>
        <c:grouping val="standard"/>
        <c:varyColors val="0"/>
        <c:ser>
          <c:idx val="1"/>
          <c:order val="1"/>
          <c:tx>
            <c:strRef>
              <c:f>'1 EA 2 Data Sheet'!$C$277</c:f>
              <c:strCache>
                <c:ptCount val="1"/>
                <c:pt idx="0">
                  <c:v>Cumulative %</c:v>
                </c:pt>
              </c:strCache>
            </c:strRef>
          </c:tx>
          <c:spPr>
            <a:ln>
              <a:solidFill>
                <a:srgbClr val="034B89"/>
              </a:solidFill>
            </a:ln>
          </c:spPr>
          <c:marker>
            <c:spPr>
              <a:solidFill>
                <a:srgbClr val="034B89"/>
              </a:solidFill>
              <a:ln>
                <a:solidFill>
                  <a:srgbClr val="034B89"/>
                </a:solidFill>
              </a:ln>
            </c:spPr>
          </c:marker>
          <c:dLbls>
            <c:dLbl>
              <c:idx val="2"/>
              <c:layout>
                <c:manualLayout>
                  <c:x val="-3.1173535816300318E-2"/>
                  <c:y val="4.905302671103665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c:spPr>
            <c:txPr>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2 Data Sheet'!$A$278:$A$283</c:f>
              <c:strCache>
                <c:ptCount val="6"/>
                <c:pt idx="0">
                  <c:v>Other reg ind sectors</c:v>
                </c:pt>
                <c:pt idx="1">
                  <c:v>Other non reg industry sectors</c:v>
                </c:pt>
                <c:pt idx="2">
                  <c:v>Water company</c:v>
                </c:pt>
                <c:pt idx="3">
                  <c:v>Not identified</c:v>
                </c:pt>
                <c:pt idx="4">
                  <c:v>Agriculture</c:v>
                </c:pt>
                <c:pt idx="5">
                  <c:v>Illegal waste management</c:v>
                </c:pt>
              </c:strCache>
            </c:strRef>
          </c:cat>
          <c:val>
            <c:numRef>
              <c:f>'1 EA 2 Data Sheet'!$C$278:$C$283</c:f>
              <c:numCache>
                <c:formatCode>0.00</c:formatCode>
                <c:ptCount val="6"/>
                <c:pt idx="0">
                  <c:v>0.21573604060913706</c:v>
                </c:pt>
                <c:pt idx="1">
                  <c:v>0.40862944162436549</c:v>
                </c:pt>
                <c:pt idx="2">
                  <c:v>0.57106598984771573</c:v>
                </c:pt>
                <c:pt idx="3">
                  <c:v>0.73350253807106602</c:v>
                </c:pt>
                <c:pt idx="4">
                  <c:v>0.87817258883248739</c:v>
                </c:pt>
                <c:pt idx="5">
                  <c:v>1</c:v>
                </c:pt>
              </c:numCache>
            </c:numRef>
          </c:val>
          <c:smooth val="0"/>
        </c:ser>
        <c:dLbls>
          <c:showLegendKey val="0"/>
          <c:showVal val="0"/>
          <c:showCatName val="0"/>
          <c:showSerName val="0"/>
          <c:showPercent val="0"/>
          <c:showBubbleSize val="0"/>
        </c:dLbls>
        <c:marker val="1"/>
        <c:smooth val="0"/>
        <c:axId val="480458696"/>
        <c:axId val="480458304"/>
      </c:lineChart>
      <c:catAx>
        <c:axId val="480457520"/>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80457912"/>
        <c:crosses val="autoZero"/>
        <c:auto val="1"/>
        <c:lblAlgn val="ctr"/>
        <c:lblOffset val="100"/>
        <c:noMultiLvlLbl val="0"/>
      </c:catAx>
      <c:valAx>
        <c:axId val="480457912"/>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80457520"/>
        <c:crosses val="autoZero"/>
        <c:crossBetween val="between"/>
      </c:valAx>
      <c:valAx>
        <c:axId val="480458304"/>
        <c:scaling>
          <c:orientation val="minMax"/>
          <c:max val="1"/>
        </c:scaling>
        <c:delete val="0"/>
        <c:axPos val="r"/>
        <c:numFmt formatCode="0%"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80458696"/>
        <c:crosses val="max"/>
        <c:crossBetween val="between"/>
      </c:valAx>
      <c:catAx>
        <c:axId val="480458696"/>
        <c:scaling>
          <c:orientation val="minMax"/>
        </c:scaling>
        <c:delete val="1"/>
        <c:axPos val="b"/>
        <c:numFmt formatCode="General" sourceLinked="1"/>
        <c:majorTickMark val="out"/>
        <c:minorTickMark val="none"/>
        <c:tickLblPos val="none"/>
        <c:crossAx val="480458304"/>
        <c:crosses val="autoZero"/>
        <c:auto val="1"/>
        <c:lblAlgn val="ctr"/>
        <c:lblOffset val="100"/>
        <c:noMultiLvlLbl val="0"/>
      </c:catAx>
      <c:spPr>
        <a:noFill/>
      </c:spPr>
    </c:plotArea>
    <c:legend>
      <c:legendPos val="b"/>
      <c:layout>
        <c:manualLayout>
          <c:xMode val="edge"/>
          <c:yMode val="edge"/>
          <c:x val="7.0102737157855255E-2"/>
          <c:y val="0.90240529182407114"/>
          <c:w val="0.85928551070772252"/>
          <c:h val="6.9990704506762508E-2"/>
        </c:manualLayout>
      </c:layout>
      <c:overlay val="0"/>
      <c:txPr>
        <a:bodyPr/>
        <a:lstStyle/>
        <a:p>
          <a:pPr>
            <a:defRPr sz="1050" baseline="0">
              <a:solidFill>
                <a:sysClr val="windowText" lastClr="000000"/>
              </a:solidFill>
            </a:defRPr>
          </a:pPr>
          <a:endParaRPr lang="en-US"/>
        </a:p>
      </c:txPr>
    </c:legend>
    <c:plotVisOnly val="1"/>
    <c:dispBlanksAs val="gap"/>
    <c:showDLblsOverMax val="0"/>
  </c:chart>
  <c:spPr>
    <a:noFill/>
    <a:ln>
      <a:noFill/>
    </a:ln>
  </c:spPr>
  <c:printSettings>
    <c:headerFooter/>
    <c:pageMargins b="0.75000000000000833" l="0.70000000000000062" r="0.70000000000000062" t="0.750000000000008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6847666867056703E-2"/>
          <c:y val="2.997953538661989E-2"/>
          <c:w val="0.90231314440512556"/>
          <c:h val="0.87477474047100923"/>
        </c:manualLayout>
      </c:layout>
      <c:barChart>
        <c:barDir val="col"/>
        <c:grouping val="clustered"/>
        <c:varyColors val="0"/>
        <c:ser>
          <c:idx val="0"/>
          <c:order val="0"/>
          <c:tx>
            <c:strRef>
              <c:f>'1 EA 3 Data Sheet'!$B$22</c:f>
              <c:strCache>
                <c:ptCount val="1"/>
                <c:pt idx="0">
                  <c:v>Hectares created</c:v>
                </c:pt>
              </c:strCache>
            </c:strRef>
          </c:tx>
          <c:spPr>
            <a:solidFill>
              <a:srgbClr val="00B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 EA 3 Data Sheet'!$A$23:$A$26</c:f>
              <c:strCache>
                <c:ptCount val="4"/>
                <c:pt idx="0">
                  <c:v>2014/15</c:v>
                </c:pt>
                <c:pt idx="1">
                  <c:v>2015/16</c:v>
                </c:pt>
                <c:pt idx="2">
                  <c:v>2016/17</c:v>
                </c:pt>
                <c:pt idx="3">
                  <c:v>2017/18</c:v>
                </c:pt>
              </c:strCache>
            </c:strRef>
          </c:cat>
          <c:val>
            <c:numRef>
              <c:f>'1 EA 3 Data Sheet'!$B$23:$B$26</c:f>
              <c:numCache>
                <c:formatCode>#,##0</c:formatCode>
                <c:ptCount val="4"/>
                <c:pt idx="0">
                  <c:v>1869</c:v>
                </c:pt>
                <c:pt idx="1">
                  <c:v>575</c:v>
                </c:pt>
                <c:pt idx="2">
                  <c:v>424</c:v>
                </c:pt>
              </c:numCache>
            </c:numRef>
          </c:val>
        </c:ser>
        <c:dLbls>
          <c:showLegendKey val="0"/>
          <c:showVal val="0"/>
          <c:showCatName val="0"/>
          <c:showSerName val="0"/>
          <c:showPercent val="0"/>
          <c:showBubbleSize val="0"/>
        </c:dLbls>
        <c:gapWidth val="150"/>
        <c:axId val="480459480"/>
        <c:axId val="480459872"/>
      </c:barChart>
      <c:lineChart>
        <c:grouping val="standard"/>
        <c:varyColors val="0"/>
        <c:ser>
          <c:idx val="1"/>
          <c:order val="1"/>
          <c:tx>
            <c:strRef>
              <c:f>'1 EA 3 Data Sheet'!$C$22</c:f>
              <c:strCache>
                <c:ptCount val="1"/>
                <c:pt idx="0">
                  <c:v>Target</c:v>
                </c:pt>
              </c:strCache>
            </c:strRef>
          </c:tx>
          <c:spPr>
            <a:ln>
              <a:solidFill>
                <a:srgbClr val="7030A0"/>
              </a:solidFill>
            </a:ln>
          </c:spPr>
          <c:marker>
            <c:spPr>
              <a:solidFill>
                <a:srgbClr val="7030A0"/>
              </a:solidFill>
              <a:ln>
                <a:solidFill>
                  <a:srgbClr val="7030A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 EA 3 Data Sheet'!$A$23:$A$26</c:f>
              <c:strCache>
                <c:ptCount val="4"/>
                <c:pt idx="0">
                  <c:v>2014/15</c:v>
                </c:pt>
                <c:pt idx="1">
                  <c:v>2015/16</c:v>
                </c:pt>
                <c:pt idx="2">
                  <c:v>2016/17</c:v>
                </c:pt>
                <c:pt idx="3">
                  <c:v>2017/18</c:v>
                </c:pt>
              </c:strCache>
            </c:strRef>
          </c:cat>
          <c:val>
            <c:numRef>
              <c:f>'1 EA 3 Data Sheet'!$C$23:$C$26</c:f>
              <c:numCache>
                <c:formatCode>#,##0</c:formatCode>
                <c:ptCount val="4"/>
                <c:pt idx="0">
                  <c:v>700</c:v>
                </c:pt>
                <c:pt idx="1">
                  <c:v>300</c:v>
                </c:pt>
                <c:pt idx="2">
                  <c:v>400</c:v>
                </c:pt>
                <c:pt idx="3">
                  <c:v>530</c:v>
                </c:pt>
              </c:numCache>
            </c:numRef>
          </c:val>
          <c:smooth val="0"/>
        </c:ser>
        <c:dLbls>
          <c:showLegendKey val="0"/>
          <c:showVal val="0"/>
          <c:showCatName val="0"/>
          <c:showSerName val="0"/>
          <c:showPercent val="0"/>
          <c:showBubbleSize val="0"/>
        </c:dLbls>
        <c:marker val="1"/>
        <c:smooth val="0"/>
        <c:axId val="480459480"/>
        <c:axId val="480459872"/>
      </c:lineChart>
      <c:catAx>
        <c:axId val="480459480"/>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480459872"/>
        <c:crosses val="autoZero"/>
        <c:auto val="1"/>
        <c:lblAlgn val="ctr"/>
        <c:lblOffset val="100"/>
        <c:noMultiLvlLbl val="0"/>
      </c:catAx>
      <c:valAx>
        <c:axId val="480459872"/>
        <c:scaling>
          <c:orientation val="minMax"/>
        </c:scaling>
        <c:delete val="0"/>
        <c:axPos val="l"/>
        <c:numFmt formatCode="0" sourceLinked="0"/>
        <c:majorTickMark val="out"/>
        <c:minorTickMark val="none"/>
        <c:tickLblPos val="nextTo"/>
        <c:txPr>
          <a:bodyPr/>
          <a:lstStyle/>
          <a:p>
            <a:pPr>
              <a:defRPr sz="1050" baseline="0">
                <a:solidFill>
                  <a:sysClr val="windowText" lastClr="000000"/>
                </a:solidFill>
              </a:defRPr>
            </a:pPr>
            <a:endParaRPr lang="en-US"/>
          </a:p>
        </c:txPr>
        <c:crossAx val="480459480"/>
        <c:crosses val="autoZero"/>
        <c:crossBetween val="between"/>
      </c:valAx>
    </c:plotArea>
    <c:plotVisOnly val="1"/>
    <c:dispBlanksAs val="gap"/>
    <c:showDLblsOverMax val="0"/>
  </c:chart>
  <c:spPr>
    <a:ln>
      <a:noFill/>
    </a:ln>
  </c:spPr>
  <c:printSettings>
    <c:headerFooter/>
    <c:pageMargins b="0.75000000000000933" l="0.70000000000000062" r="0.70000000000000062" t="0.75000000000000933"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7.4033694506137296E-2"/>
          <c:y val="2.854979969609062E-2"/>
          <c:w val="0.9455231039081019"/>
          <c:h val="0.87764129483816189"/>
        </c:manualLayout>
      </c:layout>
      <c:barChart>
        <c:barDir val="col"/>
        <c:grouping val="clustered"/>
        <c:varyColors val="0"/>
        <c:ser>
          <c:idx val="0"/>
          <c:order val="0"/>
          <c:tx>
            <c:strRef>
              <c:f>'1 EA 4 Data Sheet'!$B$23</c:f>
              <c:strCache>
                <c:ptCount val="1"/>
                <c:pt idx="0">
                  <c:v>No. of sites</c:v>
                </c:pt>
              </c:strCache>
            </c:strRef>
          </c:tx>
          <c:spPr>
            <a:solidFill>
              <a:srgbClr val="00AF4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'1 EA 4 Data Sheet'!$A$24:$A$44</c15:sqref>
                  </c15:fullRef>
                </c:ext>
              </c:extLst>
              <c:f>('1 EA 4 Data Sheet'!$A$24:$A$36,'1 EA 4 Data Sheet'!$A$38:$A$44)</c:f>
              <c:strCache>
                <c:ptCount val="5"/>
                <c:pt idx="0">
                  <c:v>Baseline</c:v>
                </c:pt>
                <c:pt idx="1">
                  <c:v>Q4 16/17</c:v>
                </c:pt>
                <c:pt idx="2">
                  <c:v>Q1 17/18</c:v>
                </c:pt>
                <c:pt idx="3">
                  <c:v>Q2 17/18</c:v>
                </c:pt>
                <c:pt idx="4">
                  <c:v>Q3 17/18</c:v>
                </c:pt>
              </c:strCache>
            </c:strRef>
          </c:cat>
          <c:val>
            <c:numRef>
              <c:extLst>
                <c:ext xmlns:c15="http://schemas.microsoft.com/office/drawing/2012/chart" uri="{02D57815-91ED-43cb-92C2-25804820EDAC}">
                  <c15:fullRef>
                    <c15:sqref>'1 EA 4 Data Sheet'!$B$24:$B$44</c15:sqref>
                  </c15:fullRef>
                </c:ext>
              </c:extLst>
              <c:f>('1 EA 4 Data Sheet'!$B$24:$B$36,'1 EA 4 Data Sheet'!$B$38:$B$44)</c:f>
              <c:numCache>
                <c:formatCode>#,##0</c:formatCode>
                <c:ptCount val="5"/>
                <c:pt idx="0">
                  <c:v>380</c:v>
                </c:pt>
                <c:pt idx="1" formatCode="General">
                  <c:v>253</c:v>
                </c:pt>
                <c:pt idx="2" formatCode="General">
                  <c:v>274</c:v>
                </c:pt>
                <c:pt idx="3" formatCode="General">
                  <c:v>280</c:v>
                </c:pt>
                <c:pt idx="4" formatCode="General">
                  <c:v>263</c:v>
                </c:pt>
              </c:numCache>
            </c:numRef>
          </c:val>
        </c:ser>
        <c:dLbls>
          <c:showLegendKey val="0"/>
          <c:showVal val="0"/>
          <c:showCatName val="0"/>
          <c:showSerName val="0"/>
          <c:showPercent val="0"/>
          <c:showBubbleSize val="0"/>
        </c:dLbls>
        <c:gapWidth val="50"/>
        <c:axId val="481181976"/>
        <c:axId val="481182368"/>
      </c:barChart>
      <c:lineChart>
        <c:grouping val="standard"/>
        <c:varyColors val="0"/>
        <c:ser>
          <c:idx val="1"/>
          <c:order val="1"/>
          <c:tx>
            <c:strRef>
              <c:f>'1 EA 4 Data Sheet'!$C$23</c:f>
              <c:strCache>
                <c:ptCount val="1"/>
                <c:pt idx="0">
                  <c:v>Target no. of sites</c:v>
                </c:pt>
              </c:strCache>
            </c:strRef>
          </c:tx>
          <c:spPr>
            <a:ln>
              <a:solidFill>
                <a:srgbClr val="D95F15"/>
              </a:solidFill>
            </a:ln>
          </c:spPr>
          <c:marker>
            <c:spPr>
              <a:solidFill>
                <a:srgbClr val="D95F15"/>
              </a:solidFill>
              <a:ln>
                <a:solidFill>
                  <a:srgbClr val="D95F15"/>
                </a:solidFill>
              </a:ln>
            </c:spPr>
          </c:marker>
          <c:dPt>
            <c:idx val="0"/>
            <c:bubble3D val="0"/>
            <c:spPr>
              <a:ln>
                <a:noFill/>
              </a:ln>
            </c:spPr>
          </c:dPt>
          <c:dPt>
            <c:idx val="1"/>
            <c:bubble3D val="0"/>
            <c:spPr>
              <a:ln>
                <a:noFill/>
              </a:ln>
            </c:spPr>
          </c:dPt>
          <c:dPt>
            <c:idx val="2"/>
            <c:bubble3D val="0"/>
            <c:spPr>
              <a:ln>
                <a:noFill/>
              </a:ln>
            </c:spPr>
          </c:dPt>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'1 EA 4 Data Sheet'!$A$24:$A$44</c15:sqref>
                  </c15:fullRef>
                </c:ext>
              </c:extLst>
              <c:f>('1 EA 4 Data Sheet'!$A$24:$A$36,'1 EA 4 Data Sheet'!$A$38:$A$44)</c:f>
              <c:strCache>
                <c:ptCount val="5"/>
                <c:pt idx="0">
                  <c:v>Baseline</c:v>
                </c:pt>
                <c:pt idx="1">
                  <c:v>Q4 16/17</c:v>
                </c:pt>
                <c:pt idx="2">
                  <c:v>Q1 17/18</c:v>
                </c:pt>
                <c:pt idx="3">
                  <c:v>Q2 17/18</c:v>
                </c:pt>
                <c:pt idx="4">
                  <c:v>Q3 17/18</c:v>
                </c:pt>
              </c:strCache>
            </c:strRef>
          </c:cat>
          <c:val>
            <c:numRef>
              <c:extLst>
                <c:ext xmlns:c15="http://schemas.microsoft.com/office/drawing/2012/chart" uri="{02D57815-91ED-43cb-92C2-25804820EDAC}">
                  <c15:fullRef>
                    <c15:sqref>'1 EA 4 Data Sheet'!$C$24:$C$44</c15:sqref>
                  </c15:fullRef>
                </c:ext>
              </c:extLst>
              <c:f>('1 EA 4 Data Sheet'!$C$24:$C$36,'1 EA 4 Data Sheet'!$C$38:$C$44)</c:f>
              <c:numCache>
                <c:formatCode>#,##0</c:formatCode>
                <c:ptCount val="5"/>
                <c:pt idx="0">
                  <c:v>380</c:v>
                </c:pt>
                <c:pt idx="1" formatCode="General">
                  <c:v>242</c:v>
                </c:pt>
                <c:pt idx="2" formatCode="General">
                  <c:v>246</c:v>
                </c:pt>
                <c:pt idx="3" formatCode="General">
                  <c:v>238</c:v>
                </c:pt>
                <c:pt idx="4" formatCode="General">
                  <c:v>230</c:v>
                </c:pt>
              </c:numCache>
            </c:numRef>
          </c:val>
          <c:smooth val="0"/>
        </c:ser>
        <c:dLbls>
          <c:showLegendKey val="0"/>
          <c:showVal val="0"/>
          <c:showCatName val="0"/>
          <c:showSerName val="0"/>
          <c:showPercent val="0"/>
          <c:showBubbleSize val="0"/>
        </c:dLbls>
        <c:marker val="1"/>
        <c:smooth val="0"/>
        <c:axId val="481181976"/>
        <c:axId val="481182368"/>
      </c:lineChart>
      <c:catAx>
        <c:axId val="481181976"/>
        <c:scaling>
          <c:orientation val="minMax"/>
        </c:scaling>
        <c:delete val="0"/>
        <c:axPos val="b"/>
        <c:numFmt formatCode="General" sourceLinked="1"/>
        <c:majorTickMark val="out"/>
        <c:minorTickMark val="none"/>
        <c:tickLblPos val="nextTo"/>
        <c:spPr>
          <a:ln>
            <a:solidFill>
              <a:sysClr val="windowText" lastClr="000000"/>
            </a:solidFill>
          </a:ln>
        </c:spPr>
        <c:txPr>
          <a:bodyPr rot="0" vert="horz"/>
          <a:lstStyle/>
          <a:p>
            <a:pPr>
              <a:defRPr sz="1050" b="0" i="0" u="none" strike="noStrike" baseline="0">
                <a:solidFill>
                  <a:sysClr val="windowText" lastClr="000000"/>
                </a:solidFill>
                <a:latin typeface="Calibri"/>
                <a:ea typeface="Calibri"/>
                <a:cs typeface="Calibri"/>
              </a:defRPr>
            </a:pPr>
            <a:endParaRPr lang="en-US"/>
          </a:p>
        </c:txPr>
        <c:crossAx val="481182368"/>
        <c:crosses val="autoZero"/>
        <c:auto val="1"/>
        <c:lblAlgn val="ctr"/>
        <c:lblOffset val="100"/>
        <c:noMultiLvlLbl val="0"/>
      </c:catAx>
      <c:valAx>
        <c:axId val="481182368"/>
        <c:scaling>
          <c:orientation val="minMax"/>
        </c:scaling>
        <c:delete val="0"/>
        <c:axPos val="l"/>
        <c:numFmt formatCode="#,##0" sourceLinked="1"/>
        <c:majorTickMark val="out"/>
        <c:minorTickMark val="none"/>
        <c:tickLblPos val="nextTo"/>
        <c:spPr>
          <a:ln>
            <a:solidFill>
              <a:sysClr val="windowText" lastClr="000000"/>
            </a:solidFill>
          </a:ln>
        </c:spPr>
        <c:txPr>
          <a:bodyPr rot="0" vert="horz"/>
          <a:lstStyle/>
          <a:p>
            <a:pPr>
              <a:defRPr sz="1050" b="0" i="0" u="none" strike="noStrike" baseline="0">
                <a:solidFill>
                  <a:sysClr val="windowText" lastClr="000000"/>
                </a:solidFill>
                <a:latin typeface="Calibri"/>
                <a:ea typeface="Calibri"/>
                <a:cs typeface="Calibri"/>
              </a:defRPr>
            </a:pPr>
            <a:endParaRPr lang="en-US"/>
          </a:p>
        </c:txPr>
        <c:crossAx val="481181976"/>
        <c:crosses val="autoZero"/>
        <c:crossBetween val="between"/>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161931130742173"/>
          <c:y val="2.9926209048134606E-2"/>
          <c:w val="0.90231314440512556"/>
          <c:h val="0.87477474047101722"/>
        </c:manualLayout>
      </c:layout>
      <c:barChart>
        <c:barDir val="col"/>
        <c:grouping val="clustered"/>
        <c:varyColors val="0"/>
        <c:ser>
          <c:idx val="2"/>
          <c:order val="2"/>
          <c:tx>
            <c:strRef>
              <c:f>'4 EA 5 Data Sheet'!$G$30</c:f>
              <c:strCache>
                <c:ptCount val="1"/>
                <c:pt idx="0">
                  <c:v>Actual Cumulative</c:v>
                </c:pt>
              </c:strCache>
            </c:strRef>
          </c:tx>
          <c:spPr>
            <a:solidFill>
              <a:srgbClr val="D95F15"/>
            </a:solidFill>
          </c:spPr>
          <c:invertIfNegative val="0"/>
          <c:dPt>
            <c:idx val="4"/>
            <c:invertIfNegative val="0"/>
            <c:bubble3D val="0"/>
            <c:spPr>
              <a:solidFill>
                <a:srgbClr val="D95F15"/>
              </a:solidFill>
              <a:ln>
                <a:noFill/>
              </a:ln>
            </c:spPr>
          </c:dPt>
          <c:dLbls>
            <c:spPr>
              <a:noFill/>
              <a:ln>
                <a:noFill/>
              </a:ln>
              <a:effectLst/>
            </c:spPr>
            <c:txPr>
              <a:bodyPr/>
              <a:lstStyle/>
              <a:p>
                <a:pPr>
                  <a:defRPr sz="10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5"/>
              <c:pt idx="0">
                <c:v>Q4 16/17</c:v>
              </c:pt>
              <c:pt idx="1">
                <c:v>Q1 17/18</c:v>
              </c:pt>
              <c:pt idx="2">
                <c:v>Q2 17/18</c:v>
              </c:pt>
              <c:pt idx="3">
                <c:v>Q3 17/18</c:v>
              </c:pt>
              <c:pt idx="4">
                <c:v>Q4 17/18</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'4 EA 5 Data Sheet'!$G$38:$G$46</c15:sqref>
                  </c15:fullRef>
                </c:ext>
              </c:extLst>
              <c:f>'4 EA 5 Data Sheet'!$G$39:$G$46</c:f>
              <c:numCache>
                <c:formatCode>#,##0</c:formatCode>
                <c:ptCount val="5"/>
                <c:pt idx="0">
                  <c:v>96986</c:v>
                </c:pt>
                <c:pt idx="1">
                  <c:v>99651</c:v>
                </c:pt>
                <c:pt idx="2">
                  <c:v>101214</c:v>
                </c:pt>
                <c:pt idx="3">
                  <c:v>107834</c:v>
                </c:pt>
                <c:pt idx="4">
                  <c:v>0</c:v>
                </c:pt>
              </c:numCache>
            </c:numRef>
          </c:val>
        </c:ser>
        <c:dLbls>
          <c:showLegendKey val="0"/>
          <c:showVal val="0"/>
          <c:showCatName val="0"/>
          <c:showSerName val="0"/>
          <c:showPercent val="0"/>
          <c:showBubbleSize val="0"/>
        </c:dLbls>
        <c:gapWidth val="20"/>
        <c:overlap val="10"/>
        <c:axId val="481183152"/>
        <c:axId val="481183544"/>
      </c:barChart>
      <c:lineChart>
        <c:grouping val="standard"/>
        <c:varyColors val="0"/>
        <c:ser>
          <c:idx val="0"/>
          <c:order val="0"/>
          <c:tx>
            <c:strRef>
              <c:f>'4 EA 5 Data Sheet'!$H$30</c:f>
              <c:strCache>
                <c:ptCount val="1"/>
                <c:pt idx="0">
                  <c:v>Programme target</c:v>
                </c:pt>
              </c:strCache>
            </c:strRef>
          </c:tx>
          <c:spPr>
            <a:ln>
              <a:solidFill>
                <a:srgbClr val="034B89"/>
              </a:solidFill>
            </a:ln>
          </c:spPr>
          <c:marker>
            <c:symbol val="none"/>
          </c:marker>
          <c:dPt>
            <c:idx val="5"/>
            <c:bubble3D val="0"/>
            <c:spPr>
              <a:ln>
                <a:noFill/>
              </a:ln>
            </c:spPr>
          </c:dPt>
          <c:dPt>
            <c:idx val="6"/>
            <c:bubble3D val="0"/>
            <c:spPr>
              <a:ln>
                <a:noFill/>
              </a:ln>
            </c:spPr>
          </c:dPt>
          <c:cat>
            <c:strRef>
              <c:extLst>
                <c:ext xmlns:c15="http://schemas.microsoft.com/office/drawing/2012/chart" uri="{02D57815-91ED-43cb-92C2-25804820EDAC}">
                  <c15:fullRef>
                    <c15:sqref>'4 EA 5 Data Sheet'!$A$31:$A$46</c15:sqref>
                  </c15:fullRef>
                </c:ext>
              </c:extLst>
              <c:f>'4 EA 5 Data Sheet'!$A$32:$A$46</c:f>
              <c:strCache>
                <c:ptCount val="5"/>
                <c:pt idx="0">
                  <c:v>Q4 16/17</c:v>
                </c:pt>
                <c:pt idx="1">
                  <c:v>Q1 17/18</c:v>
                </c:pt>
                <c:pt idx="2">
                  <c:v>Q2 17/18</c:v>
                </c:pt>
                <c:pt idx="3">
                  <c:v>Q3 17/18</c:v>
                </c:pt>
                <c:pt idx="4">
                  <c:v>Q4 17/18</c:v>
                </c:pt>
              </c:strCache>
            </c:strRef>
          </c:cat>
          <c:val>
            <c:numRef>
              <c:extLst>
                <c:ext xmlns:c15="http://schemas.microsoft.com/office/drawing/2012/chart" uri="{02D57815-91ED-43cb-92C2-25804820EDAC}">
                  <c15:fullRef>
                    <c15:sqref>'4 EA 5 Data Sheet'!$H$31:$H$46</c15:sqref>
                  </c15:fullRef>
                </c:ext>
              </c:extLst>
              <c:f>'4 EA 5 Data Sheet'!$H$32:$H$46</c:f>
              <c:numCache>
                <c:formatCode>#,##0</c:formatCode>
                <c:ptCount val="5"/>
                <c:pt idx="0">
                  <c:v>300000</c:v>
                </c:pt>
                <c:pt idx="1">
                  <c:v>300000</c:v>
                </c:pt>
                <c:pt idx="2">
                  <c:v>300000</c:v>
                </c:pt>
                <c:pt idx="3">
                  <c:v>300000</c:v>
                </c:pt>
                <c:pt idx="4">
                  <c:v>300000</c:v>
                </c:pt>
              </c:numCache>
            </c:numRef>
          </c:val>
          <c:smooth val="0"/>
        </c:ser>
        <c:ser>
          <c:idx val="1"/>
          <c:order val="1"/>
          <c:tx>
            <c:strRef>
              <c:f>'4 EA 5 Data Sheet'!$I$30</c:f>
              <c:strCache>
                <c:ptCount val="1"/>
                <c:pt idx="0">
                  <c:v>Target</c:v>
                </c:pt>
              </c:strCache>
            </c:strRef>
          </c:tx>
          <c:spPr>
            <a:ln>
              <a:solidFill>
                <a:srgbClr val="034B89"/>
              </a:solidFill>
            </a:ln>
          </c:spPr>
          <c:marker>
            <c:symbol val="none"/>
          </c:marker>
          <c:cat>
            <c:strRef>
              <c:extLst>
                <c:ext xmlns:c15="http://schemas.microsoft.com/office/drawing/2012/chart" uri="{02D57815-91ED-43cb-92C2-25804820EDAC}">
                  <c15:fullRef>
                    <c15:sqref>'4 EA 5 Data Sheet'!$A$31:$A$46</c15:sqref>
                  </c15:fullRef>
                </c:ext>
              </c:extLst>
              <c:f>'4 EA 5 Data Sheet'!$A$32:$A$46</c:f>
              <c:strCache>
                <c:ptCount val="5"/>
                <c:pt idx="0">
                  <c:v>Q4 16/17</c:v>
                </c:pt>
                <c:pt idx="1">
                  <c:v>Q1 17/18</c:v>
                </c:pt>
                <c:pt idx="2">
                  <c:v>Q2 17/18</c:v>
                </c:pt>
                <c:pt idx="3">
                  <c:v>Q3 17/18</c:v>
                </c:pt>
                <c:pt idx="4">
                  <c:v>Q4 17/18</c:v>
                </c:pt>
              </c:strCache>
            </c:strRef>
          </c:cat>
          <c:val>
            <c:numRef>
              <c:extLst>
                <c:ext xmlns:c15="http://schemas.microsoft.com/office/drawing/2012/chart" uri="{02D57815-91ED-43cb-92C2-25804820EDAC}">
                  <c15:fullRef>
                    <c15:sqref>'4 EA 5 Data Sheet'!$I$31:$I$46</c15:sqref>
                  </c15:fullRef>
                </c:ext>
              </c:extLst>
              <c:f>'4 EA 5 Data Sheet'!$I$32:$I$46</c:f>
              <c:numCache>
                <c:formatCode>#,##0</c:formatCode>
                <c:ptCount val="5"/>
                <c:pt idx="0">
                  <c:v>89000</c:v>
                </c:pt>
                <c:pt idx="1">
                  <c:v>99000</c:v>
                </c:pt>
                <c:pt idx="2">
                  <c:v>100000</c:v>
                </c:pt>
                <c:pt idx="3">
                  <c:v>101000</c:v>
                </c:pt>
                <c:pt idx="4">
                  <c:v>140000</c:v>
                </c:pt>
              </c:numCache>
            </c:numRef>
          </c:val>
          <c:smooth val="0"/>
        </c:ser>
        <c:dLbls>
          <c:showLegendKey val="0"/>
          <c:showVal val="0"/>
          <c:showCatName val="0"/>
          <c:showSerName val="0"/>
          <c:showPercent val="0"/>
          <c:showBubbleSize val="0"/>
        </c:dLbls>
        <c:marker val="1"/>
        <c:smooth val="0"/>
        <c:axId val="481183152"/>
        <c:axId val="481183544"/>
      </c:lineChart>
      <c:catAx>
        <c:axId val="481183152"/>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481183544"/>
        <c:crosses val="autoZero"/>
        <c:auto val="1"/>
        <c:lblAlgn val="ctr"/>
        <c:lblOffset val="100"/>
        <c:noMultiLvlLbl val="0"/>
      </c:catAx>
      <c:valAx>
        <c:axId val="481183544"/>
        <c:scaling>
          <c:orientation val="minMax"/>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81183152"/>
        <c:crosses val="autoZero"/>
        <c:crossBetween val="between"/>
      </c:valAx>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3685341920054482E-2"/>
          <c:y val="0.10558269120103322"/>
          <c:w val="0.89784897163737964"/>
          <c:h val="0.79911833450725156"/>
        </c:manualLayout>
      </c:layout>
      <c:barChart>
        <c:barDir val="col"/>
        <c:grouping val="clustered"/>
        <c:varyColors val="0"/>
        <c:ser>
          <c:idx val="1"/>
          <c:order val="0"/>
          <c:tx>
            <c:strRef>
              <c:f>'4 EA 6 Data Sheet'!$E$22</c:f>
              <c:strCache>
                <c:ptCount val="1"/>
                <c:pt idx="0">
                  <c:v>% Actual (Rounded)</c:v>
                </c:pt>
              </c:strCache>
            </c:strRef>
          </c:tx>
          <c:spPr>
            <a:solidFill>
              <a:srgbClr val="D95F15"/>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'4 EA 6 Data Sheet'!$A$23:$A$39</c:f>
              <c:strCache>
                <c:ptCount val="6"/>
                <c:pt idx="0">
                  <c:v>2014/15</c:v>
                </c:pt>
                <c:pt idx="1">
                  <c:v>2015/16</c:v>
                </c:pt>
                <c:pt idx="2">
                  <c:v>2016/17</c:v>
                </c:pt>
                <c:pt idx="3">
                  <c:v>Q1 17/18</c:v>
                </c:pt>
                <c:pt idx="4">
                  <c:v>Q2 17/18</c:v>
                </c:pt>
                <c:pt idx="5">
                  <c:v>Q3 17/18</c:v>
                </c:pt>
              </c:strCache>
            </c:strRef>
          </c:cat>
          <c:val>
            <c:numRef>
              <c:f>'4 EA 6 Data Sheet'!$E$23:$E$39</c:f>
              <c:numCache>
                <c:formatCode>0.0%</c:formatCode>
                <c:ptCount val="6"/>
                <c:pt idx="0">
                  <c:v>0.96621542542815897</c:v>
                </c:pt>
                <c:pt idx="1">
                  <c:v>0.95699999999999996</c:v>
                </c:pt>
                <c:pt idx="2">
                  <c:v>0.97199999999999998</c:v>
                </c:pt>
                <c:pt idx="3">
                  <c:v>0.96299999999999997</c:v>
                </c:pt>
                <c:pt idx="4">
                  <c:v>0.95699999999999996</c:v>
                </c:pt>
                <c:pt idx="5">
                  <c:v>0.96699999999999997</c:v>
                </c:pt>
              </c:numCache>
            </c:numRef>
          </c:val>
        </c:ser>
        <c:dLbls>
          <c:showLegendKey val="0"/>
          <c:showVal val="0"/>
          <c:showCatName val="0"/>
          <c:showSerName val="0"/>
          <c:showPercent val="0"/>
          <c:showBubbleSize val="0"/>
        </c:dLbls>
        <c:gapWidth val="50"/>
        <c:axId val="481184328"/>
        <c:axId val="481184720"/>
      </c:barChart>
      <c:lineChart>
        <c:grouping val="standard"/>
        <c:varyColors val="0"/>
        <c:ser>
          <c:idx val="0"/>
          <c:order val="1"/>
          <c:tx>
            <c:strRef>
              <c:f>'4 EA 6 Data Sheet'!$F$22</c:f>
              <c:strCache>
                <c:ptCount val="1"/>
                <c:pt idx="0">
                  <c:v>% Target</c:v>
                </c:pt>
              </c:strCache>
            </c:strRef>
          </c:tx>
          <c:marker>
            <c:symbol val="none"/>
          </c:marker>
          <c:cat>
            <c:strRef>
              <c:f>'4 EA 6 Data Sheet'!$A$23:$A$39</c:f>
              <c:strCache>
                <c:ptCount val="6"/>
                <c:pt idx="0">
                  <c:v>2014/15</c:v>
                </c:pt>
                <c:pt idx="1">
                  <c:v>2015/16</c:v>
                </c:pt>
                <c:pt idx="2">
                  <c:v>2016/17</c:v>
                </c:pt>
                <c:pt idx="3">
                  <c:v>Q1 17/18</c:v>
                </c:pt>
                <c:pt idx="4">
                  <c:v>Q2 17/18</c:v>
                </c:pt>
                <c:pt idx="5">
                  <c:v>Q3 17/18</c:v>
                </c:pt>
              </c:strCache>
            </c:strRef>
          </c:cat>
          <c:val>
            <c:numRef>
              <c:f>'4 EA 6 Data Sheet'!$F$23:$F$39</c:f>
              <c:numCache>
                <c:formatCode>0.0%</c:formatCode>
                <c:ptCount val="6"/>
                <c:pt idx="0">
                  <c:v>0.97</c:v>
                </c:pt>
                <c:pt idx="1">
                  <c:v>0.97</c:v>
                </c:pt>
                <c:pt idx="2">
                  <c:v>0.97</c:v>
                </c:pt>
                <c:pt idx="3">
                  <c:v>0.97099999999999997</c:v>
                </c:pt>
                <c:pt idx="4">
                  <c:v>0.97199999999999998</c:v>
                </c:pt>
                <c:pt idx="5">
                  <c:v>0.97299999999999998</c:v>
                </c:pt>
              </c:numCache>
            </c:numRef>
          </c:val>
          <c:smooth val="0"/>
        </c:ser>
        <c:dLbls>
          <c:showLegendKey val="0"/>
          <c:showVal val="0"/>
          <c:showCatName val="0"/>
          <c:showSerName val="0"/>
          <c:showPercent val="0"/>
          <c:showBubbleSize val="0"/>
        </c:dLbls>
        <c:marker val="1"/>
        <c:smooth val="0"/>
        <c:axId val="481184328"/>
        <c:axId val="481184720"/>
      </c:lineChart>
      <c:catAx>
        <c:axId val="48118432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81184720"/>
        <c:crosses val="autoZero"/>
        <c:auto val="1"/>
        <c:lblAlgn val="ctr"/>
        <c:lblOffset val="100"/>
        <c:noMultiLvlLbl val="0"/>
      </c:catAx>
      <c:valAx>
        <c:axId val="481184720"/>
        <c:scaling>
          <c:orientation val="minMax"/>
          <c:max val="1"/>
          <c:min val="0"/>
        </c:scaling>
        <c:delete val="0"/>
        <c:axPos val="l"/>
        <c:numFmt formatCode="0%"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81184328"/>
        <c:crosses val="autoZero"/>
        <c:crossBetween val="between"/>
      </c:valAx>
      <c:spPr>
        <a:noFill/>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44944224387568"/>
          <c:y val="2.9926108284205215E-2"/>
          <c:w val="0.88655055775612435"/>
          <c:h val="0.76316063436028136"/>
        </c:manualLayout>
      </c:layout>
      <c:barChart>
        <c:barDir val="col"/>
        <c:grouping val="clustered"/>
        <c:varyColors val="0"/>
        <c:ser>
          <c:idx val="0"/>
          <c:order val="0"/>
          <c:tx>
            <c:strRef>
              <c:f>'4 EA 6 Data Sheet'!$B$43</c:f>
              <c:strCache>
                <c:ptCount val="1"/>
                <c:pt idx="0">
                  <c:v>No. of assets</c:v>
                </c:pt>
              </c:strCache>
            </c:strRef>
          </c:tx>
          <c:spPr>
            <a:solidFill>
              <a:srgbClr val="D95F15"/>
            </a:solidFill>
          </c:spPr>
          <c:invertIfNegative val="0"/>
          <c:dLbls>
            <c:spPr>
              <a:noFill/>
              <a:ln>
                <a:noFill/>
              </a:ln>
              <a:effectLst/>
            </c:spPr>
            <c:txPr>
              <a:bodyPr wrap="square" lIns="38100" tIns="19050" rIns="38100" bIns="19050" anchor="ctr">
                <a:spAutoFit/>
              </a:bodyPr>
              <a:lstStyle/>
              <a:p>
                <a:pPr>
                  <a:defRPr sz="105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EA 6 Data Sheet'!$A$44:$A$45</c:f>
              <c:strCache>
                <c:ptCount val="2"/>
                <c:pt idx="0">
                  <c:v>At or above required target condition (EA)</c:v>
                </c:pt>
                <c:pt idx="1">
                  <c:v>Below required target condition 
(EA)</c:v>
                </c:pt>
              </c:strCache>
            </c:strRef>
          </c:cat>
          <c:val>
            <c:numRef>
              <c:f>'4 EA 6 Data Sheet'!$B$44:$B$45</c:f>
              <c:numCache>
                <c:formatCode>#,##0</c:formatCode>
                <c:ptCount val="2"/>
                <c:pt idx="0">
                  <c:v>29385</c:v>
                </c:pt>
                <c:pt idx="1">
                  <c:v>1006</c:v>
                </c:pt>
              </c:numCache>
            </c:numRef>
          </c:val>
        </c:ser>
        <c:dLbls>
          <c:showLegendKey val="0"/>
          <c:showVal val="0"/>
          <c:showCatName val="0"/>
          <c:showSerName val="0"/>
          <c:showPercent val="0"/>
          <c:showBubbleSize val="0"/>
        </c:dLbls>
        <c:gapWidth val="50"/>
        <c:axId val="481376952"/>
        <c:axId val="481377344"/>
      </c:barChart>
      <c:catAx>
        <c:axId val="481376952"/>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81377344"/>
        <c:crosses val="autoZero"/>
        <c:auto val="0"/>
        <c:lblAlgn val="ctr"/>
        <c:lblOffset val="100"/>
        <c:noMultiLvlLbl val="0"/>
      </c:catAx>
      <c:valAx>
        <c:axId val="481377344"/>
        <c:scaling>
          <c:orientation val="minMax"/>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81376952"/>
        <c:crosses val="autoZero"/>
        <c:crossBetween val="between"/>
      </c:valAx>
    </c:plotArea>
    <c:plotVisOnly val="1"/>
    <c:dispBlanksAs val="gap"/>
    <c:showDLblsOverMax val="0"/>
  </c:chart>
  <c:spPr>
    <a:ln>
      <a:noFill/>
    </a:ln>
  </c:spPr>
  <c:txPr>
    <a:bodyPr/>
    <a:lstStyle/>
    <a:p>
      <a:pPr>
        <a:defRPr>
          <a:solidFill>
            <a:srgbClr val="C00000"/>
          </a:solidFill>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3685341920054496E-2"/>
          <c:y val="8.02661217980664E-2"/>
          <c:w val="0.89784897163737998"/>
          <c:h val="0.82443469882720299"/>
        </c:manualLayout>
      </c:layout>
      <c:barChart>
        <c:barDir val="col"/>
        <c:grouping val="clustered"/>
        <c:varyColors val="0"/>
        <c:ser>
          <c:idx val="2"/>
          <c:order val="0"/>
          <c:tx>
            <c:strRef>
              <c:f>'4 EA 7 Data Sheet'!$B$21</c:f>
              <c:strCache>
                <c:ptCount val="1"/>
                <c:pt idx="0">
                  <c:v>Total Number of EA Staff Trained and Ready to Respond To Incidents</c:v>
                </c:pt>
              </c:strCache>
            </c:strRef>
          </c:tx>
          <c:spPr>
            <a:solidFill>
              <a:srgbClr val="D95F15"/>
            </a:solidFill>
          </c:spPr>
          <c:invertIfNegative val="0"/>
          <c:dLbls>
            <c:numFmt formatCode="#,##0" sourceLinked="0"/>
            <c:spPr>
              <a:noFill/>
              <a:ln>
                <a:noFill/>
              </a:ln>
              <a:effectLst/>
            </c:spPr>
            <c:txPr>
              <a:bodyPr wrap="square" lIns="38100" tIns="19050" rIns="38100" bIns="19050" anchor="ctr">
                <a:spAutoFit/>
              </a:bodyPr>
              <a:lstStyle/>
              <a:p>
                <a:pPr>
                  <a:defRPr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'4 EA 7 Data Sheet'!$A$22:$A$29</c15:sqref>
                  </c15:fullRef>
                </c:ext>
              </c:extLst>
              <c:f>('4 EA 7 Data Sheet'!$A$22,'4 EA 7 Data Sheet'!$A$24:$A$29)</c:f>
              <c:strCache>
                <c:ptCount val="6"/>
                <c:pt idx="0">
                  <c:v>Q2 16/17</c:v>
                </c:pt>
                <c:pt idx="1">
                  <c:v>Q3 16/17</c:v>
                </c:pt>
                <c:pt idx="2">
                  <c:v>Q4 16/17</c:v>
                </c:pt>
                <c:pt idx="3">
                  <c:v>Q1 17/18</c:v>
                </c:pt>
                <c:pt idx="4">
                  <c:v>Q2 17/18</c:v>
                </c:pt>
                <c:pt idx="5">
                  <c:v>Q3 17/18</c:v>
                </c:pt>
              </c:strCache>
            </c:strRef>
          </c:cat>
          <c:val>
            <c:numRef>
              <c:extLst>
                <c:ext xmlns:c15="http://schemas.microsoft.com/office/drawing/2012/chart" uri="{02D57815-91ED-43cb-92C2-25804820EDAC}">
                  <c15:fullRef>
                    <c15:sqref>'4 EA 7 Data Sheet'!$B$22:$B$29</c15:sqref>
                  </c15:fullRef>
                </c:ext>
              </c:extLst>
              <c:f>('4 EA 7 Data Sheet'!$B$22,'4 EA 7 Data Sheet'!$B$24:$B$29)</c:f>
              <c:numCache>
                <c:formatCode>General</c:formatCode>
                <c:ptCount val="6"/>
                <c:pt idx="0">
                  <c:v>6512</c:v>
                </c:pt>
                <c:pt idx="1">
                  <c:v>6577</c:v>
                </c:pt>
                <c:pt idx="2">
                  <c:v>6716</c:v>
                </c:pt>
                <c:pt idx="3">
                  <c:v>6267</c:v>
                </c:pt>
                <c:pt idx="4">
                  <c:v>6431</c:v>
                </c:pt>
                <c:pt idx="5" formatCode="#,##0">
                  <c:v>6626</c:v>
                </c:pt>
              </c:numCache>
            </c:numRef>
          </c:val>
        </c:ser>
        <c:dLbls>
          <c:showLegendKey val="0"/>
          <c:showVal val="0"/>
          <c:showCatName val="0"/>
          <c:showSerName val="0"/>
          <c:showPercent val="0"/>
          <c:showBubbleSize val="0"/>
        </c:dLbls>
        <c:gapWidth val="50"/>
        <c:axId val="481378128"/>
        <c:axId val="481378520"/>
      </c:barChart>
      <c:lineChart>
        <c:grouping val="standard"/>
        <c:varyColors val="0"/>
        <c:ser>
          <c:idx val="0"/>
          <c:order val="1"/>
          <c:tx>
            <c:strRef>
              <c:f>'4 EA 7 Data Sheet'!$C$21</c:f>
              <c:strCache>
                <c:ptCount val="1"/>
                <c:pt idx="0">
                  <c:v>Target Number of EA Staff to be trained and Ready to Respond to incidents</c:v>
                </c:pt>
              </c:strCache>
            </c:strRef>
          </c:tx>
          <c:spPr>
            <a:ln>
              <a:solidFill>
                <a:srgbClr val="034B89"/>
              </a:solidFill>
            </a:ln>
          </c:spPr>
          <c:marker>
            <c:symbol val="none"/>
          </c:marker>
          <c:cat>
            <c:strRef>
              <c:extLst>
                <c:ext xmlns:c15="http://schemas.microsoft.com/office/drawing/2012/chart" uri="{02D57815-91ED-43cb-92C2-25804820EDAC}">
                  <c15:fullRef>
                    <c15:sqref>'4 EA 7 Data Sheet'!$A$22:$A$30</c15:sqref>
                  </c15:fullRef>
                </c:ext>
              </c:extLst>
              <c:f>('4 EA 7 Data Sheet'!$A$22,'4 EA 7 Data Sheet'!$A$24:$A$30)</c:f>
              <c:strCache>
                <c:ptCount val="6"/>
                <c:pt idx="0">
                  <c:v>Q2 16/17</c:v>
                </c:pt>
                <c:pt idx="1">
                  <c:v>Q3 16/17</c:v>
                </c:pt>
                <c:pt idx="2">
                  <c:v>Q4 16/17</c:v>
                </c:pt>
                <c:pt idx="3">
                  <c:v>Q1 17/18</c:v>
                </c:pt>
                <c:pt idx="4">
                  <c:v>Q2 17/18</c:v>
                </c:pt>
                <c:pt idx="5">
                  <c:v>Q3 17/18</c:v>
                </c:pt>
              </c:strCache>
            </c:strRef>
          </c:cat>
          <c:val>
            <c:numRef>
              <c:extLst>
                <c:ext xmlns:c15="http://schemas.microsoft.com/office/drawing/2012/chart" uri="{02D57815-91ED-43cb-92C2-25804820EDAC}">
                  <c15:fullRef>
                    <c15:sqref>'4 EA 7 Data Sheet'!$C$22:$C$29</c15:sqref>
                  </c15:fullRef>
                </c:ext>
              </c:extLst>
              <c:f>('4 EA 7 Data Sheet'!$C$22,'4 EA 7 Data Sheet'!$C$24:$C$29)</c:f>
              <c:numCache>
                <c:formatCode>#,##0</c:formatCode>
                <c:ptCount val="6"/>
                <c:pt idx="0">
                  <c:v>6500</c:v>
                </c:pt>
                <c:pt idx="1">
                  <c:v>6500</c:v>
                </c:pt>
                <c:pt idx="2">
                  <c:v>6500</c:v>
                </c:pt>
                <c:pt idx="3">
                  <c:v>6500</c:v>
                </c:pt>
                <c:pt idx="4">
                  <c:v>6500</c:v>
                </c:pt>
                <c:pt idx="5">
                  <c:v>6500</c:v>
                </c:pt>
              </c:numCache>
            </c:numRef>
          </c:val>
          <c:smooth val="0"/>
        </c:ser>
        <c:dLbls>
          <c:showLegendKey val="0"/>
          <c:showVal val="0"/>
          <c:showCatName val="0"/>
          <c:showSerName val="0"/>
          <c:showPercent val="0"/>
          <c:showBubbleSize val="0"/>
        </c:dLbls>
        <c:marker val="1"/>
        <c:smooth val="0"/>
        <c:axId val="481378128"/>
        <c:axId val="481378520"/>
      </c:lineChart>
      <c:catAx>
        <c:axId val="481378128"/>
        <c:scaling>
          <c:orientation val="minMax"/>
        </c:scaling>
        <c:delete val="0"/>
        <c:axPos val="b"/>
        <c:numFmt formatCode="General" sourceLinked="1"/>
        <c:majorTickMark val="out"/>
        <c:minorTickMark val="none"/>
        <c:tickLblPos val="nextTo"/>
        <c:spPr>
          <a:ln>
            <a:solidFill>
              <a:sysClr val="windowText" lastClr="000000"/>
            </a:solidFill>
          </a:ln>
        </c:spPr>
        <c:crossAx val="481378520"/>
        <c:crosses val="autoZero"/>
        <c:auto val="1"/>
        <c:lblAlgn val="ctr"/>
        <c:lblOffset val="100"/>
        <c:noMultiLvlLbl val="0"/>
      </c:catAx>
      <c:valAx>
        <c:axId val="481378520"/>
        <c:scaling>
          <c:orientation val="minMax"/>
          <c:min val="0"/>
        </c:scaling>
        <c:delete val="0"/>
        <c:axPos val="l"/>
        <c:numFmt formatCode="#,##0" sourceLinked="0"/>
        <c:majorTickMark val="out"/>
        <c:minorTickMark val="none"/>
        <c:tickLblPos val="nextTo"/>
        <c:spPr>
          <a:ln>
            <a:solidFill>
              <a:sysClr val="windowText" lastClr="000000"/>
            </a:solidFill>
          </a:ln>
        </c:spPr>
        <c:crossAx val="481378128"/>
        <c:crosses val="autoZero"/>
        <c:crossBetween val="between"/>
      </c:valAx>
      <c:spPr>
        <a:noFill/>
      </c:spPr>
    </c:plotArea>
    <c:plotVisOnly val="1"/>
    <c:dispBlanksAs val="gap"/>
    <c:showDLblsOverMax val="0"/>
  </c:chart>
  <c:spPr>
    <a:noFill/>
    <a:ln>
      <a:noFill/>
    </a:ln>
  </c:spPr>
  <c:txPr>
    <a:bodyPr/>
    <a:lstStyle/>
    <a:p>
      <a:pPr>
        <a:defRPr sz="1050" baseline="0">
          <a:solidFill>
            <a:sysClr val="windowText" lastClr="000000"/>
          </a:solidFill>
        </a:defRPr>
      </a:pPr>
      <a:endParaRPr lang="en-US"/>
    </a:p>
  </c:txPr>
  <c:printSettings>
    <c:headerFooter/>
    <c:pageMargins b="0.75000000000001499" l="0.70000000000000095" r="0.70000000000000095" t="0.75000000000001499"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7544965464416"/>
          <c:y val="5.6541203037071198E-2"/>
          <c:w val="0.89784897163737998"/>
          <c:h val="0.78619860221795002"/>
        </c:manualLayout>
      </c:layout>
      <c:barChart>
        <c:barDir val="col"/>
        <c:grouping val="clustered"/>
        <c:varyColors val="0"/>
        <c:ser>
          <c:idx val="0"/>
          <c:order val="0"/>
          <c:tx>
            <c:strRef>
              <c:f>'4 EA 7 Data Sheet'!$B$35</c:f>
              <c:strCache>
                <c:ptCount val="1"/>
                <c:pt idx="0">
                  <c:v>Staff who respond that they feel confident in role</c:v>
                </c:pt>
              </c:strCache>
            </c:strRef>
          </c:tx>
          <c:spPr>
            <a:solidFill>
              <a:srgbClr val="D95F15"/>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EA 7 Data Sheet'!$A$36:$A$40</c:f>
              <c:strCache>
                <c:ptCount val="4"/>
                <c:pt idx="0">
                  <c:v>2016/17</c:v>
                </c:pt>
                <c:pt idx="1">
                  <c:v>Q1 17/18</c:v>
                </c:pt>
                <c:pt idx="2">
                  <c:v>Q2 17/18</c:v>
                </c:pt>
                <c:pt idx="3">
                  <c:v>Q3 17/18</c:v>
                </c:pt>
              </c:strCache>
            </c:strRef>
          </c:cat>
          <c:val>
            <c:numRef>
              <c:f>'4 EA 7 Data Sheet'!$B$36:$B$40</c:f>
              <c:numCache>
                <c:formatCode>0%</c:formatCode>
                <c:ptCount val="4"/>
                <c:pt idx="0">
                  <c:v>0.73</c:v>
                </c:pt>
                <c:pt idx="1">
                  <c:v>0.7</c:v>
                </c:pt>
                <c:pt idx="2">
                  <c:v>0.69</c:v>
                </c:pt>
                <c:pt idx="3">
                  <c:v>0.69</c:v>
                </c:pt>
              </c:numCache>
            </c:numRef>
          </c:val>
        </c:ser>
        <c:dLbls>
          <c:showLegendKey val="0"/>
          <c:showVal val="0"/>
          <c:showCatName val="0"/>
          <c:showSerName val="0"/>
          <c:showPercent val="0"/>
          <c:showBubbleSize val="0"/>
        </c:dLbls>
        <c:gapWidth val="50"/>
        <c:axId val="481379304"/>
        <c:axId val="481379696"/>
      </c:barChart>
      <c:lineChart>
        <c:grouping val="standard"/>
        <c:varyColors val="0"/>
        <c:ser>
          <c:idx val="1"/>
          <c:order val="1"/>
          <c:tx>
            <c:strRef>
              <c:f>'4 EA 7 Data Sheet'!$C$35</c:f>
              <c:strCache>
                <c:ptCount val="1"/>
                <c:pt idx="0">
                  <c:v>Target Percentage</c:v>
                </c:pt>
              </c:strCache>
            </c:strRef>
          </c:tx>
          <c:spPr>
            <a:ln>
              <a:solidFill>
                <a:srgbClr val="034B89"/>
              </a:solidFill>
            </a:ln>
          </c:spPr>
          <c:marker>
            <c:symbol val="diamond"/>
            <c:size val="5"/>
            <c:spPr>
              <a:solidFill>
                <a:srgbClr val="034B89"/>
              </a:solidFill>
              <a:ln>
                <a:solidFill>
                  <a:srgbClr val="034B89"/>
                </a:solidFill>
              </a:ln>
            </c:spPr>
          </c:marker>
          <c:cat>
            <c:strRef>
              <c:f>'4 EA 7 Data Sheet'!$A$36:$A$40</c:f>
              <c:strCache>
                <c:ptCount val="4"/>
                <c:pt idx="0">
                  <c:v>2016/17</c:v>
                </c:pt>
                <c:pt idx="1">
                  <c:v>Q1 17/18</c:v>
                </c:pt>
                <c:pt idx="2">
                  <c:v>Q2 17/18</c:v>
                </c:pt>
                <c:pt idx="3">
                  <c:v>Q3 17/18</c:v>
                </c:pt>
              </c:strCache>
            </c:strRef>
          </c:cat>
          <c:val>
            <c:numRef>
              <c:f>'4 EA 7 Data Sheet'!$C$36:$C$40</c:f>
              <c:numCache>
                <c:formatCode>0%</c:formatCode>
                <c:ptCount val="4"/>
                <c:pt idx="0">
                  <c:v>0.73</c:v>
                </c:pt>
                <c:pt idx="1">
                  <c:v>0.74</c:v>
                </c:pt>
                <c:pt idx="2">
                  <c:v>0.76</c:v>
                </c:pt>
                <c:pt idx="3">
                  <c:v>0.74</c:v>
                </c:pt>
              </c:numCache>
            </c:numRef>
          </c:val>
          <c:smooth val="0"/>
        </c:ser>
        <c:dLbls>
          <c:showLegendKey val="0"/>
          <c:showVal val="0"/>
          <c:showCatName val="0"/>
          <c:showSerName val="0"/>
          <c:showPercent val="0"/>
          <c:showBubbleSize val="0"/>
        </c:dLbls>
        <c:marker val="1"/>
        <c:smooth val="0"/>
        <c:axId val="481379304"/>
        <c:axId val="481379696"/>
      </c:lineChart>
      <c:catAx>
        <c:axId val="481379304"/>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50" baseline="0"/>
            </a:pPr>
            <a:endParaRPr lang="en-US"/>
          </a:p>
        </c:txPr>
        <c:crossAx val="481379696"/>
        <c:crosses val="autoZero"/>
        <c:auto val="1"/>
        <c:lblAlgn val="ctr"/>
        <c:lblOffset val="100"/>
        <c:noMultiLvlLbl val="0"/>
      </c:catAx>
      <c:valAx>
        <c:axId val="481379696"/>
        <c:scaling>
          <c:orientation val="minMax"/>
          <c:min val="0"/>
        </c:scaling>
        <c:delete val="0"/>
        <c:axPos val="l"/>
        <c:numFmt formatCode="0%" sourceLinked="0"/>
        <c:majorTickMark val="out"/>
        <c:minorTickMark val="none"/>
        <c:tickLblPos val="nextTo"/>
        <c:spPr>
          <a:ln>
            <a:solidFill>
              <a:sysClr val="windowText" lastClr="000000"/>
            </a:solidFill>
          </a:ln>
        </c:spPr>
        <c:txPr>
          <a:bodyPr/>
          <a:lstStyle/>
          <a:p>
            <a:pPr>
              <a:defRPr sz="1050" baseline="0"/>
            </a:pPr>
            <a:endParaRPr lang="en-US"/>
          </a:p>
        </c:txPr>
        <c:crossAx val="481379304"/>
        <c:crosses val="autoZero"/>
        <c:crossBetween val="between"/>
      </c:valAx>
      <c:spPr>
        <a:noFill/>
      </c:spPr>
    </c:plotArea>
    <c:plotVisOnly val="1"/>
    <c:dispBlanksAs val="gap"/>
    <c:showDLblsOverMax val="0"/>
  </c:chart>
  <c:spPr>
    <a:noFill/>
    <a:ln>
      <a:noFill/>
    </a:ln>
  </c:spPr>
  <c:txPr>
    <a:bodyPr/>
    <a:lstStyle/>
    <a:p>
      <a:pPr>
        <a:defRPr baseline="0">
          <a:solidFill>
            <a:sysClr val="windowText" lastClr="000000"/>
          </a:solidFill>
        </a:defRPr>
      </a:pPr>
      <a:endParaRPr lang="en-US"/>
    </a:p>
  </c:txPr>
  <c:printSettings>
    <c:headerFooter/>
    <c:pageMargins b="0.75000000000001499" l="0.70000000000000095" r="0.70000000000000095" t="0.75000000000001499"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69962640668843E-2"/>
          <c:y val="2.5963191726782655E-2"/>
          <c:w val="0.90231314440512722"/>
          <c:h val="0.85490590923466248"/>
        </c:manualLayout>
      </c:layout>
      <c:barChart>
        <c:barDir val="col"/>
        <c:grouping val="clustered"/>
        <c:varyColors val="0"/>
        <c:ser>
          <c:idx val="0"/>
          <c:order val="0"/>
          <c:tx>
            <c:strRef>
              <c:f>'1 EA 1  Data Sheet'!$B$81</c:f>
              <c:strCache>
                <c:ptCount val="1"/>
                <c:pt idx="0">
                  <c:v>Cumulative Actual</c:v>
                </c:pt>
              </c:strCache>
            </c:strRef>
          </c:tx>
          <c:spPr>
            <a:solidFill>
              <a:srgbClr val="00B050"/>
            </a:solidFill>
          </c:spPr>
          <c:invertIfNegative val="0"/>
          <c:dPt>
            <c:idx val="2"/>
            <c:invertIfNegative val="0"/>
            <c:bubble3D val="0"/>
          </c:dPt>
          <c:dPt>
            <c:idx val="3"/>
            <c:invertIfNegative val="0"/>
            <c:bubble3D val="0"/>
          </c:dPt>
          <c:dLbls>
            <c:spPr>
              <a:noFill/>
              <a:ln>
                <a:noFill/>
              </a:ln>
              <a:effectLst/>
            </c:spPr>
            <c:txPr>
              <a:bodyPr/>
              <a:lstStyle/>
              <a:p>
                <a:pPr>
                  <a:defRPr sz="1050"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 EA 1  Data Sheet'!$A$82:$A$86</c15:sqref>
                  </c15:fullRef>
                </c:ext>
              </c:extLst>
              <c:f>'1 EA 1  Data Sheet'!$A$82:$A$85</c:f>
              <c:strCache>
                <c:ptCount val="4"/>
                <c:pt idx="0">
                  <c:v>2016/17</c:v>
                </c:pt>
                <c:pt idx="1">
                  <c:v>2017/18 Q1</c:v>
                </c:pt>
                <c:pt idx="2">
                  <c:v>2017/18 Q2</c:v>
                </c:pt>
                <c:pt idx="3">
                  <c:v>2017/18 Q3</c:v>
                </c:pt>
              </c:strCache>
            </c:strRef>
          </c:cat>
          <c:val>
            <c:numRef>
              <c:extLst>
                <c:ext xmlns:c15="http://schemas.microsoft.com/office/drawing/2012/chart" uri="{02D57815-91ED-43cb-92C2-25804820EDAC}">
                  <c15:fullRef>
                    <c15:sqref>'1 EA 1  Data Sheet'!$B$82:$B$86</c15:sqref>
                  </c15:fullRef>
                </c:ext>
              </c:extLst>
              <c:f>'1 EA 1  Data Sheet'!$B$82:$B$85</c:f>
              <c:numCache>
                <c:formatCode>#,##0</c:formatCode>
                <c:ptCount val="4"/>
                <c:pt idx="0">
                  <c:v>1231</c:v>
                </c:pt>
                <c:pt idx="1">
                  <c:v>2127</c:v>
                </c:pt>
                <c:pt idx="2">
                  <c:v>2202</c:v>
                </c:pt>
                <c:pt idx="3">
                  <c:v>2386.67</c:v>
                </c:pt>
              </c:numCache>
            </c:numRef>
          </c:val>
        </c:ser>
        <c:dLbls>
          <c:showLegendKey val="0"/>
          <c:showVal val="0"/>
          <c:showCatName val="0"/>
          <c:showSerName val="0"/>
          <c:showPercent val="0"/>
          <c:showBubbleSize val="0"/>
        </c:dLbls>
        <c:gapWidth val="62"/>
        <c:axId val="189032056"/>
        <c:axId val="190924920"/>
      </c:barChart>
      <c:lineChart>
        <c:grouping val="standard"/>
        <c:varyColors val="0"/>
        <c:ser>
          <c:idx val="1"/>
          <c:order val="1"/>
          <c:tx>
            <c:strRef>
              <c:f>'1 EA 1  Data Sheet'!$C$81</c:f>
              <c:strCache>
                <c:ptCount val="1"/>
                <c:pt idx="0">
                  <c:v>Target </c:v>
                </c:pt>
              </c:strCache>
            </c:strRef>
          </c:tx>
          <c:spPr>
            <a:ln>
              <a:solidFill>
                <a:srgbClr val="002B54"/>
              </a:solidFill>
            </a:ln>
          </c:spPr>
          <c:marker>
            <c:spPr>
              <a:solidFill>
                <a:srgbClr val="002B54"/>
              </a:solidFill>
              <a:ln>
                <a:solidFill>
                  <a:srgbClr val="002B54"/>
                </a:solidFill>
              </a:ln>
            </c:spPr>
          </c:marker>
          <c:dLbls>
            <c:dLbl>
              <c:idx val="0"/>
              <c:layout>
                <c:manualLayout>
                  <c:x val="-7.1686287202458773E-2"/>
                  <c:y val="-8.0915934459241695E-2"/>
                </c:manualLayout>
              </c:layout>
              <c:numFmt formatCode="#,##0" sourceLinked="0"/>
              <c:spPr>
                <a:noFill/>
              </c:spPr>
              <c:txPr>
                <a:bodyPr wrap="square" lIns="38100" tIns="19050" rIns="38100" bIns="19050" anchor="ctr">
                  <a:noAutofit/>
                </a:bodyPr>
                <a:lstStyle/>
                <a:p>
                  <a:pPr>
                    <a:defRPr sz="1050" baseline="0">
                      <a:solidFill>
                        <a:sysClr val="windowText" lastClr="00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9.210635774456194E-2"/>
                      <c:h val="6.0729192067774745E-2"/>
                    </c:manualLayout>
                  </c15:layout>
                </c:ext>
              </c:extLst>
            </c:dLbl>
            <c:numFmt formatCode="#,##0" sourceLinked="0"/>
            <c:spPr>
              <a:noFill/>
            </c:spPr>
            <c:txPr>
              <a:bodyPr wrap="square" lIns="38100" tIns="19050" rIns="38100" bIns="19050" anchor="ctr">
                <a:spAutoFit/>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 EA 1  Data Sheet'!$A$82:$A$85</c15:sqref>
                  </c15:fullRef>
                </c:ext>
              </c:extLst>
              <c:f>'1 EA 1  Data Sheet'!$A$82:$A$85</c:f>
              <c:strCache>
                <c:ptCount val="4"/>
                <c:pt idx="0">
                  <c:v>2016/17</c:v>
                </c:pt>
                <c:pt idx="1">
                  <c:v>2017/18 Q1</c:v>
                </c:pt>
                <c:pt idx="2">
                  <c:v>2017/18 Q2</c:v>
                </c:pt>
                <c:pt idx="3">
                  <c:v>2017/18 Q3</c:v>
                </c:pt>
              </c:strCache>
            </c:strRef>
          </c:cat>
          <c:val>
            <c:numRef>
              <c:extLst>
                <c:ext xmlns:c15="http://schemas.microsoft.com/office/drawing/2012/chart" uri="{02D57815-91ED-43cb-92C2-25804820EDAC}">
                  <c15:fullRef>
                    <c15:sqref>'1 EA 1  Data Sheet'!$C$82:$C$86</c15:sqref>
                  </c15:fullRef>
                </c:ext>
              </c:extLst>
              <c:f>'1 EA 1  Data Sheet'!$C$82:$C$85</c:f>
              <c:numCache>
                <c:formatCode>#,##0</c:formatCode>
                <c:ptCount val="4"/>
                <c:pt idx="0">
                  <c:v>717</c:v>
                </c:pt>
                <c:pt idx="1">
                  <c:v>1814</c:v>
                </c:pt>
                <c:pt idx="2">
                  <c:v>2190</c:v>
                </c:pt>
                <c:pt idx="3">
                  <c:v>2387</c:v>
                </c:pt>
              </c:numCache>
            </c:numRef>
          </c:val>
          <c:smooth val="0"/>
        </c:ser>
        <c:ser>
          <c:idx val="2"/>
          <c:order val="2"/>
          <c:tx>
            <c:strRef>
              <c:f>'1 EA 1  Data Sheet'!$F$81</c:f>
              <c:strCache>
                <c:ptCount val="1"/>
                <c:pt idx="0">
                  <c:v>2021 Target</c:v>
                </c:pt>
              </c:strCache>
            </c:strRef>
          </c:tx>
          <c:spPr>
            <a:ln>
              <a:solidFill>
                <a:srgbClr val="0177BA"/>
              </a:solidFill>
            </a:ln>
          </c:spPr>
          <c:cat>
            <c:strRef>
              <c:extLst>
                <c:ext xmlns:c15="http://schemas.microsoft.com/office/drawing/2012/chart" uri="{02D57815-91ED-43cb-92C2-25804820EDAC}">
                  <c15:fullRef>
                    <c15:sqref>'1 EA 1  Data Sheet'!$A$82:$A$85</c15:sqref>
                  </c15:fullRef>
                </c:ext>
              </c:extLst>
              <c:f>'1 EA 1  Data Sheet'!$A$82:$A$85</c:f>
              <c:strCache>
                <c:ptCount val="4"/>
                <c:pt idx="0">
                  <c:v>2016/17</c:v>
                </c:pt>
                <c:pt idx="1">
                  <c:v>2017/18 Q1</c:v>
                </c:pt>
                <c:pt idx="2">
                  <c:v>2017/18 Q2</c:v>
                </c:pt>
                <c:pt idx="3">
                  <c:v>2017/18 Q3</c:v>
                </c:pt>
              </c:strCache>
            </c:strRef>
          </c:cat>
          <c:val>
            <c:numRef>
              <c:extLst>
                <c:ext xmlns:c15="http://schemas.microsoft.com/office/drawing/2012/chart" uri="{02D57815-91ED-43cb-92C2-25804820EDAC}">
                  <c15:fullRef>
                    <c15:sqref>'1 EA 1  Data Sheet'!$F$82:$F$86</c15:sqref>
                  </c15:fullRef>
                </c:ext>
              </c:extLst>
              <c:f>'1 EA 1  Data Sheet'!$F$82:$F$85</c:f>
              <c:numCache>
                <c:formatCode>General</c:formatCode>
                <c:ptCount val="4"/>
                <c:pt idx="0">
                  <c:v>8000</c:v>
                </c:pt>
                <c:pt idx="1">
                  <c:v>8000</c:v>
                </c:pt>
                <c:pt idx="2">
                  <c:v>8000</c:v>
                </c:pt>
                <c:pt idx="3">
                  <c:v>8000</c:v>
                </c:pt>
              </c:numCache>
            </c:numRef>
          </c:val>
          <c:smooth val="0"/>
        </c:ser>
        <c:dLbls>
          <c:showLegendKey val="0"/>
          <c:showVal val="0"/>
          <c:showCatName val="0"/>
          <c:showSerName val="0"/>
          <c:showPercent val="0"/>
          <c:showBubbleSize val="0"/>
        </c:dLbls>
        <c:marker val="1"/>
        <c:smooth val="0"/>
        <c:axId val="189032056"/>
        <c:axId val="190924920"/>
      </c:lineChart>
      <c:catAx>
        <c:axId val="189032056"/>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0924920"/>
        <c:crosses val="autoZero"/>
        <c:auto val="1"/>
        <c:lblAlgn val="ctr"/>
        <c:lblOffset val="100"/>
        <c:noMultiLvlLbl val="0"/>
      </c:catAx>
      <c:valAx>
        <c:axId val="190924920"/>
        <c:scaling>
          <c:orientation val="minMax"/>
          <c:max val="8500"/>
          <c:min val="0"/>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89032056"/>
        <c:crosses val="autoZero"/>
        <c:crossBetween val="between"/>
      </c:valAx>
      <c:spPr>
        <a:noFill/>
      </c:spPr>
    </c:plotArea>
    <c:plotVisOnly val="1"/>
    <c:dispBlanksAs val="gap"/>
    <c:showDLblsOverMax val="0"/>
  </c:chart>
  <c:spPr>
    <a:noFill/>
    <a:ln>
      <a:noFill/>
    </a:ln>
  </c:spPr>
  <c:printSettings>
    <c:headerFooter/>
    <c:pageMargins b="0.75000000000000688" l="0.70000000000000062" r="0.70000000000000062" t="0.75000000000000688"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9.4841257571459753E-2"/>
          <c:y val="2.9926213440485572E-2"/>
          <c:w val="0.90231314440512556"/>
          <c:h val="0.87477474047101844"/>
        </c:manualLayout>
      </c:layout>
      <c:barChart>
        <c:barDir val="col"/>
        <c:grouping val="clustered"/>
        <c:varyColors val="0"/>
        <c:ser>
          <c:idx val="0"/>
          <c:order val="0"/>
          <c:tx>
            <c:strRef>
              <c:f>'5 EA 8 Data Sheet'!$F$22</c:f>
              <c:strCache>
                <c:ptCount val="1"/>
                <c:pt idx="0">
                  <c:v>PvT</c:v>
                </c:pt>
              </c:strCache>
            </c:strRef>
          </c:tx>
          <c:spPr>
            <a:solidFill>
              <a:srgbClr val="0177BA"/>
            </a:solidFill>
          </c:spPr>
          <c:invertIfNegative val="0"/>
          <c:dLbls>
            <c:dLbl>
              <c:idx val="0"/>
              <c:layout>
                <c:manualLayout>
                  <c:x val="2.8320974312876297E-3"/>
                  <c:y val="0.28282464340296315"/>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0.2786033800685905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0.3672499100904148"/>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8 Data Sheet'!$A$43:$A$45</c:f>
              <c:strCache>
                <c:ptCount val="3"/>
                <c:pt idx="0">
                  <c:v>Q1 17/18</c:v>
                </c:pt>
                <c:pt idx="1">
                  <c:v>Q2 17/18</c:v>
                </c:pt>
                <c:pt idx="2">
                  <c:v>Q3 17/18</c:v>
                </c:pt>
              </c:strCache>
            </c:strRef>
          </c:cat>
          <c:val>
            <c:numRef>
              <c:f>'5 EA 8 Data Sheet'!$F$43:$F$45</c:f>
              <c:numCache>
                <c:formatCode>0%</c:formatCode>
                <c:ptCount val="3"/>
                <c:pt idx="0">
                  <c:v>1.0371900826446281</c:v>
                </c:pt>
                <c:pt idx="1">
                  <c:v>0.90106007067137805</c:v>
                </c:pt>
                <c:pt idx="2">
                  <c:v>0.93091334894613587</c:v>
                </c:pt>
              </c:numCache>
            </c:numRef>
          </c:val>
        </c:ser>
        <c:dLbls>
          <c:showLegendKey val="0"/>
          <c:showVal val="0"/>
          <c:showCatName val="0"/>
          <c:showSerName val="0"/>
          <c:showPercent val="0"/>
          <c:showBubbleSize val="0"/>
        </c:dLbls>
        <c:gapWidth val="150"/>
        <c:axId val="190605672"/>
        <c:axId val="190606064"/>
      </c:barChart>
      <c:lineChart>
        <c:grouping val="standard"/>
        <c:varyColors val="0"/>
        <c:ser>
          <c:idx val="1"/>
          <c:order val="1"/>
          <c:tx>
            <c:strRef>
              <c:f>'5 EA 8 Data Sheet'!$G$22</c:f>
              <c:strCache>
                <c:ptCount val="1"/>
                <c:pt idx="0">
                  <c:v>Target %</c:v>
                </c:pt>
              </c:strCache>
            </c:strRef>
          </c:tx>
          <c:spPr>
            <a:ln>
              <a:solidFill>
                <a:srgbClr val="820053"/>
              </a:solidFill>
            </a:ln>
          </c:spPr>
          <c:marker>
            <c:symbol val="none"/>
          </c:marker>
          <c:cat>
            <c:strRef>
              <c:f>'5 EA 8 Data Sheet'!$A$23:$A$44</c:f>
              <c:strCache>
                <c:ptCount val="2"/>
                <c:pt idx="0">
                  <c:v>Q1 17/18</c:v>
                </c:pt>
                <c:pt idx="1">
                  <c:v>Q2 17/18</c:v>
                </c:pt>
              </c:strCache>
            </c:strRef>
          </c:cat>
          <c:val>
            <c:numRef>
              <c:f>'5 EA 8 Data Sheet'!$G$43:$G$45</c:f>
              <c:numCache>
                <c:formatCode>0%</c:formatCode>
                <c:ptCount val="3"/>
                <c:pt idx="0">
                  <c:v>1</c:v>
                </c:pt>
                <c:pt idx="1">
                  <c:v>1</c:v>
                </c:pt>
                <c:pt idx="2">
                  <c:v>1</c:v>
                </c:pt>
              </c:numCache>
            </c:numRef>
          </c:val>
          <c:smooth val="0"/>
        </c:ser>
        <c:dLbls>
          <c:showLegendKey val="0"/>
          <c:showVal val="0"/>
          <c:showCatName val="0"/>
          <c:showSerName val="0"/>
          <c:showPercent val="0"/>
          <c:showBubbleSize val="0"/>
        </c:dLbls>
        <c:marker val="1"/>
        <c:smooth val="0"/>
        <c:axId val="190605672"/>
        <c:axId val="190606064"/>
      </c:lineChart>
      <c:catAx>
        <c:axId val="190605672"/>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190606064"/>
        <c:crosses val="autoZero"/>
        <c:auto val="1"/>
        <c:lblAlgn val="ctr"/>
        <c:lblOffset val="100"/>
        <c:noMultiLvlLbl val="0"/>
      </c:catAx>
      <c:valAx>
        <c:axId val="190606064"/>
        <c:scaling>
          <c:orientation val="minMax"/>
          <c:max val="1.1000000000000001"/>
          <c:min val="0"/>
        </c:scaling>
        <c:delete val="0"/>
        <c:axPos val="l"/>
        <c:numFmt formatCode="0%" sourceLinked="1"/>
        <c:majorTickMark val="out"/>
        <c:minorTickMark val="none"/>
        <c:tickLblPos val="nextTo"/>
        <c:txPr>
          <a:bodyPr/>
          <a:lstStyle/>
          <a:p>
            <a:pPr>
              <a:defRPr sz="1050" baseline="0">
                <a:solidFill>
                  <a:sysClr val="windowText" lastClr="000000"/>
                </a:solidFill>
              </a:defRPr>
            </a:pPr>
            <a:endParaRPr lang="en-US"/>
          </a:p>
        </c:txPr>
        <c:crossAx val="190605672"/>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1917197119724475"/>
          <c:y val="2.2780146688602149E-2"/>
          <c:w val="0.87101359233916165"/>
          <c:h val="0.7973351149397756"/>
        </c:manualLayout>
      </c:layout>
      <c:barChart>
        <c:barDir val="col"/>
        <c:grouping val="clustered"/>
        <c:varyColors val="0"/>
        <c:ser>
          <c:idx val="0"/>
          <c:order val="0"/>
          <c:tx>
            <c:strRef>
              <c:f>'5 EA 8 Data Sheet'!$E$22</c:f>
              <c:strCache>
                <c:ptCount val="1"/>
                <c:pt idx="0">
                  <c:v>Planned profiled cumulative expenditure (£m)</c:v>
                </c:pt>
              </c:strCache>
            </c:strRef>
          </c:tx>
          <c:spPr>
            <a:solidFill>
              <a:srgbClr val="0177BA"/>
            </a:solidFill>
          </c:spPr>
          <c:invertIfNegative val="0"/>
          <c:dLbls>
            <c:numFmt formatCode="_(&quot;£&quot;* #,##0_);_(&quot;£&quot;* \(#,##0\);_(&quot;£&quot;* &quot;-&quot;_);_(@_)" sourceLinked="0"/>
            <c:spPr>
              <a:noFill/>
              <a:ln>
                <a:noFill/>
              </a:ln>
              <a:effectLst/>
            </c:spPr>
            <c:txPr>
              <a:bodyPr wrap="square" lIns="38100" tIns="19050" rIns="38100" bIns="19050" anchor="ctr">
                <a:spAutoFit/>
              </a:bodyPr>
              <a:lstStyle/>
              <a:p>
                <a:pPr>
                  <a:defRPr sz="1050"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'5 EA 8 Data Sheet'!$A$43:$A$45</c:f>
              <c:strCache>
                <c:ptCount val="3"/>
                <c:pt idx="0">
                  <c:v>Q1 17/18</c:v>
                </c:pt>
                <c:pt idx="1">
                  <c:v>Q2 17/18</c:v>
                </c:pt>
                <c:pt idx="2">
                  <c:v>Q3 17/18</c:v>
                </c:pt>
              </c:strCache>
            </c:strRef>
          </c:cat>
          <c:val>
            <c:numRef>
              <c:f>'5 EA 8 Data Sheet'!$E$40:$E$45</c:f>
              <c:numCache>
                <c:formatCode>0</c:formatCode>
                <c:ptCount val="3"/>
                <c:pt idx="0">
                  <c:v>242</c:v>
                </c:pt>
                <c:pt idx="1">
                  <c:v>566</c:v>
                </c:pt>
                <c:pt idx="2">
                  <c:v>854</c:v>
                </c:pt>
              </c:numCache>
            </c:numRef>
          </c:val>
        </c:ser>
        <c:ser>
          <c:idx val="1"/>
          <c:order val="1"/>
          <c:tx>
            <c:strRef>
              <c:f>'5 EA 8 Data Sheet'!$D$22</c:f>
              <c:strCache>
                <c:ptCount val="1"/>
                <c:pt idx="0">
                  <c:v>Actual cumulative expenditure (£m)</c:v>
                </c:pt>
              </c:strCache>
            </c:strRef>
          </c:tx>
          <c:spPr>
            <a:solidFill>
              <a:srgbClr val="820053"/>
            </a:solidFill>
          </c:spPr>
          <c:invertIfNegative val="0"/>
          <c:dLbls>
            <c:numFmt formatCode="_(&quot;£&quot;* #,##0_);_(&quot;£&quot;* \(#,##0\);_(&quot;£&quot;* &quot;-&quot;_);_(@_)" sourceLinked="0"/>
            <c:spPr>
              <a:noFill/>
              <a:ln>
                <a:noFill/>
              </a:ln>
              <a:effectLst/>
            </c:spPr>
            <c:txPr>
              <a:bodyPr wrap="square" lIns="38100" tIns="19050" rIns="38100" bIns="19050" anchor="ctr">
                <a:spAutoFit/>
              </a:bodyPr>
              <a:lstStyle/>
              <a:p>
                <a:pPr>
                  <a:defRPr sz="1050"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'5 EA 8 Data Sheet'!$A$43:$A$45</c:f>
              <c:strCache>
                <c:ptCount val="3"/>
                <c:pt idx="0">
                  <c:v>Q1 17/18</c:v>
                </c:pt>
                <c:pt idx="1">
                  <c:v>Q2 17/18</c:v>
                </c:pt>
                <c:pt idx="2">
                  <c:v>Q3 17/18</c:v>
                </c:pt>
              </c:strCache>
            </c:strRef>
          </c:cat>
          <c:val>
            <c:numRef>
              <c:f>'5 EA 8 Data Sheet'!$D$43:$D$45</c:f>
              <c:numCache>
                <c:formatCode>General</c:formatCode>
                <c:ptCount val="3"/>
                <c:pt idx="0" formatCode="0">
                  <c:v>251</c:v>
                </c:pt>
                <c:pt idx="1">
                  <c:v>510</c:v>
                </c:pt>
                <c:pt idx="2">
                  <c:v>795</c:v>
                </c:pt>
              </c:numCache>
            </c:numRef>
          </c:val>
          <c:extLst/>
        </c:ser>
        <c:dLbls>
          <c:showLegendKey val="0"/>
          <c:showVal val="0"/>
          <c:showCatName val="0"/>
          <c:showSerName val="0"/>
          <c:showPercent val="0"/>
          <c:showBubbleSize val="0"/>
        </c:dLbls>
        <c:gapWidth val="16"/>
        <c:axId val="190606848"/>
        <c:axId val="190607240"/>
        <c:extLst/>
      </c:barChart>
      <c:catAx>
        <c:axId val="190606848"/>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190607240"/>
        <c:crosses val="autoZero"/>
        <c:auto val="1"/>
        <c:lblAlgn val="ctr"/>
        <c:lblOffset val="100"/>
        <c:noMultiLvlLbl val="0"/>
      </c:catAx>
      <c:valAx>
        <c:axId val="190607240"/>
        <c:scaling>
          <c:orientation val="minMax"/>
          <c:min val="0"/>
        </c:scaling>
        <c:delete val="0"/>
        <c:axPos val="l"/>
        <c:title>
          <c:tx>
            <c:rich>
              <a:bodyPr rot="-5400000" vert="horz"/>
              <a:lstStyle/>
              <a:p>
                <a:pPr>
                  <a:defRPr sz="1050" b="0" baseline="0">
                    <a:solidFill>
                      <a:sysClr val="windowText" lastClr="000000"/>
                    </a:solidFill>
                  </a:defRPr>
                </a:pPr>
                <a:r>
                  <a:rPr lang="en-US" sz="1050" b="0" baseline="0">
                    <a:solidFill>
                      <a:sysClr val="windowText" lastClr="000000"/>
                    </a:solidFill>
                  </a:rPr>
                  <a:t>£ million</a:t>
                </a:r>
              </a:p>
            </c:rich>
          </c:tx>
          <c:layout>
            <c:manualLayout>
              <c:xMode val="edge"/>
              <c:yMode val="edge"/>
              <c:x val="0"/>
              <c:y val="0.43015091247328374"/>
            </c:manualLayout>
          </c:layout>
          <c:overlay val="0"/>
        </c:title>
        <c:numFmt formatCode="0" sourceLinked="1"/>
        <c:majorTickMark val="out"/>
        <c:minorTickMark val="none"/>
        <c:tickLblPos val="nextTo"/>
        <c:txPr>
          <a:bodyPr/>
          <a:lstStyle/>
          <a:p>
            <a:pPr>
              <a:defRPr sz="1050" baseline="0">
                <a:solidFill>
                  <a:sysClr val="windowText" lastClr="000000"/>
                </a:solidFill>
              </a:defRPr>
            </a:pPr>
            <a:endParaRPr lang="en-US"/>
          </a:p>
        </c:txPr>
        <c:crossAx val="190606848"/>
        <c:crosses val="autoZero"/>
        <c:crossBetween val="between"/>
      </c:valAx>
      <c:spPr>
        <a:noFill/>
        <a:ln>
          <a:noFill/>
        </a:ln>
      </c:spPr>
    </c:plotArea>
    <c:legend>
      <c:legendPos val="b"/>
      <c:layout>
        <c:manualLayout>
          <c:xMode val="edge"/>
          <c:yMode val="edge"/>
          <c:x val="6.66709034918129E-2"/>
          <c:y val="0.88222213723501453"/>
          <c:w val="0.90105987525894826"/>
          <c:h val="0.10405993971556245"/>
        </c:manualLayout>
      </c:layout>
      <c:overlay val="0"/>
      <c:txPr>
        <a:bodyPr/>
        <a:lstStyle/>
        <a:p>
          <a:pPr>
            <a:defRPr sz="1050" baseline="0">
              <a:solidFill>
                <a:sysClr val="windowText" lastClr="000000"/>
              </a:solidFill>
            </a:defRPr>
          </a:pPr>
          <a:endParaRPr lang="en-U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4.5834918262994212E-2"/>
          <c:y val="2.9926019753466274E-2"/>
          <c:w val="0.9455231039081019"/>
          <c:h val="0.9187020311974482"/>
        </c:manualLayout>
      </c:layout>
      <c:barChart>
        <c:barDir val="col"/>
        <c:grouping val="clustered"/>
        <c:varyColors val="0"/>
        <c:ser>
          <c:idx val="1"/>
          <c:order val="1"/>
          <c:tx>
            <c:strRef>
              <c:f>'5 EA 9 Data Sheet'!$J$23</c:f>
              <c:strCache>
                <c:ptCount val="1"/>
                <c:pt idx="0">
                  <c:v>Perf YTD</c:v>
                </c:pt>
              </c:strCache>
            </c:strRef>
          </c:tx>
          <c:spPr>
            <a:solidFill>
              <a:srgbClr val="0177BA"/>
            </a:solidFill>
          </c:spPr>
          <c:invertIfNegative val="0"/>
          <c:dLbls>
            <c:spPr>
              <a:noFill/>
              <a:ln>
                <a:noFill/>
              </a:ln>
              <a:effectLst/>
            </c:spPr>
            <c:txPr>
              <a:bodyPr/>
              <a:lstStyle/>
              <a:p>
                <a:pPr>
                  <a:defRPr sz="120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('5 EA 9 Data Sheet'!$A$24:$A$33,'5 EA 9 Data Sheet'!$A$34,'5 EA 9 Data Sheet'!$A$35)</c15:sqref>
                  </c15:fullRef>
                </c:ext>
              </c:extLst>
              <c:f>('5 EA 9 Data Sheet'!$A$24:$A$26,'5 EA 9 Data Sheet'!$A$30:$A$33,'5 EA 9 Data Sheet'!$A$34,'5 EA 9 Data Sheet'!$A$35)</c:f>
              <c:strCache>
                <c:ptCount val="6"/>
                <c:pt idx="0">
                  <c:v>Q2 16/17</c:v>
                </c:pt>
                <c:pt idx="1">
                  <c:v>Q3 16/17</c:v>
                </c:pt>
                <c:pt idx="2">
                  <c:v>Q4 16/17</c:v>
                </c:pt>
                <c:pt idx="3">
                  <c:v>Q1 17/18</c:v>
                </c:pt>
                <c:pt idx="4">
                  <c:v>Q2 17/18</c:v>
                </c:pt>
                <c:pt idx="5">
                  <c:v>Q3 17/18</c:v>
                </c:pt>
              </c:strCache>
            </c:strRef>
          </c:cat>
          <c:val>
            <c:numRef>
              <c:extLst>
                <c:ext xmlns:c15="http://schemas.microsoft.com/office/drawing/2012/chart" uri="{02D57815-91ED-43cb-92C2-25804820EDAC}">
                  <c15:fullRef>
                    <c15:sqref>('5 EA 9 Data Sheet'!$J$24:$J$33,'5 EA 9 Data Sheet'!$J$34,'5 EA 9 Data Sheet'!$J$35)</c15:sqref>
                  </c15:fullRef>
                </c:ext>
              </c:extLst>
              <c:f>('5 EA 9 Data Sheet'!$J$24:$J$26,'5 EA 9 Data Sheet'!$J$30:$J$33,'5 EA 9 Data Sheet'!$J$34,'5 EA 9 Data Sheet'!$J$35)</c:f>
              <c:numCache>
                <c:formatCode>0.0%</c:formatCode>
                <c:ptCount val="6"/>
                <c:pt idx="0">
                  <c:v>0.95714285714285718</c:v>
                </c:pt>
                <c:pt idx="1">
                  <c:v>0.95766685052399336</c:v>
                </c:pt>
                <c:pt idx="2">
                  <c:v>0.95598393574297191</c:v>
                </c:pt>
                <c:pt idx="3">
                  <c:v>0.95007488766849724</c:v>
                </c:pt>
                <c:pt idx="4">
                  <c:v>0.95043076538893745</c:v>
                </c:pt>
                <c:pt idx="5">
                  <c:v>0.94814936938422223</c:v>
                </c:pt>
              </c:numCache>
            </c:numRef>
          </c:val>
        </c:ser>
        <c:dLbls>
          <c:showLegendKey val="0"/>
          <c:showVal val="0"/>
          <c:showCatName val="0"/>
          <c:showSerName val="0"/>
          <c:showPercent val="0"/>
          <c:showBubbleSize val="0"/>
        </c:dLbls>
        <c:gapWidth val="34"/>
        <c:axId val="190608416"/>
        <c:axId val="190608808"/>
      </c:barChart>
      <c:lineChart>
        <c:grouping val="standard"/>
        <c:varyColors val="0"/>
        <c:ser>
          <c:idx val="0"/>
          <c:order val="0"/>
          <c:tx>
            <c:strRef>
              <c:f>'5 EA 9 Data Sheet'!$E$23</c:f>
              <c:strCache>
                <c:ptCount val="1"/>
                <c:pt idx="0">
                  <c:v>Target %</c:v>
                </c:pt>
              </c:strCache>
            </c:strRef>
          </c:tx>
          <c:spPr>
            <a:ln>
              <a:solidFill>
                <a:srgbClr val="820053"/>
              </a:solidFill>
            </a:ln>
          </c:spPr>
          <c:marker>
            <c:spPr>
              <a:solidFill>
                <a:srgbClr val="820053"/>
              </a:solidFill>
              <a:ln>
                <a:solidFill>
                  <a:srgbClr val="820053"/>
                </a:solidFill>
              </a:ln>
            </c:spPr>
          </c:marker>
          <c:cat>
            <c:strRef>
              <c:extLst>
                <c:ext xmlns:c15="http://schemas.microsoft.com/office/drawing/2012/chart" uri="{02D57815-91ED-43cb-92C2-25804820EDAC}">
                  <c15:fullRef>
                    <c15:sqref>('5 EA 9 Data Sheet'!$A$24:$A$33,'5 EA 9 Data Sheet'!$A$34,'5 EA 9 Data Sheet'!$A$35)</c15:sqref>
                  </c15:fullRef>
                </c:ext>
              </c:extLst>
              <c:f>('5 EA 9 Data Sheet'!$A$24:$A$26,'5 EA 9 Data Sheet'!$A$30:$A$33,'5 EA 9 Data Sheet'!$A$34,'5 EA 9 Data Sheet'!$A$35)</c:f>
              <c:strCache>
                <c:ptCount val="6"/>
                <c:pt idx="0">
                  <c:v>Q2 16/17</c:v>
                </c:pt>
                <c:pt idx="1">
                  <c:v>Q3 16/17</c:v>
                </c:pt>
                <c:pt idx="2">
                  <c:v>Q4 16/17</c:v>
                </c:pt>
                <c:pt idx="3">
                  <c:v>Q1 17/18</c:v>
                </c:pt>
                <c:pt idx="4">
                  <c:v>Q2 17/18</c:v>
                </c:pt>
                <c:pt idx="5">
                  <c:v>Q3 17/18</c:v>
                </c:pt>
              </c:strCache>
            </c:strRef>
          </c:cat>
          <c:val>
            <c:numRef>
              <c:extLst>
                <c:ext xmlns:c15="http://schemas.microsoft.com/office/drawing/2012/chart" uri="{02D57815-91ED-43cb-92C2-25804820EDAC}">
                  <c15:fullRef>
                    <c15:sqref>('5 EA 9 Data Sheet'!$E$24:$E$33,'5 EA 9 Data Sheet'!$E$34,'5 EA 9 Data Sheet'!$E$35)</c15:sqref>
                  </c15:fullRef>
                </c:ext>
              </c:extLst>
              <c:f>('5 EA 9 Data Sheet'!$E$24:$E$26,'5 EA 9 Data Sheet'!$E$30:$E$33,'5 EA 9 Data Sheet'!$E$34,'5 EA 9 Data Sheet'!$E$35)</c:f>
              <c:numCache>
                <c:formatCode>0%</c:formatCode>
                <c:ptCount val="6"/>
                <c:pt idx="0">
                  <c:v>0.95</c:v>
                </c:pt>
                <c:pt idx="1">
                  <c:v>0.95</c:v>
                </c:pt>
                <c:pt idx="2">
                  <c:v>0.95</c:v>
                </c:pt>
                <c:pt idx="3">
                  <c:v>0.95</c:v>
                </c:pt>
                <c:pt idx="4">
                  <c:v>0.95</c:v>
                </c:pt>
                <c:pt idx="5">
                  <c:v>0.95</c:v>
                </c:pt>
              </c:numCache>
            </c:numRef>
          </c:val>
          <c:smooth val="0"/>
        </c:ser>
        <c:dLbls>
          <c:showLegendKey val="0"/>
          <c:showVal val="0"/>
          <c:showCatName val="0"/>
          <c:showSerName val="0"/>
          <c:showPercent val="0"/>
          <c:showBubbleSize val="0"/>
        </c:dLbls>
        <c:marker val="1"/>
        <c:smooth val="0"/>
        <c:axId val="190608416"/>
        <c:axId val="190608808"/>
      </c:lineChart>
      <c:catAx>
        <c:axId val="190608416"/>
        <c:scaling>
          <c:orientation val="minMax"/>
        </c:scaling>
        <c:delete val="0"/>
        <c:axPos val="b"/>
        <c:numFmt formatCode="General" sourceLinked="0"/>
        <c:majorTickMark val="out"/>
        <c:minorTickMark val="none"/>
        <c:tickLblPos val="nextTo"/>
        <c:spPr>
          <a:ln>
            <a:solidFill>
              <a:srgbClr val="007BC4"/>
            </a:solidFill>
          </a:ln>
        </c:spPr>
        <c:txPr>
          <a:bodyPr/>
          <a:lstStyle/>
          <a:p>
            <a:pPr>
              <a:defRPr sz="1050" baseline="0">
                <a:solidFill>
                  <a:sysClr val="windowText" lastClr="000000"/>
                </a:solidFill>
              </a:defRPr>
            </a:pPr>
            <a:endParaRPr lang="en-US"/>
          </a:p>
        </c:txPr>
        <c:crossAx val="190608808"/>
        <c:crosses val="autoZero"/>
        <c:auto val="1"/>
        <c:lblAlgn val="ctr"/>
        <c:lblOffset val="100"/>
        <c:noMultiLvlLbl val="0"/>
      </c:catAx>
      <c:valAx>
        <c:axId val="190608808"/>
        <c:scaling>
          <c:orientation val="minMax"/>
          <c:max val="1"/>
          <c:min val="0"/>
        </c:scaling>
        <c:delete val="0"/>
        <c:axPos val="l"/>
        <c:numFmt formatCode="0.0%" sourceLinked="1"/>
        <c:majorTickMark val="out"/>
        <c:minorTickMark val="none"/>
        <c:tickLblPos val="nextTo"/>
        <c:txPr>
          <a:bodyPr/>
          <a:lstStyle/>
          <a:p>
            <a:pPr>
              <a:defRPr sz="1050" baseline="0">
                <a:solidFill>
                  <a:sysClr val="windowText" lastClr="000000"/>
                </a:solidFill>
              </a:defRPr>
            </a:pPr>
            <a:endParaRPr lang="en-US"/>
          </a:p>
        </c:txPr>
        <c:crossAx val="190608416"/>
        <c:crosses val="autoZero"/>
        <c:crossBetween val="between"/>
      </c:valAx>
      <c:spPr>
        <a:noFill/>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86617775702458E-2"/>
          <c:y val="8.3761008933631059E-2"/>
          <c:w val="0.80251832082719199"/>
          <c:h val="0.72411885691639022"/>
        </c:manualLayout>
      </c:layout>
      <c:barChart>
        <c:barDir val="col"/>
        <c:grouping val="clustered"/>
        <c:varyColors val="0"/>
        <c:ser>
          <c:idx val="0"/>
          <c:order val="0"/>
          <c:spPr>
            <a:solidFill>
              <a:srgbClr val="0177BA"/>
            </a:solidFill>
            <a:ln>
              <a:solidFill>
                <a:schemeClr val="bg1"/>
              </a:solidFill>
            </a:ln>
          </c:spPr>
          <c:invertIfNegative val="0"/>
          <c:dLbls>
            <c:dLbl>
              <c:idx val="0"/>
              <c:layout>
                <c:manualLayout>
                  <c:x val="1.288754943473114E-17"/>
                  <c:y val="0.19999995000626161"/>
                </c:manualLayout>
              </c:layout>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577509886946228E-17"/>
                  <c:y val="0.10158727619365662"/>
                </c:manualLayout>
              </c:layout>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8118614500659053E-3"/>
                  <c:y val="0.2920634190567632"/>
                </c:manualLayout>
              </c:layout>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05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'5 EA 9 Data Sheet'!$K$6:$K$18</c:f>
              <c:strCache>
                <c:ptCount val="13"/>
                <c:pt idx="0">
                  <c:v>0 to 7</c:v>
                </c:pt>
                <c:pt idx="1">
                  <c:v>8 to 14</c:v>
                </c:pt>
                <c:pt idx="2">
                  <c:v>15 to 21</c:v>
                </c:pt>
                <c:pt idx="3">
                  <c:v>22 to 28</c:v>
                </c:pt>
                <c:pt idx="4">
                  <c:v>29 to 35</c:v>
                </c:pt>
                <c:pt idx="5">
                  <c:v>36 to 42</c:v>
                </c:pt>
                <c:pt idx="6">
                  <c:v>43 to 49</c:v>
                </c:pt>
                <c:pt idx="7">
                  <c:v>50 to 56</c:v>
                </c:pt>
                <c:pt idx="8">
                  <c:v>57 to 63</c:v>
                </c:pt>
                <c:pt idx="9">
                  <c:v>64 to 70</c:v>
                </c:pt>
                <c:pt idx="10">
                  <c:v>71 to 77</c:v>
                </c:pt>
                <c:pt idx="11">
                  <c:v>78 to 84</c:v>
                </c:pt>
                <c:pt idx="12">
                  <c:v>85 plus days</c:v>
                </c:pt>
              </c:strCache>
            </c:strRef>
          </c:cat>
          <c:val>
            <c:numRef>
              <c:f>'5 EA 9 Data Sheet'!$L$6:$L$18</c:f>
              <c:numCache>
                <c:formatCode>0</c:formatCode>
                <c:ptCount val="13"/>
                <c:pt idx="0">
                  <c:v>2743</c:v>
                </c:pt>
                <c:pt idx="1">
                  <c:v>2669</c:v>
                </c:pt>
                <c:pt idx="2">
                  <c:v>6089</c:v>
                </c:pt>
                <c:pt idx="3">
                  <c:v>336</c:v>
                </c:pt>
                <c:pt idx="4">
                  <c:v>110</c:v>
                </c:pt>
                <c:pt idx="5">
                  <c:v>71</c:v>
                </c:pt>
                <c:pt idx="6">
                  <c:v>35</c:v>
                </c:pt>
                <c:pt idx="7">
                  <c:v>18</c:v>
                </c:pt>
                <c:pt idx="8">
                  <c:v>16</c:v>
                </c:pt>
                <c:pt idx="9">
                  <c:v>12</c:v>
                </c:pt>
                <c:pt idx="10">
                  <c:v>6</c:v>
                </c:pt>
                <c:pt idx="11">
                  <c:v>4</c:v>
                </c:pt>
                <c:pt idx="12">
                  <c:v>22</c:v>
                </c:pt>
              </c:numCache>
            </c:numRef>
          </c:val>
          <c:extLst/>
        </c:ser>
        <c:dLbls>
          <c:showLegendKey val="0"/>
          <c:showVal val="0"/>
          <c:showCatName val="0"/>
          <c:showSerName val="0"/>
          <c:showPercent val="0"/>
          <c:showBubbleSize val="0"/>
        </c:dLbls>
        <c:gapWidth val="0"/>
        <c:axId val="482082344"/>
        <c:axId val="482082736"/>
      </c:barChart>
      <c:lineChart>
        <c:grouping val="standard"/>
        <c:varyColors val="0"/>
        <c:ser>
          <c:idx val="1"/>
          <c:order val="1"/>
          <c:spPr>
            <a:ln>
              <a:solidFill>
                <a:srgbClr val="820053"/>
              </a:solidFill>
            </a:ln>
          </c:spPr>
          <c:marker>
            <c:spPr>
              <a:solidFill>
                <a:srgbClr val="820053"/>
              </a:solidFill>
              <a:ln>
                <a:solidFill>
                  <a:srgbClr val="820053"/>
                </a:solidFill>
              </a:ln>
            </c:spPr>
          </c:marker>
          <c:cat>
            <c:strRef>
              <c:f>'5 EA 9 Data Sheet'!$K$6:$K$18</c:f>
              <c:strCache>
                <c:ptCount val="13"/>
                <c:pt idx="0">
                  <c:v>0 to 7</c:v>
                </c:pt>
                <c:pt idx="1">
                  <c:v>8 to 14</c:v>
                </c:pt>
                <c:pt idx="2">
                  <c:v>15 to 21</c:v>
                </c:pt>
                <c:pt idx="3">
                  <c:v>22 to 28</c:v>
                </c:pt>
                <c:pt idx="4">
                  <c:v>29 to 35</c:v>
                </c:pt>
                <c:pt idx="5">
                  <c:v>36 to 42</c:v>
                </c:pt>
                <c:pt idx="6">
                  <c:v>43 to 49</c:v>
                </c:pt>
                <c:pt idx="7">
                  <c:v>50 to 56</c:v>
                </c:pt>
                <c:pt idx="8">
                  <c:v>57 to 63</c:v>
                </c:pt>
                <c:pt idx="9">
                  <c:v>64 to 70</c:v>
                </c:pt>
                <c:pt idx="10">
                  <c:v>71 to 77</c:v>
                </c:pt>
                <c:pt idx="11">
                  <c:v>78 to 84</c:v>
                </c:pt>
                <c:pt idx="12">
                  <c:v>85 plus days</c:v>
                </c:pt>
              </c:strCache>
            </c:strRef>
          </c:cat>
          <c:val>
            <c:numRef>
              <c:f>'5 EA 9 Data Sheet'!$M$6:$M$18</c:f>
              <c:numCache>
                <c:formatCode>0%</c:formatCode>
                <c:ptCount val="13"/>
                <c:pt idx="0">
                  <c:v>0.22611491220839172</c:v>
                </c:pt>
                <c:pt idx="1">
                  <c:v>0.44612975022669193</c:v>
                </c:pt>
                <c:pt idx="2">
                  <c:v>0.94806693594922109</c:v>
                </c:pt>
                <c:pt idx="3">
                  <c:v>0.97576457010963658</c:v>
                </c:pt>
                <c:pt idx="4">
                  <c:v>0.98483224795977264</c:v>
                </c:pt>
                <c:pt idx="5">
                  <c:v>0.9906850218448604</c:v>
                </c:pt>
                <c:pt idx="6">
                  <c:v>0.99357019206990371</c:v>
                </c:pt>
                <c:pt idx="7">
                  <c:v>0.99505399389992599</c:v>
                </c:pt>
                <c:pt idx="8">
                  <c:v>0.99637292885994577</c:v>
                </c:pt>
                <c:pt idx="9">
                  <c:v>0.99736213007996066</c:v>
                </c:pt>
                <c:pt idx="10">
                  <c:v>0.99785673068996805</c:v>
                </c:pt>
                <c:pt idx="11">
                  <c:v>0.99818646442997305</c:v>
                </c:pt>
                <c:pt idx="12">
                  <c:v>1.0000000000000002</c:v>
                </c:pt>
              </c:numCache>
            </c:numRef>
          </c:val>
          <c:smooth val="0"/>
          <c:extLst/>
        </c:ser>
        <c:dLbls>
          <c:showLegendKey val="0"/>
          <c:showVal val="0"/>
          <c:showCatName val="0"/>
          <c:showSerName val="0"/>
          <c:showPercent val="0"/>
          <c:showBubbleSize val="0"/>
        </c:dLbls>
        <c:marker val="1"/>
        <c:smooth val="0"/>
        <c:axId val="482083520"/>
        <c:axId val="482083128"/>
      </c:lineChart>
      <c:catAx>
        <c:axId val="482082344"/>
        <c:scaling>
          <c:orientation val="minMax"/>
        </c:scaling>
        <c:delete val="0"/>
        <c:axPos val="b"/>
        <c:title>
          <c:tx>
            <c:rich>
              <a:bodyPr/>
              <a:lstStyle/>
              <a:p>
                <a:pPr>
                  <a:defRPr b="0">
                    <a:solidFill>
                      <a:sysClr val="windowText" lastClr="000000"/>
                    </a:solidFill>
                  </a:defRPr>
                </a:pPr>
                <a:r>
                  <a:rPr lang="en-US" b="0">
                    <a:solidFill>
                      <a:sysClr val="windowText" lastClr="000000"/>
                    </a:solidFill>
                  </a:rPr>
                  <a:t>Days taken to respond</a:t>
                </a:r>
              </a:p>
            </c:rich>
          </c:tx>
          <c:layout>
            <c:manualLayout>
              <c:xMode val="edge"/>
              <c:yMode val="edge"/>
              <c:x val="0.37971256931222508"/>
              <c:y val="0.94421542895373367"/>
            </c:manualLayout>
          </c:layout>
          <c:overlay val="0"/>
        </c:title>
        <c:numFmt formatCode="General" sourceLinked="1"/>
        <c:majorTickMark val="out"/>
        <c:minorTickMark val="none"/>
        <c:tickLblPos val="nextTo"/>
        <c:txPr>
          <a:bodyPr rot="-2100000" vert="horz"/>
          <a:lstStyle/>
          <a:p>
            <a:pPr>
              <a:defRPr sz="1050" baseline="0">
                <a:solidFill>
                  <a:sysClr val="windowText" lastClr="000000"/>
                </a:solidFill>
              </a:defRPr>
            </a:pPr>
            <a:endParaRPr lang="en-US"/>
          </a:p>
        </c:txPr>
        <c:crossAx val="482082736"/>
        <c:crosses val="autoZero"/>
        <c:auto val="1"/>
        <c:lblAlgn val="ctr"/>
        <c:lblOffset val="100"/>
        <c:noMultiLvlLbl val="0"/>
      </c:catAx>
      <c:valAx>
        <c:axId val="482082736"/>
        <c:scaling>
          <c:orientation val="minMax"/>
        </c:scaling>
        <c:delete val="0"/>
        <c:axPos val="l"/>
        <c:title>
          <c:tx>
            <c:rich>
              <a:bodyPr rot="-5400000" vert="horz"/>
              <a:lstStyle/>
              <a:p>
                <a:pPr algn="ctr" rtl="0">
                  <a:defRPr lang="en-US" sz="1000" b="0" i="0" u="none" strike="noStrike" kern="1200" baseline="0">
                    <a:solidFill>
                      <a:srgbClr val="007BC4"/>
                    </a:solidFill>
                    <a:latin typeface="+mn-lt"/>
                    <a:ea typeface="+mn-ea"/>
                    <a:cs typeface="+mn-cs"/>
                  </a:defRPr>
                </a:pPr>
                <a:r>
                  <a:rPr lang="en-US" sz="1050" b="0" i="0" u="none" strike="noStrike" kern="1200" baseline="0">
                    <a:solidFill>
                      <a:sysClr val="windowText" lastClr="000000"/>
                    </a:solidFill>
                    <a:latin typeface="+mn-lt"/>
                    <a:ea typeface="+mn-ea"/>
                    <a:cs typeface="+mn-cs"/>
                  </a:rPr>
                  <a:t>Number of Enquiries</a:t>
                </a:r>
              </a:p>
            </c:rich>
          </c:tx>
          <c:layout>
            <c:manualLayout>
              <c:xMode val="edge"/>
              <c:yMode val="edge"/>
              <c:x val="9.841515075230578E-2"/>
              <c:y val="0.18936803165403535"/>
            </c:manualLayout>
          </c:layout>
          <c:overlay val="0"/>
        </c:title>
        <c:numFmt formatCode="0" sourceLinked="1"/>
        <c:majorTickMark val="out"/>
        <c:minorTickMark val="none"/>
        <c:tickLblPos val="nextTo"/>
        <c:txPr>
          <a:bodyPr/>
          <a:lstStyle/>
          <a:p>
            <a:pPr>
              <a:defRPr sz="1050" baseline="0">
                <a:solidFill>
                  <a:sysClr val="windowText" lastClr="000000"/>
                </a:solidFill>
              </a:defRPr>
            </a:pPr>
            <a:endParaRPr lang="en-US"/>
          </a:p>
        </c:txPr>
        <c:crossAx val="482082344"/>
        <c:crosses val="autoZero"/>
        <c:crossBetween val="between"/>
      </c:valAx>
      <c:valAx>
        <c:axId val="482083128"/>
        <c:scaling>
          <c:orientation val="minMax"/>
          <c:max val="1"/>
        </c:scaling>
        <c:delete val="0"/>
        <c:axPos val="r"/>
        <c:numFmt formatCode="0%" sourceLinked="1"/>
        <c:majorTickMark val="out"/>
        <c:minorTickMark val="none"/>
        <c:tickLblPos val="nextTo"/>
        <c:txPr>
          <a:bodyPr/>
          <a:lstStyle/>
          <a:p>
            <a:pPr>
              <a:defRPr sz="1050" baseline="0">
                <a:solidFill>
                  <a:sysClr val="windowText" lastClr="000000"/>
                </a:solidFill>
              </a:defRPr>
            </a:pPr>
            <a:endParaRPr lang="en-US"/>
          </a:p>
        </c:txPr>
        <c:crossAx val="482083520"/>
        <c:crosses val="max"/>
        <c:crossBetween val="between"/>
      </c:valAx>
      <c:catAx>
        <c:axId val="482083520"/>
        <c:scaling>
          <c:orientation val="minMax"/>
        </c:scaling>
        <c:delete val="1"/>
        <c:axPos val="b"/>
        <c:numFmt formatCode="General" sourceLinked="1"/>
        <c:majorTickMark val="out"/>
        <c:minorTickMark val="none"/>
        <c:tickLblPos val="none"/>
        <c:crossAx val="482083128"/>
        <c:crosses val="autoZero"/>
        <c:auto val="1"/>
        <c:lblAlgn val="ctr"/>
        <c:lblOffset val="100"/>
        <c:noMultiLvlLbl val="0"/>
      </c:catAx>
      <c:spPr>
        <a:noFill/>
        <a:ln w="25400">
          <a:noFill/>
        </a:ln>
      </c:spPr>
    </c:plotArea>
    <c:plotVisOnly val="1"/>
    <c:dispBlanksAs val="gap"/>
    <c:showDLblsOverMax val="0"/>
  </c:chart>
  <c:spPr>
    <a:noFill/>
    <a:ln>
      <a:noFill/>
    </a:ln>
  </c:spPr>
  <c:printSettings>
    <c:headerFooter/>
    <c:pageMargins b="0.75000000000000544" l="0.70000000000000062" r="0.70000000000000062" t="0.75000000000000544"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9519464828801"/>
          <c:y val="2.852284505882096E-2"/>
          <c:w val="0.81256247730938402"/>
          <c:h val="0.72669939127852534"/>
        </c:manualLayout>
      </c:layout>
      <c:barChart>
        <c:barDir val="col"/>
        <c:grouping val="clustered"/>
        <c:varyColors val="0"/>
        <c:ser>
          <c:idx val="0"/>
          <c:order val="0"/>
          <c:tx>
            <c:strRef>
              <c:f>'6 EA 10 Data Sheet'!$D$22</c:f>
              <c:strCache>
                <c:ptCount val="1"/>
                <c:pt idx="0">
                  <c:v>Actual YTD</c:v>
                </c:pt>
              </c:strCache>
            </c:strRef>
          </c:tx>
          <c:spPr>
            <a:solidFill>
              <a:srgbClr val="820053"/>
            </a:solidFill>
            <a:ln>
              <a:noFill/>
            </a:ln>
            <a:effectLst/>
          </c:spPr>
          <c:invertIfNegative val="0"/>
          <c:dPt>
            <c:idx val="10"/>
            <c:invertIfNegative val="0"/>
            <c:bubble3D val="0"/>
            <c:spPr>
              <a:solidFill>
                <a:srgbClr val="820053"/>
              </a:solidFill>
              <a:ln>
                <a:noFill/>
              </a:ln>
              <a:effectLst/>
            </c:spPr>
          </c:dPt>
          <c:dPt>
            <c:idx val="11"/>
            <c:invertIfNegative val="0"/>
            <c:bubble3D val="0"/>
            <c:spPr>
              <a:solidFill>
                <a:srgbClr val="820053"/>
              </a:solidFill>
              <a:ln>
                <a:noFill/>
              </a:ln>
              <a:effectLst/>
            </c:spPr>
          </c:dPt>
          <c:dPt>
            <c:idx val="13"/>
            <c:invertIfNegative val="0"/>
            <c:bubble3D val="0"/>
            <c:spPr>
              <a:solidFill>
                <a:srgbClr val="820053"/>
              </a:solidFill>
              <a:ln>
                <a:noFill/>
              </a:ln>
              <a:effectLst/>
            </c:spPr>
          </c:dPt>
          <c:dLbls>
            <c:dLbl>
              <c:idx val="10"/>
              <c:layout>
                <c:manualLayout>
                  <c:x val="-5.1660209140524103E-5"/>
                  <c:y val="0.252056974899312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
                  <c:y val="-5.6789964443000968E-2"/>
                </c:manualLayout>
              </c:layout>
              <c:numFmt formatCode="#,##0" sourceLinked="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5.8997050147493709E-3"/>
                  <c:y val="0.16181226024971201"/>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numFmt formatCode="#,##0" sourceLinked="0"/>
            <c:spPr>
              <a:noFill/>
              <a:ln>
                <a:noFill/>
              </a:ln>
              <a:effectLst/>
            </c:spPr>
            <c:txPr>
              <a:bodyPr rot="-5400000" spcFirstLastPara="1" vertOverflow="ellipsis" wrap="square" anchor="ctr" anchorCtr="1"/>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('6 EA 10 Data Sheet'!$A$23:$A$30,'6 EA 10 Data Sheet'!$A$34,'6 EA 10 Data Sheet'!$A$38,'6 EA 10 Data Sheet'!$A$42,'6 EA 10 Data Sheet'!$A$43:$A$48)</c:f>
              <c:strCache>
                <c:ptCount val="17"/>
                <c:pt idx="0">
                  <c:v>2006/07 (baseline)</c:v>
                </c:pt>
                <c:pt idx="1">
                  <c:v>2007/08</c:v>
                </c:pt>
                <c:pt idx="2">
                  <c:v>2008/09</c:v>
                </c:pt>
                <c:pt idx="3">
                  <c:v>2009/10</c:v>
                </c:pt>
                <c:pt idx="4">
                  <c:v>2010/11</c:v>
                </c:pt>
                <c:pt idx="5">
                  <c:v>2011/12</c:v>
                </c:pt>
                <c:pt idx="6">
                  <c:v>2012/13</c:v>
                </c:pt>
                <c:pt idx="7">
                  <c:v>2013/14</c:v>
                </c:pt>
                <c:pt idx="8">
                  <c:v>2014/15</c:v>
                </c:pt>
                <c:pt idx="9">
                  <c:v>2015/16</c:v>
                </c:pt>
                <c:pt idx="10">
                  <c:v>2016/17</c:v>
                </c:pt>
                <c:pt idx="11">
                  <c:v>Q1 17/18</c:v>
                </c:pt>
                <c:pt idx="12">
                  <c:v>Q2 17/18</c:v>
                </c:pt>
                <c:pt idx="13">
                  <c:v>Q3 17/18</c:v>
                </c:pt>
                <c:pt idx="14">
                  <c:v>Q4 17/18</c:v>
                </c:pt>
                <c:pt idx="15">
                  <c:v>2018-19</c:v>
                </c:pt>
                <c:pt idx="16">
                  <c:v>2019-20</c:v>
                </c:pt>
              </c:strCache>
            </c:strRef>
          </c:cat>
          <c:val>
            <c:numRef>
              <c:f>('6 EA 10 Data Sheet'!$D$23:$D$30,'6 EA 10 Data Sheet'!$D$34,'6 EA 10 Data Sheet'!$D$38,'6 EA 10 Data Sheet'!$D$42,'6 EA 10 Data Sheet'!$D$43:$D$48)</c:f>
              <c:numCache>
                <c:formatCode>#,##0</c:formatCode>
                <c:ptCount val="17"/>
                <c:pt idx="0">
                  <c:v>59000</c:v>
                </c:pt>
                <c:pt idx="1">
                  <c:v>58800</c:v>
                </c:pt>
                <c:pt idx="2">
                  <c:v>56700</c:v>
                </c:pt>
                <c:pt idx="3">
                  <c:v>61200</c:v>
                </c:pt>
                <c:pt idx="4">
                  <c:v>55700</c:v>
                </c:pt>
                <c:pt idx="5">
                  <c:v>56300</c:v>
                </c:pt>
                <c:pt idx="6">
                  <c:v>57200</c:v>
                </c:pt>
                <c:pt idx="7">
                  <c:v>47900</c:v>
                </c:pt>
                <c:pt idx="8">
                  <c:v>35635</c:v>
                </c:pt>
                <c:pt idx="9">
                  <c:v>38460</c:v>
                </c:pt>
                <c:pt idx="10">
                  <c:v>34470.220210122628</c:v>
                </c:pt>
                <c:pt idx="11">
                  <c:v>5283.2824205708012</c:v>
                </c:pt>
                <c:pt idx="12">
                  <c:v>12046.96</c:v>
                </c:pt>
                <c:pt idx="13">
                  <c:v>20176</c:v>
                </c:pt>
              </c:numCache>
            </c:numRef>
          </c:val>
          <c:extLst/>
        </c:ser>
        <c:dLbls>
          <c:showLegendKey val="0"/>
          <c:showVal val="0"/>
          <c:showCatName val="0"/>
          <c:showSerName val="0"/>
          <c:showPercent val="0"/>
          <c:showBubbleSize val="0"/>
        </c:dLbls>
        <c:gapWidth val="33"/>
        <c:overlap val="-67"/>
        <c:axId val="482085088"/>
        <c:axId val="482085480"/>
      </c:barChart>
      <c:lineChart>
        <c:grouping val="standard"/>
        <c:varyColors val="0"/>
        <c:ser>
          <c:idx val="1"/>
          <c:order val="1"/>
          <c:tx>
            <c:v>Target</c:v>
          </c:tx>
          <c:spPr>
            <a:ln w="28575" cap="rnd">
              <a:solidFill>
                <a:srgbClr val="034B89"/>
              </a:solidFill>
              <a:prstDash val="dash"/>
              <a:round/>
            </a:ln>
            <a:effectLst/>
          </c:spPr>
          <c:marker>
            <c:symbol val="none"/>
          </c:marker>
          <c:dPt>
            <c:idx val="0"/>
            <c:marker>
              <c:symbol val="none"/>
            </c:marker>
            <c:bubble3D val="0"/>
            <c:spPr>
              <a:ln w="28575" cap="rnd">
                <a:solidFill>
                  <a:srgbClr val="034B89"/>
                </a:solidFill>
                <a:prstDash val="dash"/>
                <a:round/>
              </a:ln>
              <a:effectLst/>
            </c:spPr>
          </c:dPt>
          <c:dPt>
            <c:idx val="1"/>
            <c:marker>
              <c:symbol val="none"/>
            </c:marker>
            <c:bubble3D val="0"/>
            <c:spPr>
              <a:ln w="28575" cap="rnd">
                <a:solidFill>
                  <a:srgbClr val="034B89"/>
                </a:solidFill>
                <a:prstDash val="dash"/>
                <a:round/>
              </a:ln>
              <a:effectLst/>
            </c:spPr>
          </c:dPt>
          <c:dPt>
            <c:idx val="11"/>
            <c:marker>
              <c:symbol val="none"/>
            </c:marker>
            <c:bubble3D val="0"/>
            <c:spPr>
              <a:ln w="28575" cap="rnd">
                <a:solidFill>
                  <a:srgbClr val="034B89"/>
                </a:solidFill>
                <a:prstDash val="dash"/>
                <a:round/>
              </a:ln>
              <a:effectLst/>
            </c:spPr>
          </c:dPt>
          <c:dPt>
            <c:idx val="12"/>
            <c:marker>
              <c:symbol val="none"/>
            </c:marker>
            <c:bubble3D val="0"/>
            <c:spPr>
              <a:ln w="28575" cap="rnd">
                <a:solidFill>
                  <a:srgbClr val="034B89"/>
                </a:solidFill>
                <a:prstDash val="dash"/>
                <a:round/>
              </a:ln>
              <a:effectLst/>
            </c:spPr>
          </c:dPt>
          <c:dPt>
            <c:idx val="13"/>
            <c:marker>
              <c:symbol val="none"/>
            </c:marker>
            <c:bubble3D val="0"/>
            <c:spPr>
              <a:ln w="28575" cap="rnd">
                <a:solidFill>
                  <a:srgbClr val="034B89"/>
                </a:solidFill>
                <a:prstDash val="dash"/>
                <a:round/>
              </a:ln>
              <a:effectLst/>
            </c:spPr>
          </c:dPt>
          <c:cat>
            <c:strLit>
              <c:ptCount val="16"/>
              <c:pt idx="0">
                <c:v>2006/07 (baseline)</c:v>
              </c:pt>
              <c:pt idx="1">
                <c:v>2007/08</c:v>
              </c:pt>
              <c:pt idx="2">
                <c:v>2008/09</c:v>
              </c:pt>
              <c:pt idx="3">
                <c:v>2009/10</c:v>
              </c:pt>
              <c:pt idx="4">
                <c:v>2010/11</c:v>
              </c:pt>
              <c:pt idx="5">
                <c:v>2011/12</c:v>
              </c:pt>
              <c:pt idx="6">
                <c:v>2012/13</c:v>
              </c:pt>
              <c:pt idx="7">
                <c:v>2013/14</c:v>
              </c:pt>
              <c:pt idx="8">
                <c:v>2014/15</c:v>
              </c:pt>
              <c:pt idx="9">
                <c:v>2015/16</c:v>
              </c:pt>
              <c:pt idx="10">
                <c:v>2016/17</c:v>
              </c:pt>
              <c:pt idx="11">
                <c:v>Q1 17/18</c:v>
              </c:pt>
              <c:pt idx="12">
                <c:v>Q3 17/18</c:v>
              </c:pt>
              <c:pt idx="13">
                <c:v>Q4 17/18</c:v>
              </c:pt>
              <c:pt idx="14">
                <c:v>2018-19</c:v>
              </c:pt>
              <c:pt idx="15">
                <c:v>2019-20</c:v>
              </c:pt>
            </c:strLit>
          </c:cat>
          <c:val>
            <c:numRef>
              <c:f>('6 EA 10 Data Sheet'!$E$23:$E$30,'6 EA 10 Data Sheet'!$E$34,'6 EA 10 Data Sheet'!$E$38,'6 EA 10 Data Sheet'!$E$42,'6 EA 10 Data Sheet'!$E$43,'6 EA 10 Data Sheet'!$E$45:$E$48)</c:f>
              <c:numCache>
                <c:formatCode>#,##0</c:formatCode>
                <c:ptCount val="16"/>
                <c:pt idx="1">
                  <c:v>63700</c:v>
                </c:pt>
                <c:pt idx="2">
                  <c:v>59800</c:v>
                </c:pt>
                <c:pt idx="3">
                  <c:v>57300</c:v>
                </c:pt>
                <c:pt idx="4">
                  <c:v>58100</c:v>
                </c:pt>
                <c:pt idx="5">
                  <c:v>52500</c:v>
                </c:pt>
                <c:pt idx="6">
                  <c:v>49800</c:v>
                </c:pt>
                <c:pt idx="7">
                  <c:v>42100</c:v>
                </c:pt>
                <c:pt idx="8">
                  <c:v>39738.216751960237</c:v>
                </c:pt>
                <c:pt idx="9">
                  <c:v>39737.999960000001</c:v>
                </c:pt>
                <c:pt idx="10">
                  <c:v>34865</c:v>
                </c:pt>
                <c:pt idx="11">
                  <c:v>5843</c:v>
                </c:pt>
                <c:pt idx="12">
                  <c:v>22339</c:v>
                </c:pt>
                <c:pt idx="13">
                  <c:v>34520.092066901758</c:v>
                </c:pt>
                <c:pt idx="14">
                  <c:v>33040</c:v>
                </c:pt>
                <c:pt idx="15">
                  <c:v>32501</c:v>
                </c:pt>
              </c:numCache>
            </c:numRef>
          </c:val>
          <c:smooth val="0"/>
          <c:extLst/>
        </c:ser>
        <c:dLbls>
          <c:showLegendKey val="0"/>
          <c:showVal val="0"/>
          <c:showCatName val="0"/>
          <c:showSerName val="0"/>
          <c:showPercent val="0"/>
          <c:showBubbleSize val="0"/>
        </c:dLbls>
        <c:marker val="1"/>
        <c:smooth val="0"/>
        <c:axId val="482085088"/>
        <c:axId val="482085480"/>
      </c:lineChart>
      <c:catAx>
        <c:axId val="48208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482085480"/>
        <c:crosses val="autoZero"/>
        <c:auto val="1"/>
        <c:lblAlgn val="ctr"/>
        <c:lblOffset val="100"/>
        <c:noMultiLvlLbl val="0"/>
      </c:catAx>
      <c:valAx>
        <c:axId val="482085480"/>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baseline="0">
                    <a:solidFill>
                      <a:sysClr val="windowText" lastClr="000000"/>
                    </a:solidFill>
                  </a:rPr>
                  <a:t>Tonnes</a:t>
                </a:r>
              </a:p>
            </c:rich>
          </c:tx>
          <c:layout>
            <c:manualLayout>
              <c:xMode val="edge"/>
              <c:yMode val="edge"/>
              <c:x val="0"/>
              <c:y val="0.34621428322904774"/>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482085088"/>
        <c:crosses val="autoZero"/>
        <c:crossBetween val="between"/>
      </c:valAx>
      <c:spPr>
        <a:noFill/>
        <a:ln>
          <a:noFill/>
        </a:ln>
        <a:effectLst/>
      </c:spPr>
    </c:plotArea>
    <c:legend>
      <c:legendPos val="b"/>
      <c:layout>
        <c:manualLayout>
          <c:xMode val="edge"/>
          <c:yMode val="edge"/>
          <c:x val="0.25734230176947437"/>
          <c:y val="0.94158402470446378"/>
          <c:w val="0.43021345783104548"/>
          <c:h val="5.4991844523089355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solidFill>
            <a:srgbClr val="D41F6F"/>
          </a:solidFill>
        </a:defRPr>
      </a:pPr>
      <a:endParaRPr lang="en-US"/>
    </a:p>
  </c:txPr>
  <c:printSettings>
    <c:headerFooter/>
    <c:pageMargins b="0.75" l="0.7" r="0.7" t="0.75" header="0.3" footer="0.3"/>
    <c:pageSetup orientation="portrait"/>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916176449443279"/>
          <c:y val="4.8185647213933112E-2"/>
          <c:w val="0.90231314440512556"/>
          <c:h val="0.85651527230928348"/>
        </c:manualLayout>
      </c:layout>
      <c:barChart>
        <c:barDir val="col"/>
        <c:grouping val="stacked"/>
        <c:varyColors val="0"/>
        <c:ser>
          <c:idx val="0"/>
          <c:order val="0"/>
          <c:tx>
            <c:strRef>
              <c:f>'7 EA 11 Data Sheet Female Execs'!$B$22</c:f>
              <c:strCache>
                <c:ptCount val="1"/>
                <c:pt idx="0">
                  <c:v>Actual</c:v>
                </c:pt>
              </c:strCache>
            </c:strRef>
          </c:tx>
          <c:spPr>
            <a:solidFill>
              <a:srgbClr val="B2C326"/>
            </a:solidFill>
          </c:spPr>
          <c:invertIfNegative val="0"/>
          <c:dLbls>
            <c:numFmt formatCode="0%" sourceLinked="0"/>
            <c:spPr>
              <a:noFill/>
              <a:ln>
                <a:noFill/>
              </a:ln>
              <a:effectLst/>
            </c:spPr>
            <c:txPr>
              <a:bodyPr/>
              <a:lstStyle/>
              <a:p>
                <a:pPr>
                  <a:defRPr sz="1100" baseline="0">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'7 EA 11 Data Sheet Female Execs'!$A$23:$A$30</c15:sqref>
                  </c15:fullRef>
                </c:ext>
              </c:extLst>
              <c:f>'7 EA 11 Data Sheet Female Execs'!$A$24:$A$29</c:f>
              <c:strCache>
                <c:ptCount val="6"/>
                <c:pt idx="0">
                  <c:v>Q2 16/17</c:v>
                </c:pt>
                <c:pt idx="1">
                  <c:v>Q3 16/17</c:v>
                </c:pt>
                <c:pt idx="2">
                  <c:v>Q4 16/17</c:v>
                </c:pt>
                <c:pt idx="3">
                  <c:v>Q1 17/18</c:v>
                </c:pt>
                <c:pt idx="4">
                  <c:v>Q2 17/18</c:v>
                </c:pt>
                <c:pt idx="5">
                  <c:v>Q3 17/18</c:v>
                </c:pt>
              </c:strCache>
            </c:strRef>
          </c:cat>
          <c:val>
            <c:numRef>
              <c:extLst>
                <c:ext xmlns:c15="http://schemas.microsoft.com/office/drawing/2012/chart" uri="{02D57815-91ED-43cb-92C2-25804820EDAC}">
                  <c15:fullRef>
                    <c15:sqref>'7 EA 11 Data Sheet Female Execs'!$B$23:$B$30</c15:sqref>
                  </c15:fullRef>
                </c:ext>
              </c:extLst>
              <c:f>'7 EA 11 Data Sheet Female Execs'!$B$24:$B$29</c:f>
              <c:numCache>
                <c:formatCode>0.00%</c:formatCode>
                <c:ptCount val="6"/>
                <c:pt idx="0">
                  <c:v>0.36130000000000001</c:v>
                </c:pt>
                <c:pt idx="1">
                  <c:v>0.33950000000000002</c:v>
                </c:pt>
                <c:pt idx="2">
                  <c:v>0.36749999999999999</c:v>
                </c:pt>
                <c:pt idx="3">
                  <c:v>0.3846</c:v>
                </c:pt>
                <c:pt idx="4">
                  <c:v>0.36840000000000001</c:v>
                </c:pt>
                <c:pt idx="5">
                  <c:v>0.3523</c:v>
                </c:pt>
              </c:numCache>
            </c:numRef>
          </c:val>
        </c:ser>
        <c:ser>
          <c:idx val="2"/>
          <c:order val="2"/>
          <c:tx>
            <c:strRef>
              <c:f>'7 EA 11 Data Sheet Female Execs'!$D$22</c:f>
              <c:strCache>
                <c:ptCount val="1"/>
                <c:pt idx="0">
                  <c:v>Number</c:v>
                </c:pt>
              </c:strCache>
            </c:strRef>
          </c:tx>
          <c:spPr>
            <a:noFill/>
          </c:spPr>
          <c:invertIfNegative val="0"/>
          <c:dLbls>
            <c:dLbl>
              <c:idx val="0"/>
              <c:layout>
                <c:manualLayout>
                  <c:x val="-3.8997380896240654E-3"/>
                  <c:y val="0.5385225066827901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3.8338526840464809E-3"/>
                  <c:y val="0.53028338212830961"/>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aseline="0">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'7 EA 11 Data Sheet Female Execs'!$A$23:$A$30</c15:sqref>
                  </c15:fullRef>
                </c:ext>
              </c:extLst>
              <c:f>'7 EA 11 Data Sheet Female Execs'!$A$24:$A$29</c:f>
              <c:strCache>
                <c:ptCount val="6"/>
                <c:pt idx="0">
                  <c:v>Q2 16/17</c:v>
                </c:pt>
                <c:pt idx="1">
                  <c:v>Q3 16/17</c:v>
                </c:pt>
                <c:pt idx="2">
                  <c:v>Q4 16/17</c:v>
                </c:pt>
                <c:pt idx="3">
                  <c:v>Q1 17/18</c:v>
                </c:pt>
                <c:pt idx="4">
                  <c:v>Q2 17/18</c:v>
                </c:pt>
                <c:pt idx="5">
                  <c:v>Q3 17/18</c:v>
                </c:pt>
              </c:strCache>
            </c:strRef>
          </c:cat>
          <c:val>
            <c:numRef>
              <c:extLst>
                <c:ext xmlns:c15="http://schemas.microsoft.com/office/drawing/2012/chart" uri="{02D57815-91ED-43cb-92C2-25804820EDAC}">
                  <c15:fullRef>
                    <c15:sqref>'7 EA 11 Data Sheet Female Execs'!$D$23:$D$30</c15:sqref>
                  </c15:fullRef>
                </c:ext>
              </c:extLst>
              <c:f>'7 EA 11 Data Sheet Female Execs'!$D$24:$D$29</c:f>
              <c:numCache>
                <c:formatCode>0</c:formatCode>
                <c:ptCount val="6"/>
                <c:pt idx="0">
                  <c:v>43</c:v>
                </c:pt>
                <c:pt idx="1">
                  <c:v>37</c:v>
                </c:pt>
                <c:pt idx="2">
                  <c:v>43</c:v>
                </c:pt>
                <c:pt idx="3">
                  <c:v>45</c:v>
                </c:pt>
                <c:pt idx="4">
                  <c:v>42</c:v>
                </c:pt>
                <c:pt idx="5">
                  <c:v>31</c:v>
                </c:pt>
              </c:numCache>
            </c:numRef>
          </c:val>
        </c:ser>
        <c:dLbls>
          <c:showLegendKey val="0"/>
          <c:showVal val="0"/>
          <c:showCatName val="0"/>
          <c:showSerName val="0"/>
          <c:showPercent val="0"/>
          <c:showBubbleSize val="0"/>
        </c:dLbls>
        <c:gapWidth val="27"/>
        <c:overlap val="100"/>
        <c:axId val="482381056"/>
        <c:axId val="482381448"/>
      </c:barChart>
      <c:lineChart>
        <c:grouping val="standard"/>
        <c:varyColors val="0"/>
        <c:ser>
          <c:idx val="1"/>
          <c:order val="1"/>
          <c:tx>
            <c:strRef>
              <c:f>'7 EA 11 Data Sheet Female Execs'!$C$22</c:f>
              <c:strCache>
                <c:ptCount val="1"/>
                <c:pt idx="0">
                  <c:v>Target</c:v>
                </c:pt>
              </c:strCache>
            </c:strRef>
          </c:tx>
          <c:spPr>
            <a:ln w="28575">
              <a:solidFill>
                <a:srgbClr val="034B89"/>
              </a:solidFill>
            </a:ln>
          </c:spPr>
          <c:marker>
            <c:symbol val="square"/>
            <c:size val="5"/>
            <c:spPr>
              <a:solidFill>
                <a:srgbClr val="034B89"/>
              </a:solidFill>
              <a:ln>
                <a:solidFill>
                  <a:srgbClr val="034B89"/>
                </a:solidFill>
              </a:ln>
            </c:spPr>
          </c:marker>
          <c:dLbls>
            <c:dLbl>
              <c:idx val="1"/>
              <c:layout>
                <c:manualLayout>
                  <c:x val="-4.8819178881418346E-2"/>
                  <c:y val="-4.674041603021045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'7 EA 11 Data Sheet Female Execs'!$A$23:$A$30</c15:sqref>
                  </c15:fullRef>
                </c:ext>
              </c:extLst>
              <c:f>'7 EA 11 Data Sheet Female Execs'!$A$24:$A$29</c:f>
              <c:strCache>
                <c:ptCount val="6"/>
                <c:pt idx="0">
                  <c:v>Q2 16/17</c:v>
                </c:pt>
                <c:pt idx="1">
                  <c:v>Q3 16/17</c:v>
                </c:pt>
                <c:pt idx="2">
                  <c:v>Q4 16/17</c:v>
                </c:pt>
                <c:pt idx="3">
                  <c:v>Q1 17/18</c:v>
                </c:pt>
                <c:pt idx="4">
                  <c:v>Q2 17/18</c:v>
                </c:pt>
                <c:pt idx="5">
                  <c:v>Q3 17/18</c:v>
                </c:pt>
              </c:strCache>
            </c:strRef>
          </c:cat>
          <c:val>
            <c:numRef>
              <c:extLst>
                <c:ext xmlns:c15="http://schemas.microsoft.com/office/drawing/2012/chart" uri="{02D57815-91ED-43cb-92C2-25804820EDAC}">
                  <c15:fullRef>
                    <c15:sqref>'7 EA 11 Data Sheet Female Execs'!$C$23:$C$30</c15:sqref>
                  </c15:fullRef>
                </c:ext>
              </c:extLst>
              <c:f>'7 EA 11 Data Sheet Female Execs'!$C$24:$C$29</c:f>
              <c:numCache>
                <c:formatCode>0%</c:formatCode>
                <c:ptCount val="6"/>
                <c:pt idx="0">
                  <c:v>0.5</c:v>
                </c:pt>
                <c:pt idx="1">
                  <c:v>0.5</c:v>
                </c:pt>
                <c:pt idx="2">
                  <c:v>0.5</c:v>
                </c:pt>
                <c:pt idx="3">
                  <c:v>0.5</c:v>
                </c:pt>
                <c:pt idx="4">
                  <c:v>0.5</c:v>
                </c:pt>
                <c:pt idx="5">
                  <c:v>0.5</c:v>
                </c:pt>
              </c:numCache>
            </c:numRef>
          </c:val>
          <c:smooth val="0"/>
        </c:ser>
        <c:dLbls>
          <c:showLegendKey val="0"/>
          <c:showVal val="0"/>
          <c:showCatName val="0"/>
          <c:showSerName val="0"/>
          <c:showPercent val="0"/>
          <c:showBubbleSize val="0"/>
        </c:dLbls>
        <c:marker val="1"/>
        <c:smooth val="0"/>
        <c:axId val="482381056"/>
        <c:axId val="482381448"/>
      </c:lineChart>
      <c:catAx>
        <c:axId val="482381056"/>
        <c:scaling>
          <c:orientation val="minMax"/>
        </c:scaling>
        <c:delete val="0"/>
        <c:axPos val="b"/>
        <c:numFmt formatCode="General" sourceLinked="0"/>
        <c:majorTickMark val="out"/>
        <c:minorTickMark val="none"/>
        <c:tickLblPos val="nextTo"/>
        <c:txPr>
          <a:bodyPr rot="0"/>
          <a:lstStyle/>
          <a:p>
            <a:pPr>
              <a:defRPr sz="900" baseline="0">
                <a:solidFill>
                  <a:sysClr val="windowText" lastClr="000000"/>
                </a:solidFill>
              </a:defRPr>
            </a:pPr>
            <a:endParaRPr lang="en-US"/>
          </a:p>
        </c:txPr>
        <c:crossAx val="482381448"/>
        <c:crossesAt val="0"/>
        <c:auto val="1"/>
        <c:lblAlgn val="ctr"/>
        <c:lblOffset val="100"/>
        <c:noMultiLvlLbl val="0"/>
      </c:catAx>
      <c:valAx>
        <c:axId val="482381448"/>
        <c:scaling>
          <c:orientation val="minMax"/>
          <c:max val="1"/>
        </c:scaling>
        <c:delete val="0"/>
        <c:axPos val="l"/>
        <c:numFmt formatCode="0%" sourceLinked="0"/>
        <c:majorTickMark val="out"/>
        <c:minorTickMark val="none"/>
        <c:tickLblPos val="nextTo"/>
        <c:txPr>
          <a:bodyPr/>
          <a:lstStyle/>
          <a:p>
            <a:pPr>
              <a:defRPr sz="1050" baseline="0">
                <a:solidFill>
                  <a:sysClr val="windowText" lastClr="000000"/>
                </a:solidFill>
              </a:defRPr>
            </a:pPr>
            <a:endParaRPr lang="en-US"/>
          </a:p>
        </c:txPr>
        <c:crossAx val="482381056"/>
        <c:crosses val="autoZero"/>
        <c:crossBetween val="between"/>
      </c:valAx>
    </c:plotArea>
    <c:plotVisOnly val="1"/>
    <c:dispBlanksAs val="gap"/>
    <c:showDLblsOverMax val="0"/>
  </c:chart>
  <c:spPr>
    <a:ln>
      <a:noFill/>
    </a:ln>
  </c:spPr>
  <c:printSettings>
    <c:headerFooter/>
    <c:pageMargins b="0.75000000000001243" l="0.70000000000000062" r="0.70000000000000062" t="0.75000000000001243"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6385967553799538E-2"/>
          <c:y val="3.116511495207331E-2"/>
          <c:w val="0.90231314440512556"/>
          <c:h val="0.87477474047101378"/>
        </c:manualLayout>
      </c:layout>
      <c:barChart>
        <c:barDir val="col"/>
        <c:grouping val="stacked"/>
        <c:varyColors val="0"/>
        <c:ser>
          <c:idx val="0"/>
          <c:order val="0"/>
          <c:tx>
            <c:strRef>
              <c:f>'7 EA 11 Data Sheet - Bame'!$B$22</c:f>
              <c:strCache>
                <c:ptCount val="1"/>
                <c:pt idx="0">
                  <c:v>Actual</c:v>
                </c:pt>
              </c:strCache>
            </c:strRef>
          </c:tx>
          <c:spPr>
            <a:solidFill>
              <a:srgbClr val="B2C326"/>
            </a:solidFill>
          </c:spPr>
          <c:invertIfNegative val="0"/>
          <c:dLbls>
            <c:numFmt formatCode="0.0%" sourceLinked="0"/>
            <c:spPr>
              <a:noFill/>
              <a:ln>
                <a:noFill/>
              </a:ln>
              <a:effectLst/>
            </c:spPr>
            <c:txPr>
              <a:bodyPr/>
              <a:lstStyle/>
              <a:p>
                <a:pPr>
                  <a:defRPr sz="1050" baseline="0">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'7 EA 11 Data Sheet - Bame'!$A$23:$A$30</c15:sqref>
                  </c15:fullRef>
                </c:ext>
              </c:extLst>
              <c:f>'7 EA 11 Data Sheet - Bame'!$A$24:$A$29</c:f>
              <c:strCache>
                <c:ptCount val="6"/>
                <c:pt idx="0">
                  <c:v>Q2 16/17</c:v>
                </c:pt>
                <c:pt idx="1">
                  <c:v>Q3 16/17</c:v>
                </c:pt>
                <c:pt idx="2">
                  <c:v>Q4 16/17</c:v>
                </c:pt>
                <c:pt idx="3">
                  <c:v>Q1 17/18</c:v>
                </c:pt>
                <c:pt idx="4">
                  <c:v>Q2 17/18</c:v>
                </c:pt>
                <c:pt idx="5">
                  <c:v>Q3 17/18</c:v>
                </c:pt>
              </c:strCache>
            </c:strRef>
          </c:cat>
          <c:val>
            <c:numRef>
              <c:extLst>
                <c:ext xmlns:c15="http://schemas.microsoft.com/office/drawing/2012/chart" uri="{02D57815-91ED-43cb-92C2-25804820EDAC}">
                  <c15:fullRef>
                    <c15:sqref>'7 EA 11 Data Sheet - Bame'!$B$23:$B$30</c15:sqref>
                  </c15:fullRef>
                </c:ext>
              </c:extLst>
              <c:f>'7 EA 11 Data Sheet - Bame'!$B$24:$B$29</c:f>
              <c:numCache>
                <c:formatCode>0.00%</c:formatCode>
                <c:ptCount val="6"/>
                <c:pt idx="0">
                  <c:v>3.7199999999999997E-2</c:v>
                </c:pt>
                <c:pt idx="1">
                  <c:v>3.6722999999999999E-2</c:v>
                </c:pt>
                <c:pt idx="2">
                  <c:v>3.8379000000000003E-2</c:v>
                </c:pt>
                <c:pt idx="3">
                  <c:v>3.9597500000000001E-2</c:v>
                </c:pt>
                <c:pt idx="4">
                  <c:v>0.04</c:v>
                </c:pt>
                <c:pt idx="5">
                  <c:v>3.8399999999999997E-2</c:v>
                </c:pt>
              </c:numCache>
            </c:numRef>
          </c:val>
        </c:ser>
        <c:ser>
          <c:idx val="2"/>
          <c:order val="2"/>
          <c:tx>
            <c:strRef>
              <c:f>'7 EA 11 Data Sheet - Bame'!$F$22</c:f>
              <c:strCache>
                <c:ptCount val="1"/>
                <c:pt idx="0">
                  <c:v>Number</c:v>
                </c:pt>
              </c:strCache>
            </c:strRef>
          </c:tx>
          <c:spPr>
            <a:no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Lbls>
            <c:spPr>
              <a:noFill/>
              <a:ln>
                <a:noFill/>
              </a:ln>
              <a:effectLst/>
            </c:spPr>
            <c:txPr>
              <a:bodyPr wrap="square" lIns="38100" tIns="19050" rIns="38100" bIns="19050" anchor="ctr">
                <a:spAutoFit/>
              </a:bodyPr>
              <a:lstStyle/>
              <a:p>
                <a:pPr>
                  <a:defRPr sz="1050" baseline="0">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'7 EA 11 Data Sheet - Bame'!$A$23:$A$30</c15:sqref>
                  </c15:fullRef>
                </c:ext>
              </c:extLst>
              <c:f>'7 EA 11 Data Sheet - Bame'!$A$24:$A$29</c:f>
              <c:strCache>
                <c:ptCount val="6"/>
                <c:pt idx="0">
                  <c:v>Q2 16/17</c:v>
                </c:pt>
                <c:pt idx="1">
                  <c:v>Q3 16/17</c:v>
                </c:pt>
                <c:pt idx="2">
                  <c:v>Q4 16/17</c:v>
                </c:pt>
                <c:pt idx="3">
                  <c:v>Q1 17/18</c:v>
                </c:pt>
                <c:pt idx="4">
                  <c:v>Q2 17/18</c:v>
                </c:pt>
                <c:pt idx="5">
                  <c:v>Q3 17/18</c:v>
                </c:pt>
              </c:strCache>
            </c:strRef>
          </c:cat>
          <c:val>
            <c:numRef>
              <c:extLst>
                <c:ext xmlns:c15="http://schemas.microsoft.com/office/drawing/2012/chart" uri="{02D57815-91ED-43cb-92C2-25804820EDAC}">
                  <c15:fullRef>
                    <c15:sqref>'7 EA 11 Data Sheet - Bame'!$F$23:$F$30</c15:sqref>
                  </c15:fullRef>
                </c:ext>
              </c:extLst>
              <c:f>'7 EA 11 Data Sheet - Bame'!$F$24:$F$29</c:f>
              <c:numCache>
                <c:formatCode>General</c:formatCode>
                <c:ptCount val="6"/>
                <c:pt idx="0">
                  <c:v>383</c:v>
                </c:pt>
                <c:pt idx="1">
                  <c:v>381</c:v>
                </c:pt>
                <c:pt idx="2">
                  <c:v>411</c:v>
                </c:pt>
                <c:pt idx="3">
                  <c:v>425</c:v>
                </c:pt>
                <c:pt idx="4">
                  <c:v>433</c:v>
                </c:pt>
                <c:pt idx="5">
                  <c:v>381</c:v>
                </c:pt>
              </c:numCache>
            </c:numRef>
          </c:val>
        </c:ser>
        <c:dLbls>
          <c:showLegendKey val="0"/>
          <c:showVal val="0"/>
          <c:showCatName val="0"/>
          <c:showSerName val="0"/>
          <c:showPercent val="0"/>
          <c:showBubbleSize val="0"/>
        </c:dLbls>
        <c:gapWidth val="150"/>
        <c:overlap val="100"/>
        <c:axId val="482382232"/>
        <c:axId val="482382624"/>
      </c:barChart>
      <c:lineChart>
        <c:grouping val="standard"/>
        <c:varyColors val="0"/>
        <c:ser>
          <c:idx val="1"/>
          <c:order val="1"/>
          <c:tx>
            <c:strRef>
              <c:f>'7 EA 11 Data Sheet - Bame'!$C$22</c:f>
              <c:strCache>
                <c:ptCount val="1"/>
                <c:pt idx="0">
                  <c:v>Target</c:v>
                </c:pt>
              </c:strCache>
            </c:strRef>
          </c:tx>
          <c:spPr>
            <a:ln>
              <a:solidFill>
                <a:srgbClr val="034B89"/>
              </a:solidFill>
            </a:ln>
          </c:spPr>
          <c:marker>
            <c:symbol val="square"/>
            <c:size val="5"/>
            <c:spPr>
              <a:solidFill>
                <a:srgbClr val="034B89"/>
              </a:solidFill>
              <a:ln>
                <a:solidFill>
                  <a:srgbClr val="034B89"/>
                </a:solidFill>
              </a:ln>
            </c:spPr>
          </c:marker>
          <c:dLbls>
            <c:numFmt formatCode="0.0%" sourceLinked="0"/>
            <c:spPr>
              <a:noFill/>
              <a:ln>
                <a:noFill/>
              </a:ln>
              <a:effectLst/>
            </c:spPr>
            <c:txPr>
              <a:bodyPr wrap="square" lIns="38100" tIns="19050" rIns="38100" bIns="19050" anchor="ctr">
                <a:spAutoFit/>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'7 EA 11 Data Sheet - Bame'!$A$23:$A$30</c15:sqref>
                  </c15:fullRef>
                </c:ext>
              </c:extLst>
              <c:f>'7 EA 11 Data Sheet - Bame'!$A$24:$A$29</c:f>
              <c:strCache>
                <c:ptCount val="6"/>
                <c:pt idx="0">
                  <c:v>Q2 16/17</c:v>
                </c:pt>
                <c:pt idx="1">
                  <c:v>Q3 16/17</c:v>
                </c:pt>
                <c:pt idx="2">
                  <c:v>Q4 16/17</c:v>
                </c:pt>
                <c:pt idx="3">
                  <c:v>Q1 17/18</c:v>
                </c:pt>
                <c:pt idx="4">
                  <c:v>Q2 17/18</c:v>
                </c:pt>
                <c:pt idx="5">
                  <c:v>Q3 17/18</c:v>
                </c:pt>
              </c:strCache>
            </c:strRef>
          </c:cat>
          <c:val>
            <c:numRef>
              <c:extLst>
                <c:ext xmlns:c15="http://schemas.microsoft.com/office/drawing/2012/chart" uri="{02D57815-91ED-43cb-92C2-25804820EDAC}">
                  <c15:fullRef>
                    <c15:sqref>'7 EA 11 Data Sheet - Bame'!$C$23:$C$30</c15:sqref>
                  </c15:fullRef>
                </c:ext>
              </c:extLst>
              <c:f>'7 EA 11 Data Sheet - Bame'!$C$24:$C$29</c:f>
              <c:numCache>
                <c:formatCode>0%</c:formatCode>
                <c:ptCount val="6"/>
                <c:pt idx="0">
                  <c:v>0.14000000000000001</c:v>
                </c:pt>
                <c:pt idx="1">
                  <c:v>0.14000000000000001</c:v>
                </c:pt>
                <c:pt idx="2">
                  <c:v>0.14000000000000001</c:v>
                </c:pt>
                <c:pt idx="3">
                  <c:v>0.14000000000000001</c:v>
                </c:pt>
                <c:pt idx="4">
                  <c:v>0.14000000000000001</c:v>
                </c:pt>
                <c:pt idx="5">
                  <c:v>0.14000000000000001</c:v>
                </c:pt>
              </c:numCache>
            </c:numRef>
          </c:val>
          <c:smooth val="0"/>
        </c:ser>
        <c:dLbls>
          <c:showLegendKey val="0"/>
          <c:showVal val="0"/>
          <c:showCatName val="0"/>
          <c:showSerName val="0"/>
          <c:showPercent val="0"/>
          <c:showBubbleSize val="0"/>
        </c:dLbls>
        <c:marker val="1"/>
        <c:smooth val="0"/>
        <c:axId val="482382232"/>
        <c:axId val="482382624"/>
      </c:lineChart>
      <c:catAx>
        <c:axId val="482382232"/>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482382624"/>
        <c:crosses val="autoZero"/>
        <c:auto val="1"/>
        <c:lblAlgn val="ctr"/>
        <c:lblOffset val="100"/>
        <c:noMultiLvlLbl val="0"/>
      </c:catAx>
      <c:valAx>
        <c:axId val="482382624"/>
        <c:scaling>
          <c:orientation val="minMax"/>
          <c:max val="0.2"/>
          <c:min val="0"/>
        </c:scaling>
        <c:delete val="0"/>
        <c:axPos val="l"/>
        <c:numFmt formatCode="0%" sourceLinked="0"/>
        <c:majorTickMark val="out"/>
        <c:minorTickMark val="none"/>
        <c:tickLblPos val="nextTo"/>
        <c:txPr>
          <a:bodyPr/>
          <a:lstStyle/>
          <a:p>
            <a:pPr>
              <a:defRPr sz="1050" baseline="0">
                <a:solidFill>
                  <a:sysClr val="windowText" lastClr="000000"/>
                </a:solidFill>
              </a:defRPr>
            </a:pPr>
            <a:endParaRPr lang="en-US"/>
          </a:p>
        </c:txPr>
        <c:crossAx val="482382232"/>
        <c:crosses val="autoZero"/>
        <c:crossBetween val="between"/>
      </c:valAx>
    </c:plotArea>
    <c:plotVisOnly val="1"/>
    <c:dispBlanksAs val="gap"/>
    <c:showDLblsOverMax val="0"/>
  </c:chart>
  <c:spPr>
    <a:ln>
      <a:noFill/>
    </a:ln>
  </c:spPr>
  <c:printSettings>
    <c:headerFooter/>
    <c:pageMargins b="0.75000000000001332" l="0.70000000000000062" r="0.70000000000000062" t="0.75000000000001332"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9.5360041387784117E-2"/>
          <c:y val="2.9949808990627821E-2"/>
          <c:w val="0.90231314440512556"/>
          <c:h val="0.67133245677536413"/>
        </c:manualLayout>
      </c:layout>
      <c:lineChart>
        <c:grouping val="standard"/>
        <c:varyColors val="0"/>
        <c:ser>
          <c:idx val="1"/>
          <c:order val="0"/>
          <c:tx>
            <c:strRef>
              <c:f>'7 EA 12 Data Sheet'!$C$22</c:f>
              <c:strCache>
                <c:ptCount val="1"/>
                <c:pt idx="0">
                  <c:v>12 month rolling average</c:v>
                </c:pt>
              </c:strCache>
            </c:strRef>
          </c:tx>
          <c:spPr>
            <a:ln>
              <a:solidFill>
                <a:srgbClr val="B2C326"/>
              </a:solidFill>
            </a:ln>
          </c:spPr>
          <c:marker>
            <c:spPr>
              <a:solidFill>
                <a:srgbClr val="B2C326"/>
              </a:solidFill>
              <a:ln>
                <a:solidFill>
                  <a:srgbClr val="B2C326"/>
                </a:solidFill>
              </a:ln>
            </c:spPr>
          </c:marker>
          <c:dLbls>
            <c:dLbl>
              <c:idx val="3"/>
              <c:layout>
                <c:manualLayout>
                  <c:x val="-4.7735310900776581E-2"/>
                  <c:y val="-5.178533834393430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773531090077647E-2"/>
                  <c:y val="-5.178533834393430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4858393361614929E-2"/>
                  <c:y val="-5.178533834393430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050" b="0" i="0" u="none" strike="noStrike" baseline="0">
                    <a:solidFill>
                      <a:sysClr val="windowText" lastClr="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'7 EA 12 Data Sheet'!$A$66:$A$77</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'7 EA 12 Data Sheet'!$C$66:$C$77</c:f>
              <c:numCache>
                <c:formatCode>#,##0.00</c:formatCode>
                <c:ptCount val="12"/>
                <c:pt idx="0">
                  <c:v>0.15</c:v>
                </c:pt>
                <c:pt idx="1">
                  <c:v>0.13</c:v>
                </c:pt>
                <c:pt idx="2">
                  <c:v>0.11</c:v>
                </c:pt>
                <c:pt idx="3">
                  <c:v>0.12</c:v>
                </c:pt>
                <c:pt idx="4">
                  <c:v>0.13</c:v>
                </c:pt>
                <c:pt idx="5">
                  <c:v>0.12</c:v>
                </c:pt>
                <c:pt idx="6">
                  <c:v>0.10490933735066155</c:v>
                </c:pt>
                <c:pt idx="7">
                  <c:v>0.11453901482702568</c:v>
                </c:pt>
                <c:pt idx="8">
                  <c:v>0.10426234909328247</c:v>
                </c:pt>
                <c:pt idx="9">
                  <c:v>0.12</c:v>
                </c:pt>
                <c:pt idx="10">
                  <c:v>0.13</c:v>
                </c:pt>
                <c:pt idx="11">
                  <c:v>0.14000000000000001</c:v>
                </c:pt>
              </c:numCache>
            </c:numRef>
          </c:val>
          <c:smooth val="0"/>
        </c:ser>
        <c:ser>
          <c:idx val="0"/>
          <c:order val="1"/>
          <c:tx>
            <c:v>Ceiling&lt;=0.11</c:v>
          </c:tx>
          <c:marker>
            <c:symbol val="none"/>
          </c:marker>
          <c:cat>
            <c:numRef>
              <c:f>'7 EA 12 Data Sheet'!$A$66:$A$77</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'7 EA 12 Data Sheet'!$G$66:$G$77</c:f>
              <c:numCache>
                <c:formatCode>0.00</c:formatCode>
                <c:ptCount val="12"/>
                <c:pt idx="0">
                  <c:v>0.16</c:v>
                </c:pt>
                <c:pt idx="1">
                  <c:v>0.16</c:v>
                </c:pt>
                <c:pt idx="2">
                  <c:v>0.16</c:v>
                </c:pt>
                <c:pt idx="3">
                  <c:v>0.11</c:v>
                </c:pt>
                <c:pt idx="4">
                  <c:v>0.11</c:v>
                </c:pt>
                <c:pt idx="5">
                  <c:v>0.11</c:v>
                </c:pt>
                <c:pt idx="6">
                  <c:v>0.11</c:v>
                </c:pt>
                <c:pt idx="7">
                  <c:v>0.11</c:v>
                </c:pt>
                <c:pt idx="8">
                  <c:v>0.11</c:v>
                </c:pt>
                <c:pt idx="9">
                  <c:v>0.11</c:v>
                </c:pt>
                <c:pt idx="10">
                  <c:v>0.11</c:v>
                </c:pt>
                <c:pt idx="11">
                  <c:v>0.11</c:v>
                </c:pt>
              </c:numCache>
            </c:numRef>
          </c:val>
          <c:smooth val="0"/>
        </c:ser>
        <c:dLbls>
          <c:showLegendKey val="0"/>
          <c:showVal val="0"/>
          <c:showCatName val="0"/>
          <c:showSerName val="0"/>
          <c:showPercent val="0"/>
          <c:showBubbleSize val="0"/>
        </c:dLbls>
        <c:marker val="1"/>
        <c:smooth val="0"/>
        <c:axId val="482383408"/>
        <c:axId val="482383800"/>
      </c:lineChart>
      <c:dateAx>
        <c:axId val="482383408"/>
        <c:scaling>
          <c:orientation val="minMax"/>
        </c:scaling>
        <c:delete val="0"/>
        <c:axPos val="b"/>
        <c:numFmt formatCode="mmm\-yy" sourceLinked="0"/>
        <c:majorTickMark val="out"/>
        <c:minorTickMark val="none"/>
        <c:tickLblPos val="nextTo"/>
        <c:txPr>
          <a:bodyPr rot="-2700000" vert="horz"/>
          <a:lstStyle/>
          <a:p>
            <a:pPr>
              <a:defRPr sz="1050" b="0" i="0" u="none" strike="noStrike" baseline="0">
                <a:solidFill>
                  <a:sysClr val="windowText" lastClr="000000"/>
                </a:solidFill>
                <a:latin typeface="Calibri"/>
                <a:ea typeface="Calibri"/>
                <a:cs typeface="Calibri"/>
              </a:defRPr>
            </a:pPr>
            <a:endParaRPr lang="en-US"/>
          </a:p>
        </c:txPr>
        <c:crossAx val="482383800"/>
        <c:crosses val="autoZero"/>
        <c:auto val="1"/>
        <c:lblOffset val="100"/>
        <c:baseTimeUnit val="months"/>
      </c:dateAx>
      <c:valAx>
        <c:axId val="482383800"/>
        <c:scaling>
          <c:orientation val="minMax"/>
          <c:min val="0"/>
        </c:scaling>
        <c:delete val="0"/>
        <c:axPos val="l"/>
        <c:numFmt formatCode="#,##0.00" sourceLinked="1"/>
        <c:majorTickMark val="out"/>
        <c:minorTickMark val="none"/>
        <c:tickLblPos val="nextTo"/>
        <c:txPr>
          <a:bodyPr rot="0" vert="horz"/>
          <a:lstStyle/>
          <a:p>
            <a:pPr>
              <a:defRPr sz="1050" b="0" i="0" u="none" strike="noStrike" baseline="0">
                <a:solidFill>
                  <a:sysClr val="windowText" lastClr="000000"/>
                </a:solidFill>
                <a:latin typeface="Calibri"/>
                <a:ea typeface="Calibri"/>
                <a:cs typeface="Calibri"/>
              </a:defRPr>
            </a:pPr>
            <a:endParaRPr lang="en-US"/>
          </a:p>
        </c:txPr>
        <c:crossAx val="482383408"/>
        <c:crosses val="autoZero"/>
        <c:crossBetween val="between"/>
      </c:valAx>
    </c:plotArea>
    <c:legend>
      <c:legendPos val="b"/>
      <c:layout>
        <c:manualLayout>
          <c:xMode val="edge"/>
          <c:yMode val="edge"/>
          <c:x val="9.076763276930809E-2"/>
          <c:y val="0.88645785943423738"/>
          <c:w val="0.76850137973607502"/>
          <c:h val="8.7032733194820106E-2"/>
        </c:manualLayout>
      </c:layout>
      <c:overlay val="0"/>
      <c:txPr>
        <a:bodyPr/>
        <a:lstStyle/>
        <a:p>
          <a:pPr>
            <a:defRPr sz="1050" b="0" i="0" u="none" strike="noStrike" baseline="0">
              <a:solidFill>
                <a:sysClr val="windowText" lastClr="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autoTitleDeleted val="0"/>
    <c:plotArea>
      <c:layout>
        <c:manualLayout>
          <c:layoutTarget val="inner"/>
          <c:xMode val="edge"/>
          <c:yMode val="edge"/>
          <c:x val="6.8531727651690591E-2"/>
          <c:y val="3.0954543198688771E-2"/>
          <c:w val="0.9243357923157739"/>
          <c:h val="0.69158662412521099"/>
        </c:manualLayout>
      </c:layout>
      <c:lineChart>
        <c:grouping val="standard"/>
        <c:varyColors val="0"/>
        <c:ser>
          <c:idx val="1"/>
          <c:order val="0"/>
          <c:tx>
            <c:strRef>
              <c:f>'7 EA 12 Data Sheet'!$B$81</c:f>
              <c:strCache>
                <c:ptCount val="1"/>
                <c:pt idx="0">
                  <c:v>Actual</c:v>
                </c:pt>
              </c:strCache>
            </c:strRef>
          </c:tx>
          <c:spPr>
            <a:ln w="38100">
              <a:solidFill>
                <a:srgbClr val="B2C326"/>
              </a:solidFill>
            </a:ln>
          </c:spPr>
          <c:marker>
            <c:symbol val="square"/>
            <c:size val="5"/>
            <c:spPr>
              <a:solidFill>
                <a:srgbClr val="B2C326"/>
              </a:solidFill>
              <a:ln>
                <a:solidFill>
                  <a:srgbClr val="B2C326"/>
                </a:solidFill>
              </a:ln>
            </c:spPr>
          </c:marker>
          <c:dLbls>
            <c:dLbl>
              <c:idx val="15"/>
              <c:layout>
                <c:manualLayout>
                  <c:x val="-3.4833639654278652E-2"/>
                  <c:y val="-1.82049474480921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0"/>
              <c:layout>
                <c:manualLayout>
                  <c:x val="-2.9208228261935771E-2"/>
                  <c:y val="-3.9983784096832078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c:spPr>
            <c:txPr>
              <a:bodyPr/>
              <a:lstStyle/>
              <a:p>
                <a:pPr>
                  <a:defRPr sz="900" b="0" i="0" u="none" strike="noStrike" baseline="0">
                    <a:solidFill>
                      <a:schemeClr val="accent3">
                        <a:lumMod val="50000"/>
                      </a:schemeClr>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'7 EA 12 Data Sheet'!$A$82:$A$117</c15:sqref>
                  </c15:fullRef>
                </c:ext>
              </c:extLst>
              <c:f>('7 EA 12 Data Sheet'!$A$82:$A$105,'7 EA 12 Data Sheet'!$A$107:$A$116)</c:f>
              <c:strCache>
                <c:ptCount val="10"/>
                <c:pt idx="0">
                  <c:v>Q2 15/16</c:v>
                </c:pt>
                <c:pt idx="1">
                  <c:v>Q3 15/16</c:v>
                </c:pt>
                <c:pt idx="2">
                  <c:v>Q4 15/16</c:v>
                </c:pt>
                <c:pt idx="3">
                  <c:v>Q1 16/17</c:v>
                </c:pt>
                <c:pt idx="4">
                  <c:v>Q2 16/17</c:v>
                </c:pt>
                <c:pt idx="5">
                  <c:v>Q3 16/17</c:v>
                </c:pt>
                <c:pt idx="6">
                  <c:v>Q4 16/17</c:v>
                </c:pt>
                <c:pt idx="7">
                  <c:v>Q1 17/18</c:v>
                </c:pt>
                <c:pt idx="8">
                  <c:v>Q2 17/18</c:v>
                </c:pt>
                <c:pt idx="9">
                  <c:v>Q3 17/18</c:v>
                </c:pt>
              </c:strCache>
            </c:strRef>
          </c:cat>
          <c:val>
            <c:numRef>
              <c:extLst>
                <c:ext xmlns:c15="http://schemas.microsoft.com/office/drawing/2012/chart" uri="{02D57815-91ED-43cb-92C2-25804820EDAC}">
                  <c15:fullRef>
                    <c15:sqref>'7 EA 12 Data Sheet'!$B$82:$B$117</c15:sqref>
                  </c15:fullRef>
                </c:ext>
              </c:extLst>
              <c:f>('7 EA 12 Data Sheet'!$B$82:$B$105,'7 EA 12 Data Sheet'!$B$107:$B$116)</c:f>
              <c:numCache>
                <c:formatCode>General</c:formatCode>
                <c:ptCount val="10"/>
                <c:pt idx="0">
                  <c:v>8</c:v>
                </c:pt>
                <c:pt idx="1">
                  <c:v>4</c:v>
                </c:pt>
                <c:pt idx="2">
                  <c:v>12</c:v>
                </c:pt>
                <c:pt idx="3">
                  <c:v>4</c:v>
                </c:pt>
                <c:pt idx="4">
                  <c:v>6</c:v>
                </c:pt>
                <c:pt idx="5">
                  <c:v>5</c:v>
                </c:pt>
                <c:pt idx="6">
                  <c:v>4</c:v>
                </c:pt>
                <c:pt idx="7">
                  <c:v>7</c:v>
                </c:pt>
                <c:pt idx="8">
                  <c:v>4</c:v>
                </c:pt>
                <c:pt idx="9">
                  <c:v>11</c:v>
                </c:pt>
              </c:numCache>
            </c:numRef>
          </c:val>
          <c:smooth val="0"/>
        </c:ser>
        <c:ser>
          <c:idx val="0"/>
          <c:order val="1"/>
          <c:tx>
            <c:strRef>
              <c:f>'7 EA 12 Data Sheet'!$C$81</c:f>
              <c:strCache>
                <c:ptCount val="1"/>
                <c:pt idx="0">
                  <c:v>Average</c:v>
                </c:pt>
              </c:strCache>
            </c:strRef>
          </c:tx>
          <c:spPr>
            <a:ln w="25400">
              <a:solidFill>
                <a:srgbClr val="034B89"/>
              </a:solidFill>
              <a:prstDash val="dash"/>
            </a:ln>
          </c:spPr>
          <c:marker>
            <c:symbol val="none"/>
          </c:marker>
          <c:cat>
            <c:strRef>
              <c:extLst>
                <c:ext xmlns:c15="http://schemas.microsoft.com/office/drawing/2012/chart" uri="{02D57815-91ED-43cb-92C2-25804820EDAC}">
                  <c15:fullRef>
                    <c15:sqref>'7 EA 12 Data Sheet'!$A$82:$A$117</c15:sqref>
                  </c15:fullRef>
                </c:ext>
              </c:extLst>
              <c:f>('7 EA 12 Data Sheet'!$A$82:$A$105,'7 EA 12 Data Sheet'!$A$107:$A$116)</c:f>
              <c:strCache>
                <c:ptCount val="10"/>
                <c:pt idx="0">
                  <c:v>Q2 15/16</c:v>
                </c:pt>
                <c:pt idx="1">
                  <c:v>Q3 15/16</c:v>
                </c:pt>
                <c:pt idx="2">
                  <c:v>Q4 15/16</c:v>
                </c:pt>
                <c:pt idx="3">
                  <c:v>Q1 16/17</c:v>
                </c:pt>
                <c:pt idx="4">
                  <c:v>Q2 16/17</c:v>
                </c:pt>
                <c:pt idx="5">
                  <c:v>Q3 16/17</c:v>
                </c:pt>
                <c:pt idx="6">
                  <c:v>Q4 16/17</c:v>
                </c:pt>
                <c:pt idx="7">
                  <c:v>Q1 17/18</c:v>
                </c:pt>
                <c:pt idx="8">
                  <c:v>Q2 17/18</c:v>
                </c:pt>
                <c:pt idx="9">
                  <c:v>Q3 17/18</c:v>
                </c:pt>
              </c:strCache>
            </c:strRef>
          </c:cat>
          <c:val>
            <c:numRef>
              <c:extLst>
                <c:ext xmlns:c15="http://schemas.microsoft.com/office/drawing/2012/chart" uri="{02D57815-91ED-43cb-92C2-25804820EDAC}">
                  <c15:fullRef>
                    <c15:sqref>'7 EA 12 Data Sheet'!$C$82:$C$117</c15:sqref>
                  </c15:fullRef>
                </c:ext>
              </c:extLst>
              <c:f>('7 EA 12 Data Sheet'!$C$82:$C$105,'7 EA 12 Data Sheet'!$C$107:$C$116)</c:f>
              <c:numCache>
                <c:formatCode>0.00</c:formatCode>
                <c:ptCount val="10"/>
                <c:pt idx="0">
                  <c:v>7.8</c:v>
                </c:pt>
                <c:pt idx="1">
                  <c:v>7.8</c:v>
                </c:pt>
                <c:pt idx="2">
                  <c:v>7.8</c:v>
                </c:pt>
                <c:pt idx="3">
                  <c:v>7.8</c:v>
                </c:pt>
                <c:pt idx="4">
                  <c:v>7.8</c:v>
                </c:pt>
                <c:pt idx="5">
                  <c:v>7.8</c:v>
                </c:pt>
                <c:pt idx="6">
                  <c:v>7.8</c:v>
                </c:pt>
                <c:pt idx="7">
                  <c:v>7.8</c:v>
                </c:pt>
                <c:pt idx="8">
                  <c:v>7.8</c:v>
                </c:pt>
                <c:pt idx="9">
                  <c:v>7.8</c:v>
                </c:pt>
              </c:numCache>
            </c:numRef>
          </c:val>
          <c:smooth val="0"/>
        </c:ser>
        <c:ser>
          <c:idx val="2"/>
          <c:order val="2"/>
          <c:tx>
            <c:strRef>
              <c:f>'7 EA 12 Data Sheet'!$E$81</c:f>
              <c:strCache>
                <c:ptCount val="1"/>
                <c:pt idx="0">
                  <c:v>Upper control limit</c:v>
                </c:pt>
              </c:strCache>
            </c:strRef>
          </c:tx>
          <c:spPr>
            <a:ln w="31750">
              <a:solidFill>
                <a:srgbClr val="D95F15"/>
              </a:solidFill>
            </a:ln>
          </c:spPr>
          <c:marker>
            <c:symbol val="none"/>
          </c:marker>
          <c:cat>
            <c:strRef>
              <c:extLst>
                <c:ext xmlns:c15="http://schemas.microsoft.com/office/drawing/2012/chart" uri="{02D57815-91ED-43cb-92C2-25804820EDAC}">
                  <c15:fullRef>
                    <c15:sqref>'7 EA 12 Data Sheet'!$A$82:$A$117</c15:sqref>
                  </c15:fullRef>
                </c:ext>
              </c:extLst>
              <c:f>('7 EA 12 Data Sheet'!$A$82:$A$105,'7 EA 12 Data Sheet'!$A$107:$A$116)</c:f>
              <c:strCache>
                <c:ptCount val="10"/>
                <c:pt idx="0">
                  <c:v>Q2 15/16</c:v>
                </c:pt>
                <c:pt idx="1">
                  <c:v>Q3 15/16</c:v>
                </c:pt>
                <c:pt idx="2">
                  <c:v>Q4 15/16</c:v>
                </c:pt>
                <c:pt idx="3">
                  <c:v>Q1 16/17</c:v>
                </c:pt>
                <c:pt idx="4">
                  <c:v>Q2 16/17</c:v>
                </c:pt>
                <c:pt idx="5">
                  <c:v>Q3 16/17</c:v>
                </c:pt>
                <c:pt idx="6">
                  <c:v>Q4 16/17</c:v>
                </c:pt>
                <c:pt idx="7">
                  <c:v>Q1 17/18</c:v>
                </c:pt>
                <c:pt idx="8">
                  <c:v>Q2 17/18</c:v>
                </c:pt>
                <c:pt idx="9">
                  <c:v>Q3 17/18</c:v>
                </c:pt>
              </c:strCache>
            </c:strRef>
          </c:cat>
          <c:val>
            <c:numRef>
              <c:extLst>
                <c:ext xmlns:c15="http://schemas.microsoft.com/office/drawing/2012/chart" uri="{02D57815-91ED-43cb-92C2-25804820EDAC}">
                  <c15:fullRef>
                    <c15:sqref>'7 EA 12 Data Sheet'!$E$82:$E$117</c15:sqref>
                  </c15:fullRef>
                </c:ext>
              </c:extLst>
              <c:f>('7 EA 12 Data Sheet'!$E$82:$E$105,'7 EA 12 Data Sheet'!$E$107:$E$116)</c:f>
              <c:numCache>
                <c:formatCode>0.00</c:formatCode>
                <c:ptCount val="10"/>
                <c:pt idx="0">
                  <c:v>16.89</c:v>
                </c:pt>
                <c:pt idx="1">
                  <c:v>16.89</c:v>
                </c:pt>
                <c:pt idx="2">
                  <c:v>16.89</c:v>
                </c:pt>
                <c:pt idx="3">
                  <c:v>16.89</c:v>
                </c:pt>
                <c:pt idx="4">
                  <c:v>16.89</c:v>
                </c:pt>
                <c:pt idx="5">
                  <c:v>16.89</c:v>
                </c:pt>
                <c:pt idx="6">
                  <c:v>16.89</c:v>
                </c:pt>
                <c:pt idx="7">
                  <c:v>16.89</c:v>
                </c:pt>
                <c:pt idx="8">
                  <c:v>16.89</c:v>
                </c:pt>
                <c:pt idx="9">
                  <c:v>16.89</c:v>
                </c:pt>
              </c:numCache>
            </c:numRef>
          </c:val>
          <c:smooth val="0"/>
        </c:ser>
        <c:dLbls>
          <c:showLegendKey val="0"/>
          <c:showVal val="0"/>
          <c:showCatName val="0"/>
          <c:showSerName val="0"/>
          <c:showPercent val="0"/>
          <c:showBubbleSize val="0"/>
        </c:dLbls>
        <c:marker val="1"/>
        <c:smooth val="0"/>
        <c:axId val="482384584"/>
        <c:axId val="482791944"/>
      </c:lineChart>
      <c:catAx>
        <c:axId val="482384584"/>
        <c:scaling>
          <c:orientation val="minMax"/>
        </c:scaling>
        <c:delete val="0"/>
        <c:axPos val="b"/>
        <c:numFmt formatCode="@" sourceLinked="0"/>
        <c:majorTickMark val="out"/>
        <c:minorTickMark val="none"/>
        <c:tickLblPos val="nextTo"/>
        <c:txPr>
          <a:bodyPr rot="-2700000" vert="horz"/>
          <a:lstStyle/>
          <a:p>
            <a:pPr>
              <a:defRPr sz="1050" b="0" i="0" u="none" strike="noStrike" baseline="0">
                <a:solidFill>
                  <a:schemeClr val="tx1"/>
                </a:solidFill>
                <a:latin typeface="Calibri"/>
                <a:ea typeface="Calibri"/>
                <a:cs typeface="Calibri"/>
              </a:defRPr>
            </a:pPr>
            <a:endParaRPr lang="en-US"/>
          </a:p>
        </c:txPr>
        <c:crossAx val="482791944"/>
        <c:crosses val="autoZero"/>
        <c:auto val="0"/>
        <c:lblAlgn val="ctr"/>
        <c:lblOffset val="100"/>
        <c:noMultiLvlLbl val="0"/>
      </c:catAx>
      <c:valAx>
        <c:axId val="482791944"/>
        <c:scaling>
          <c:orientation val="minMax"/>
        </c:scaling>
        <c:delete val="0"/>
        <c:axPos val="l"/>
        <c:numFmt formatCode="General" sourceLinked="0"/>
        <c:majorTickMark val="out"/>
        <c:minorTickMark val="none"/>
        <c:tickLblPos val="nextTo"/>
        <c:txPr>
          <a:bodyPr rot="0" vert="horz"/>
          <a:lstStyle/>
          <a:p>
            <a:pPr>
              <a:defRPr sz="1050" b="0" i="0" u="none" strike="noStrike" baseline="0">
                <a:solidFill>
                  <a:sysClr val="windowText" lastClr="000000"/>
                </a:solidFill>
                <a:latin typeface="Calibri"/>
                <a:ea typeface="Calibri"/>
                <a:cs typeface="Calibri"/>
              </a:defRPr>
            </a:pPr>
            <a:endParaRPr lang="en-US"/>
          </a:p>
        </c:txPr>
        <c:crossAx val="482384584"/>
        <c:crosses val="autoZero"/>
        <c:crossBetween val="between"/>
      </c:valAx>
    </c:plotArea>
    <c:legend>
      <c:legendPos val="b"/>
      <c:layout>
        <c:manualLayout>
          <c:xMode val="edge"/>
          <c:yMode val="edge"/>
          <c:x val="3.4942651196084633E-2"/>
          <c:y val="0.87814384588065109"/>
          <c:w val="0.82281428788711963"/>
          <c:h val="7.4054642680133592E-2"/>
        </c:manualLayout>
      </c:layout>
      <c:overlay val="0"/>
      <c:txPr>
        <a:bodyPr/>
        <a:lstStyle/>
        <a:p>
          <a:pPr>
            <a:defRPr sz="1000" b="0" i="0" u="none" strike="noStrike" baseline="0">
              <a:solidFill>
                <a:schemeClr val="accent3">
                  <a:lumMod val="50000"/>
                </a:schemeClr>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en-US" sz="1100">
                <a:solidFill>
                  <a:sysClr val="windowText" lastClr="000000"/>
                </a:solidFill>
              </a:rPr>
              <a:t>Category 1 and 2 incidents from agriculture</a:t>
            </a:r>
          </a:p>
        </c:rich>
      </c:tx>
      <c:layout>
        <c:manualLayout>
          <c:xMode val="edge"/>
          <c:yMode val="edge"/>
          <c:x val="0.19793364190168045"/>
          <c:y val="3.6250430533328513E-2"/>
        </c:manualLayout>
      </c:layout>
      <c:overlay val="0"/>
    </c:title>
    <c:autoTitleDeleted val="0"/>
    <c:plotArea>
      <c:layout>
        <c:manualLayout>
          <c:layoutTarget val="inner"/>
          <c:xMode val="edge"/>
          <c:yMode val="edge"/>
          <c:x val="9.2915477816195483E-2"/>
          <c:y val="7.2844021664921932E-2"/>
          <c:w val="0.87461219746055763"/>
          <c:h val="0.67013376453055362"/>
        </c:manualLayout>
      </c:layout>
      <c:lineChart>
        <c:grouping val="standard"/>
        <c:varyColors val="0"/>
        <c:ser>
          <c:idx val="0"/>
          <c:order val="0"/>
          <c:tx>
            <c:strRef>
              <c:f>'1 EA 2 Data Sheet'!$M$120</c:f>
              <c:strCache>
                <c:ptCount val="1"/>
                <c:pt idx="0">
                  <c:v>Actual</c:v>
                </c:pt>
              </c:strCache>
            </c:strRef>
          </c:tx>
          <c:spPr>
            <a:ln>
              <a:solidFill>
                <a:srgbClr val="034B89"/>
              </a:solidFill>
            </a:ln>
          </c:spPr>
          <c:marker>
            <c:spPr>
              <a:solidFill>
                <a:srgbClr val="034B89"/>
              </a:solidFill>
              <a:ln>
                <a:solidFill>
                  <a:srgbClr val="034B89"/>
                </a:solidFill>
              </a:ln>
            </c:spPr>
          </c:marker>
          <c:cat>
            <c:strRef>
              <c:extLst>
                <c:ext xmlns:c15="http://schemas.microsoft.com/office/drawing/2012/chart" uri="{02D57815-91ED-43cb-92C2-25804820EDAC}">
                  <c15:fullRef>
                    <c15:sqref>('1 EA 2 Data Sheet'!$N$119:$AE$119,'1 EA 2 Data Sheet'!$AF$119:$AG$119)</c15:sqref>
                  </c15:fullRef>
                </c:ext>
              </c:extLst>
              <c:f>('1 EA 2 Data Sheet'!$N$119:$R$119,'1 EA 2 Data Sheet'!$V$119:$AE$119,'1 EA 2 Data Sheet'!$AF$119:$AG$119)</c:f>
              <c:strCache>
                <c:ptCount val="12"/>
                <c:pt idx="0">
                  <c:v>2015 Jan-Mar</c:v>
                </c:pt>
                <c:pt idx="1">
                  <c:v>2015 Apr-Jun</c:v>
                </c:pt>
                <c:pt idx="2">
                  <c:v>2015 Jul-Sep</c:v>
                </c:pt>
                <c:pt idx="3">
                  <c:v>2015 Oct-Dec</c:v>
                </c:pt>
                <c:pt idx="4">
                  <c:v>2016 Jan-Mar</c:v>
                </c:pt>
                <c:pt idx="5">
                  <c:v>2016 Apr-Jun</c:v>
                </c:pt>
                <c:pt idx="6">
                  <c:v>2016 Jul-Sep</c:v>
                </c:pt>
                <c:pt idx="7">
                  <c:v>2016 Oct-Dec</c:v>
                </c:pt>
                <c:pt idx="8">
                  <c:v>2017 Jan-Mar</c:v>
                </c:pt>
                <c:pt idx="9">
                  <c:v>2017 Apr-Jun</c:v>
                </c:pt>
                <c:pt idx="10">
                  <c:v>2017 Jul-Sep</c:v>
                </c:pt>
                <c:pt idx="11">
                  <c:v>2017 Oct-Dec</c:v>
                </c:pt>
              </c:strCache>
            </c:strRef>
          </c:cat>
          <c:val>
            <c:numRef>
              <c:extLst>
                <c:ext xmlns:c15="http://schemas.microsoft.com/office/drawing/2012/chart" uri="{02D57815-91ED-43cb-92C2-25804820EDAC}">
                  <c15:fullRef>
                    <c15:sqref>('1 EA 2 Data Sheet'!$N$120:$AE$120,'1 EA 2 Data Sheet'!$AF$120:$AG$120)</c15:sqref>
                  </c15:fullRef>
                </c:ext>
              </c:extLst>
              <c:f>('1 EA 2 Data Sheet'!$N$120:$R$120,'1 EA 2 Data Sheet'!$V$120:$AE$120,'1 EA 2 Data Sheet'!$AF$120:$AG$120)</c:f>
              <c:numCache>
                <c:formatCode>General</c:formatCode>
                <c:ptCount val="12"/>
                <c:pt idx="0">
                  <c:v>21</c:v>
                </c:pt>
                <c:pt idx="1">
                  <c:v>21</c:v>
                </c:pt>
                <c:pt idx="2">
                  <c:v>27</c:v>
                </c:pt>
                <c:pt idx="3">
                  <c:v>17</c:v>
                </c:pt>
                <c:pt idx="4">
                  <c:v>33</c:v>
                </c:pt>
                <c:pt idx="5">
                  <c:v>13</c:v>
                </c:pt>
                <c:pt idx="6">
                  <c:v>16</c:v>
                </c:pt>
                <c:pt idx="7">
                  <c:v>8</c:v>
                </c:pt>
                <c:pt idx="8">
                  <c:v>19</c:v>
                </c:pt>
                <c:pt idx="9">
                  <c:v>9</c:v>
                </c:pt>
                <c:pt idx="10">
                  <c:v>14</c:v>
                </c:pt>
                <c:pt idx="11">
                  <c:v>15</c:v>
                </c:pt>
              </c:numCache>
            </c:numRef>
          </c:val>
          <c:smooth val="0"/>
        </c:ser>
        <c:dLbls>
          <c:showLegendKey val="0"/>
          <c:showVal val="0"/>
          <c:showCatName val="0"/>
          <c:showSerName val="0"/>
          <c:showPercent val="0"/>
          <c:showBubbleSize val="0"/>
        </c:dLbls>
        <c:marker val="1"/>
        <c:smooth val="0"/>
        <c:axId val="190925704"/>
        <c:axId val="190926096"/>
      </c:lineChart>
      <c:catAx>
        <c:axId val="190925704"/>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rot="-3180000"/>
          <a:lstStyle/>
          <a:p>
            <a:pPr>
              <a:defRPr sz="800" baseline="0">
                <a:solidFill>
                  <a:sysClr val="windowText" lastClr="000000"/>
                </a:solidFill>
              </a:defRPr>
            </a:pPr>
            <a:endParaRPr lang="en-US"/>
          </a:p>
        </c:txPr>
        <c:crossAx val="190926096"/>
        <c:crosses val="autoZero"/>
        <c:auto val="1"/>
        <c:lblAlgn val="ctr"/>
        <c:lblOffset val="100"/>
        <c:noMultiLvlLbl val="0"/>
      </c:catAx>
      <c:valAx>
        <c:axId val="190926096"/>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0925704"/>
        <c:crosses val="autoZero"/>
        <c:crossBetween val="between"/>
      </c:valAx>
    </c:plotArea>
    <c:plotVisOnly val="1"/>
    <c:dispBlanksAs val="gap"/>
    <c:showDLblsOverMax val="0"/>
  </c:chart>
  <c:spPr>
    <a:noFill/>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en-US" sz="1100">
                <a:solidFill>
                  <a:sysClr val="windowText" lastClr="000000"/>
                </a:solidFill>
              </a:rPr>
              <a:t>Category 1 and 2 incidents from illegal waste management</a:t>
            </a:r>
          </a:p>
        </c:rich>
      </c:tx>
      <c:layout>
        <c:manualLayout>
          <c:xMode val="edge"/>
          <c:yMode val="edge"/>
          <c:x val="0.13352750094430077"/>
          <c:y val="0"/>
        </c:manualLayout>
      </c:layout>
      <c:overlay val="0"/>
    </c:title>
    <c:autoTitleDeleted val="0"/>
    <c:plotArea>
      <c:layout>
        <c:manualLayout>
          <c:layoutTarget val="inner"/>
          <c:xMode val="edge"/>
          <c:yMode val="edge"/>
          <c:x val="9.2915477816195483E-2"/>
          <c:y val="7.2844021664921932E-2"/>
          <c:w val="0.87461219746055763"/>
          <c:h val="0.59517643211278004"/>
        </c:manualLayout>
      </c:layout>
      <c:lineChart>
        <c:grouping val="standard"/>
        <c:varyColors val="0"/>
        <c:ser>
          <c:idx val="0"/>
          <c:order val="0"/>
          <c:tx>
            <c:strRef>
              <c:f>'1 EA 2 Data Sheet'!$M$25</c:f>
              <c:strCache>
                <c:ptCount val="1"/>
                <c:pt idx="0">
                  <c:v>Actual</c:v>
                </c:pt>
              </c:strCache>
            </c:strRef>
          </c:tx>
          <c:spPr>
            <a:ln>
              <a:solidFill>
                <a:srgbClr val="002B54"/>
              </a:solidFill>
            </a:ln>
          </c:spPr>
          <c:marker>
            <c:spPr>
              <a:solidFill>
                <a:srgbClr val="002B54"/>
              </a:solidFill>
              <a:ln>
                <a:solidFill>
                  <a:srgbClr val="002B54"/>
                </a:solidFill>
              </a:ln>
            </c:spPr>
          </c:marker>
          <c:cat>
            <c:strRef>
              <c:extLst>
                <c:ext xmlns:c15="http://schemas.microsoft.com/office/drawing/2012/chart" uri="{02D57815-91ED-43cb-92C2-25804820EDAC}">
                  <c15:fullRef>
                    <c15:sqref>('1 EA 2 Data Sheet'!$N$24:$AF$24,'1 EA 2 Data Sheet'!$AG$24)</c15:sqref>
                  </c15:fullRef>
                </c:ext>
              </c:extLst>
              <c:f>('1 EA 2 Data Sheet'!$N$24:$R$24,'1 EA 2 Data Sheet'!$V$24:$AF$24,'1 EA 2 Data Sheet'!$AG$24)</c:f>
              <c:strCache>
                <c:ptCount val="12"/>
                <c:pt idx="0">
                  <c:v>2015 Jan-Mar</c:v>
                </c:pt>
                <c:pt idx="1">
                  <c:v>2015 Apr-Jun</c:v>
                </c:pt>
                <c:pt idx="2">
                  <c:v>2015 Jul-Sep</c:v>
                </c:pt>
                <c:pt idx="3">
                  <c:v>2015 Oct-Dec</c:v>
                </c:pt>
                <c:pt idx="4">
                  <c:v>2016 Jan-Mar</c:v>
                </c:pt>
                <c:pt idx="5">
                  <c:v>2016 Apr-Jun</c:v>
                </c:pt>
                <c:pt idx="6">
                  <c:v>2016 Jul-Sep</c:v>
                </c:pt>
                <c:pt idx="7">
                  <c:v>2016 Oct-Dec</c:v>
                </c:pt>
                <c:pt idx="8">
                  <c:v>2017 Jan-Mar</c:v>
                </c:pt>
                <c:pt idx="9">
                  <c:v>2017 Apr-Jun</c:v>
                </c:pt>
                <c:pt idx="10">
                  <c:v>2017 Jul-Sep</c:v>
                </c:pt>
                <c:pt idx="11">
                  <c:v>2017 Oct-Dec</c:v>
                </c:pt>
              </c:strCache>
            </c:strRef>
          </c:cat>
          <c:val>
            <c:numRef>
              <c:extLst>
                <c:ext xmlns:c15="http://schemas.microsoft.com/office/drawing/2012/chart" uri="{02D57815-91ED-43cb-92C2-25804820EDAC}">
                  <c15:fullRef>
                    <c15:sqref>('1 EA 2 Data Sheet'!$N$25:$AF$25,'1 EA 2 Data Sheet'!$AG$25)</c15:sqref>
                  </c15:fullRef>
                </c:ext>
              </c:extLst>
              <c:f>('1 EA 2 Data Sheet'!$N$25:$R$25,'1 EA 2 Data Sheet'!$V$25:$AF$25,'1 EA 2 Data Sheet'!$AG$25)</c:f>
              <c:numCache>
                <c:formatCode>General</c:formatCode>
                <c:ptCount val="12"/>
                <c:pt idx="0">
                  <c:v>13</c:v>
                </c:pt>
                <c:pt idx="1">
                  <c:v>21</c:v>
                </c:pt>
                <c:pt idx="2">
                  <c:v>13</c:v>
                </c:pt>
                <c:pt idx="3">
                  <c:v>14</c:v>
                </c:pt>
                <c:pt idx="4">
                  <c:v>17</c:v>
                </c:pt>
                <c:pt idx="5">
                  <c:v>26</c:v>
                </c:pt>
                <c:pt idx="6">
                  <c:v>30</c:v>
                </c:pt>
                <c:pt idx="7">
                  <c:v>22</c:v>
                </c:pt>
                <c:pt idx="8">
                  <c:v>22</c:v>
                </c:pt>
                <c:pt idx="9">
                  <c:v>10</c:v>
                </c:pt>
                <c:pt idx="10">
                  <c:v>8</c:v>
                </c:pt>
                <c:pt idx="11">
                  <c:v>8</c:v>
                </c:pt>
              </c:numCache>
            </c:numRef>
          </c:val>
          <c:smooth val="0"/>
        </c:ser>
        <c:dLbls>
          <c:showLegendKey val="0"/>
          <c:showVal val="0"/>
          <c:showCatName val="0"/>
          <c:showSerName val="0"/>
          <c:showPercent val="0"/>
          <c:showBubbleSize val="0"/>
        </c:dLbls>
        <c:marker val="1"/>
        <c:smooth val="0"/>
        <c:axId val="190926880"/>
        <c:axId val="190927272"/>
      </c:lineChart>
      <c:catAx>
        <c:axId val="190926880"/>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0927272"/>
        <c:crosses val="autoZero"/>
        <c:auto val="1"/>
        <c:lblAlgn val="ctr"/>
        <c:lblOffset val="100"/>
        <c:noMultiLvlLbl val="0"/>
      </c:catAx>
      <c:valAx>
        <c:axId val="190927272"/>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0926880"/>
        <c:crosses val="autoZero"/>
        <c:crossBetween val="between"/>
      </c:valAx>
    </c:plotArea>
    <c:plotVisOnly val="1"/>
    <c:dispBlanksAs val="gap"/>
    <c:showDLblsOverMax val="0"/>
  </c:chart>
  <c:spPr>
    <a:noFill/>
    <a:ln>
      <a:noFill/>
    </a:ln>
  </c:spPr>
  <c:printSettings>
    <c:headerFooter/>
    <c:pageMargins b="0.75000000000000655" l="0.70000000000000062" r="0.70000000000000062" t="1.3150000000000062" header="0.30000000000000032" footer="0.30000000000000032"/>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solidFill>
                  <a:sysClr val="windowText" lastClr="000000"/>
                </a:solidFill>
              </a:rPr>
              <a:t>Category 1 and 2 incidents from the water company sector</a:t>
            </a:r>
          </a:p>
        </c:rich>
      </c:tx>
      <c:layout>
        <c:manualLayout>
          <c:xMode val="edge"/>
          <c:yMode val="edge"/>
          <c:x val="0.13352750094430077"/>
          <c:y val="0"/>
        </c:manualLayout>
      </c:layout>
      <c:overlay val="0"/>
    </c:title>
    <c:autoTitleDeleted val="0"/>
    <c:plotArea>
      <c:layout>
        <c:manualLayout>
          <c:layoutTarget val="inner"/>
          <c:xMode val="edge"/>
          <c:yMode val="edge"/>
          <c:x val="9.2915477816195483E-2"/>
          <c:y val="7.2844021664921932E-2"/>
          <c:w val="0.87461219746055763"/>
          <c:h val="0.71423655804727249"/>
        </c:manualLayout>
      </c:layout>
      <c:lineChart>
        <c:grouping val="standard"/>
        <c:varyColors val="0"/>
        <c:ser>
          <c:idx val="0"/>
          <c:order val="0"/>
          <c:tx>
            <c:strRef>
              <c:f>'1 EA 2 Data Sheet'!$M$72</c:f>
              <c:strCache>
                <c:ptCount val="1"/>
                <c:pt idx="0">
                  <c:v>Actual</c:v>
                </c:pt>
              </c:strCache>
            </c:strRef>
          </c:tx>
          <c:spPr>
            <a:ln>
              <a:solidFill>
                <a:srgbClr val="002B54"/>
              </a:solidFill>
            </a:ln>
          </c:spPr>
          <c:marker>
            <c:spPr>
              <a:solidFill>
                <a:srgbClr val="002B54"/>
              </a:solidFill>
              <a:ln>
                <a:solidFill>
                  <a:srgbClr val="002B54"/>
                </a:solidFill>
              </a:ln>
            </c:spPr>
          </c:marker>
          <c:cat>
            <c:strRef>
              <c:extLst>
                <c:ext xmlns:c15="http://schemas.microsoft.com/office/drawing/2012/chart" uri="{02D57815-91ED-43cb-92C2-25804820EDAC}">
                  <c15:fullRef>
                    <c15:sqref>('1 EA 2 Data Sheet'!$N$71:$AE$71,'1 EA 2 Data Sheet'!$AF$71:$AG$71)</c15:sqref>
                  </c15:fullRef>
                </c:ext>
              </c:extLst>
              <c:f>('1 EA 2 Data Sheet'!$N$71:$R$71,'1 EA 2 Data Sheet'!$V$71:$AE$71,'1 EA 2 Data Sheet'!$AF$71:$AG$71)</c:f>
              <c:strCache>
                <c:ptCount val="12"/>
                <c:pt idx="0">
                  <c:v>2015 Jan-Mar</c:v>
                </c:pt>
                <c:pt idx="1">
                  <c:v>2015 Apr-Jun</c:v>
                </c:pt>
                <c:pt idx="2">
                  <c:v>2015 Jul-Sep</c:v>
                </c:pt>
                <c:pt idx="3">
                  <c:v>2015 Oct-Dec</c:v>
                </c:pt>
                <c:pt idx="4">
                  <c:v>2016 Jan-Mar</c:v>
                </c:pt>
                <c:pt idx="5">
                  <c:v>2016 Apr-Jun</c:v>
                </c:pt>
                <c:pt idx="6">
                  <c:v>2016 Jul-Sep</c:v>
                </c:pt>
                <c:pt idx="7">
                  <c:v>2016 Oct-Dec</c:v>
                </c:pt>
                <c:pt idx="8">
                  <c:v>2017 Jan-Mar</c:v>
                </c:pt>
                <c:pt idx="9">
                  <c:v>2017 Apr-Jun</c:v>
                </c:pt>
                <c:pt idx="10">
                  <c:v>2017 Jul-Sep</c:v>
                </c:pt>
                <c:pt idx="11">
                  <c:v>2017 Oct-Dec</c:v>
                </c:pt>
              </c:strCache>
            </c:strRef>
          </c:cat>
          <c:val>
            <c:numRef>
              <c:extLst>
                <c:ext xmlns:c15="http://schemas.microsoft.com/office/drawing/2012/chart" uri="{02D57815-91ED-43cb-92C2-25804820EDAC}">
                  <c15:fullRef>
                    <c15:sqref>('1 EA 2 Data Sheet'!$N$72:$AE$72,'1 EA 2 Data Sheet'!$AF$72:$AG$72)</c15:sqref>
                  </c15:fullRef>
                </c:ext>
              </c:extLst>
              <c:f>('1 EA 2 Data Sheet'!$N$72:$R$72,'1 EA 2 Data Sheet'!$V$72:$AE$72,'1 EA 2 Data Sheet'!$AF$72:$AG$72)</c:f>
              <c:numCache>
                <c:formatCode>General</c:formatCode>
                <c:ptCount val="12"/>
                <c:pt idx="0">
                  <c:v>11</c:v>
                </c:pt>
                <c:pt idx="1">
                  <c:v>20</c:v>
                </c:pt>
                <c:pt idx="2">
                  <c:v>26</c:v>
                </c:pt>
                <c:pt idx="3">
                  <c:v>11</c:v>
                </c:pt>
                <c:pt idx="4">
                  <c:v>9</c:v>
                </c:pt>
                <c:pt idx="5">
                  <c:v>13</c:v>
                </c:pt>
                <c:pt idx="6">
                  <c:v>30</c:v>
                </c:pt>
                <c:pt idx="7">
                  <c:v>14</c:v>
                </c:pt>
                <c:pt idx="8">
                  <c:v>5</c:v>
                </c:pt>
                <c:pt idx="9">
                  <c:v>21</c:v>
                </c:pt>
                <c:pt idx="10">
                  <c:v>19</c:v>
                </c:pt>
                <c:pt idx="11">
                  <c:v>19</c:v>
                </c:pt>
              </c:numCache>
            </c:numRef>
          </c:val>
          <c:smooth val="0"/>
        </c:ser>
        <c:dLbls>
          <c:showLegendKey val="0"/>
          <c:showVal val="0"/>
          <c:showCatName val="0"/>
          <c:showSerName val="0"/>
          <c:showPercent val="0"/>
          <c:showBubbleSize val="0"/>
        </c:dLbls>
        <c:marker val="1"/>
        <c:smooth val="0"/>
        <c:axId val="190928056"/>
        <c:axId val="190928448"/>
      </c:lineChart>
      <c:catAx>
        <c:axId val="190928056"/>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a:lstStyle/>
          <a:p>
            <a:pPr>
              <a:defRPr sz="800" baseline="0">
                <a:solidFill>
                  <a:sysClr val="windowText" lastClr="000000"/>
                </a:solidFill>
              </a:defRPr>
            </a:pPr>
            <a:endParaRPr lang="en-US"/>
          </a:p>
        </c:txPr>
        <c:crossAx val="190928448"/>
        <c:crosses val="autoZero"/>
        <c:auto val="1"/>
        <c:lblAlgn val="ctr"/>
        <c:lblOffset val="100"/>
        <c:noMultiLvlLbl val="0"/>
      </c:catAx>
      <c:valAx>
        <c:axId val="190928448"/>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0928056"/>
        <c:crosses val="autoZero"/>
        <c:crossBetween val="between"/>
      </c:valAx>
    </c:plotArea>
    <c:plotVisOnly val="1"/>
    <c:dispBlanksAs val="gap"/>
    <c:showDLblsOverMax val="0"/>
  </c:chart>
  <c:spPr>
    <a:noFill/>
    <a:ln>
      <a:noFill/>
    </a:ln>
  </c:spPr>
  <c:txPr>
    <a:bodyPr/>
    <a:lstStyle/>
    <a:p>
      <a:pPr>
        <a:defRPr>
          <a:solidFill>
            <a:schemeClr val="accent3">
              <a:lumMod val="50000"/>
            </a:schemeClr>
          </a:solidFill>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n-US" sz="1100">
                <a:solidFill>
                  <a:sysClr val="windowText" lastClr="000000"/>
                </a:solidFill>
              </a:rPr>
              <a:t>Category 1 and 2 incidents from illegal</a:t>
            </a:r>
            <a:r>
              <a:rPr lang="en-US" sz="1100" baseline="0">
                <a:solidFill>
                  <a:sysClr val="windowText" lastClr="000000"/>
                </a:solidFill>
              </a:rPr>
              <a:t> waste management by main contributor</a:t>
            </a:r>
            <a:endParaRPr lang="en-US" sz="1100">
              <a:solidFill>
                <a:sysClr val="windowText" lastClr="000000"/>
              </a:solidFill>
            </a:endParaRPr>
          </a:p>
        </c:rich>
      </c:tx>
      <c:layout>
        <c:manualLayout>
          <c:xMode val="edge"/>
          <c:yMode val="edge"/>
          <c:x val="0.1297360152255848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483878062728193"/>
          <c:y val="0.15547633093094634"/>
          <c:w val="0.87461219746055763"/>
          <c:h val="0.49922836016255151"/>
        </c:manualLayout>
      </c:layout>
      <c:barChart>
        <c:barDir val="col"/>
        <c:grouping val="clustered"/>
        <c:varyColors val="0"/>
        <c:ser>
          <c:idx val="0"/>
          <c:order val="0"/>
          <c:tx>
            <c:strRef>
              <c:f>'1 EA 2 Data Sheet'!$A$48</c:f>
              <c:strCache>
                <c:ptCount val="1"/>
                <c:pt idx="0">
                  <c:v>2013 Jan-Mar</c:v>
                </c:pt>
              </c:strCache>
            </c:strRef>
          </c:tx>
          <c:spPr>
            <a:solidFill>
              <a:schemeClr val="accent1"/>
            </a:solidFill>
            <a:ln>
              <a:noFill/>
            </a:ln>
            <a:effectLst/>
          </c:spPr>
          <c:invertIfNegative val="0"/>
          <c:cat>
            <c:strRef>
              <c:extLst>
                <c:ext xmlns:c15="http://schemas.microsoft.com/office/drawing/2012/chart" uri="{02D57815-91ED-43cb-92C2-25804820EDAC}">
                  <c15:fullRef>
                    <c15:sqref>'1 EA 2 Data Sheet'!$B$47:$G$47</c15:sqref>
                  </c15:fullRef>
                </c:ext>
              </c:extLst>
              <c:f>'1 EA 2 Data Sheet'!$D$47:$G$47</c:f>
              <c:strCache>
                <c:ptCount val="4"/>
                <c:pt idx="0">
                  <c:v>2016 Jul-Sep</c:v>
                </c:pt>
                <c:pt idx="1">
                  <c:v>2016 Oct-Dec</c:v>
                </c:pt>
                <c:pt idx="2">
                  <c:v>2017 Jan-Mar</c:v>
                </c:pt>
                <c:pt idx="3">
                  <c:v>2017 Apr-Jun</c:v>
                </c:pt>
                <c:pt idx="4">
                  <c:v>2017 Jul-Sep</c:v>
                </c:pt>
                <c:pt idx="5">
                  <c:v>2017 Oct-Dec</c:v>
                </c:pt>
              </c:strCache>
            </c:strRef>
          </c:cat>
          <c:val>
            <c:numRef>
              <c:extLst>
                <c:ext xmlns:c15="http://schemas.microsoft.com/office/drawing/2012/chart" uri="{02D57815-91ED-43cb-92C2-25804820EDAC}">
                  <c15:fullRef>
                    <c15:sqref>'1 EA 2 Data Sheet'!$B$48:$G$48</c15:sqref>
                  </c15:fullRef>
                </c:ext>
              </c:extLst>
              <c:f>'1 EA 2 Data Sheet'!$D$48:$G$48</c:f>
            </c:numRef>
          </c:val>
        </c:ser>
        <c:ser>
          <c:idx val="1"/>
          <c:order val="1"/>
          <c:tx>
            <c:strRef>
              <c:f>'1 EA 2 Data Sheet'!$A$49</c:f>
              <c:strCache>
                <c:ptCount val="1"/>
                <c:pt idx="0">
                  <c:v>2013 Apr-Jun</c:v>
                </c:pt>
              </c:strCache>
            </c:strRef>
          </c:tx>
          <c:spPr>
            <a:solidFill>
              <a:schemeClr val="accent3"/>
            </a:solidFill>
            <a:ln>
              <a:noFill/>
            </a:ln>
            <a:effectLst/>
          </c:spPr>
          <c:invertIfNegative val="0"/>
          <c:cat>
            <c:strRef>
              <c:extLst>
                <c:ext xmlns:c15="http://schemas.microsoft.com/office/drawing/2012/chart" uri="{02D57815-91ED-43cb-92C2-25804820EDAC}">
                  <c15:fullRef>
                    <c15:sqref>'1 EA 2 Data Sheet'!$B$47:$G$47</c15:sqref>
                  </c15:fullRef>
                </c:ext>
              </c:extLst>
              <c:f>'1 EA 2 Data Sheet'!$D$47:$G$47</c:f>
              <c:strCache>
                <c:ptCount val="4"/>
                <c:pt idx="0">
                  <c:v>2016 Jul-Sep</c:v>
                </c:pt>
                <c:pt idx="1">
                  <c:v>2016 Oct-Dec</c:v>
                </c:pt>
                <c:pt idx="2">
                  <c:v>2017 Jan-Mar</c:v>
                </c:pt>
                <c:pt idx="3">
                  <c:v>2017 Apr-Jun</c:v>
                </c:pt>
                <c:pt idx="4">
                  <c:v>2017 Jul-Sep</c:v>
                </c:pt>
                <c:pt idx="5">
                  <c:v>2017 Oct-Dec</c:v>
                </c:pt>
              </c:strCache>
            </c:strRef>
          </c:cat>
          <c:val>
            <c:numRef>
              <c:extLst>
                <c:ext xmlns:c15="http://schemas.microsoft.com/office/drawing/2012/chart" uri="{02D57815-91ED-43cb-92C2-25804820EDAC}">
                  <c15:fullRef>
                    <c15:sqref>'1 EA 2 Data Sheet'!$B$49:$G$49</c15:sqref>
                  </c15:fullRef>
                </c:ext>
              </c:extLst>
              <c:f>'1 EA 2 Data Sheet'!$D$49:$G$49</c:f>
            </c:numRef>
          </c:val>
        </c:ser>
        <c:ser>
          <c:idx val="2"/>
          <c:order val="2"/>
          <c:tx>
            <c:strRef>
              <c:f>'1 EA 2 Data Sheet'!$A$50</c:f>
              <c:strCache>
                <c:ptCount val="1"/>
                <c:pt idx="0">
                  <c:v>2013 Jul-Sep</c:v>
                </c:pt>
              </c:strCache>
            </c:strRef>
          </c:tx>
          <c:spPr>
            <a:solidFill>
              <a:schemeClr val="accent5"/>
            </a:solidFill>
            <a:ln>
              <a:noFill/>
            </a:ln>
            <a:effectLst/>
          </c:spPr>
          <c:invertIfNegative val="0"/>
          <c:cat>
            <c:strRef>
              <c:extLst>
                <c:ext xmlns:c15="http://schemas.microsoft.com/office/drawing/2012/chart" uri="{02D57815-91ED-43cb-92C2-25804820EDAC}">
                  <c15:fullRef>
                    <c15:sqref>'1 EA 2 Data Sheet'!$B$47:$G$47</c15:sqref>
                  </c15:fullRef>
                </c:ext>
              </c:extLst>
              <c:f>'1 EA 2 Data Sheet'!$D$47:$G$47</c:f>
              <c:strCache>
                <c:ptCount val="4"/>
                <c:pt idx="0">
                  <c:v>2016 Jul-Sep</c:v>
                </c:pt>
                <c:pt idx="1">
                  <c:v>2016 Oct-Dec</c:v>
                </c:pt>
                <c:pt idx="2">
                  <c:v>2017 Jan-Mar</c:v>
                </c:pt>
                <c:pt idx="3">
                  <c:v>2017 Apr-Jun</c:v>
                </c:pt>
                <c:pt idx="4">
                  <c:v>2017 Jul-Sep</c:v>
                </c:pt>
                <c:pt idx="5">
                  <c:v>2017 Oct-Dec</c:v>
                </c:pt>
              </c:strCache>
            </c:strRef>
          </c:cat>
          <c:val>
            <c:numRef>
              <c:extLst>
                <c:ext xmlns:c15="http://schemas.microsoft.com/office/drawing/2012/chart" uri="{02D57815-91ED-43cb-92C2-25804820EDAC}">
                  <c15:fullRef>
                    <c15:sqref>'1 EA 2 Data Sheet'!$B$50:$G$50</c15:sqref>
                  </c15:fullRef>
                </c:ext>
              </c:extLst>
              <c:f>'1 EA 2 Data Sheet'!$D$50:$G$50</c:f>
            </c:numRef>
          </c:val>
        </c:ser>
        <c:ser>
          <c:idx val="3"/>
          <c:order val="3"/>
          <c:tx>
            <c:strRef>
              <c:f>'1 EA 2 Data Sheet'!$A$51</c:f>
              <c:strCache>
                <c:ptCount val="1"/>
                <c:pt idx="0">
                  <c:v>2013 Oct-Dec</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'1 EA 2 Data Sheet'!$B$47:$G$47</c15:sqref>
                  </c15:fullRef>
                </c:ext>
              </c:extLst>
              <c:f>'1 EA 2 Data Sheet'!$D$47:$G$47</c:f>
              <c:strCache>
                <c:ptCount val="4"/>
                <c:pt idx="0">
                  <c:v>2016 Jul-Sep</c:v>
                </c:pt>
                <c:pt idx="1">
                  <c:v>2016 Oct-Dec</c:v>
                </c:pt>
                <c:pt idx="2">
                  <c:v>2017 Jan-Mar</c:v>
                </c:pt>
                <c:pt idx="3">
                  <c:v>2017 Apr-Jun</c:v>
                </c:pt>
                <c:pt idx="4">
                  <c:v>2017 Jul-Sep</c:v>
                </c:pt>
                <c:pt idx="5">
                  <c:v>2017 Oct-Dec</c:v>
                </c:pt>
              </c:strCache>
            </c:strRef>
          </c:cat>
          <c:val>
            <c:numRef>
              <c:extLst>
                <c:ext xmlns:c15="http://schemas.microsoft.com/office/drawing/2012/chart" uri="{02D57815-91ED-43cb-92C2-25804820EDAC}">
                  <c15:fullRef>
                    <c15:sqref>'1 EA 2 Data Sheet'!$B$51:$G$51</c15:sqref>
                  </c15:fullRef>
                </c:ext>
              </c:extLst>
              <c:f>'1 EA 2 Data Sheet'!$D$51:$G$51</c:f>
            </c:numRef>
          </c:val>
        </c:ser>
        <c:ser>
          <c:idx val="4"/>
          <c:order val="4"/>
          <c:tx>
            <c:strRef>
              <c:f>'1 EA 2 Data Sheet'!$A$52</c:f>
              <c:strCache>
                <c:ptCount val="1"/>
                <c:pt idx="0">
                  <c:v>2014 Jan-Mar</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'1 EA 2 Data Sheet'!$B$47:$G$47</c15:sqref>
                  </c15:fullRef>
                </c:ext>
              </c:extLst>
              <c:f>'1 EA 2 Data Sheet'!$D$47:$G$47</c:f>
              <c:strCache>
                <c:ptCount val="4"/>
                <c:pt idx="0">
                  <c:v>2016 Jul-Sep</c:v>
                </c:pt>
                <c:pt idx="1">
                  <c:v>2016 Oct-Dec</c:v>
                </c:pt>
                <c:pt idx="2">
                  <c:v>2017 Jan-Mar</c:v>
                </c:pt>
                <c:pt idx="3">
                  <c:v>2017 Apr-Jun</c:v>
                </c:pt>
                <c:pt idx="4">
                  <c:v>2017 Jul-Sep</c:v>
                </c:pt>
                <c:pt idx="5">
                  <c:v>2017 Oct-Dec</c:v>
                </c:pt>
              </c:strCache>
            </c:strRef>
          </c:cat>
          <c:val>
            <c:numRef>
              <c:extLst>
                <c:ext xmlns:c15="http://schemas.microsoft.com/office/drawing/2012/chart" uri="{02D57815-91ED-43cb-92C2-25804820EDAC}">
                  <c15:fullRef>
                    <c15:sqref>'1 EA 2 Data Sheet'!$B$52:$G$52</c15:sqref>
                  </c15:fullRef>
                </c:ext>
              </c:extLst>
              <c:f>'1 EA 2 Data Sheet'!$D$52:$G$52</c:f>
            </c:numRef>
          </c:val>
        </c:ser>
        <c:ser>
          <c:idx val="5"/>
          <c:order val="5"/>
          <c:tx>
            <c:strRef>
              <c:f>'1 EA 2 Data Sheet'!$A$53</c:f>
              <c:strCache>
                <c:ptCount val="1"/>
                <c:pt idx="0">
                  <c:v>2014 Apr-Jun</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'1 EA 2 Data Sheet'!$B$47:$G$47</c15:sqref>
                  </c15:fullRef>
                </c:ext>
              </c:extLst>
              <c:f>'1 EA 2 Data Sheet'!$D$47:$G$47</c:f>
              <c:strCache>
                <c:ptCount val="4"/>
                <c:pt idx="0">
                  <c:v>2016 Jul-Sep</c:v>
                </c:pt>
                <c:pt idx="1">
                  <c:v>2016 Oct-Dec</c:v>
                </c:pt>
                <c:pt idx="2">
                  <c:v>2017 Jan-Mar</c:v>
                </c:pt>
                <c:pt idx="3">
                  <c:v>2017 Apr-Jun</c:v>
                </c:pt>
                <c:pt idx="4">
                  <c:v>2017 Jul-Sep</c:v>
                </c:pt>
                <c:pt idx="5">
                  <c:v>2017 Oct-Dec</c:v>
                </c:pt>
              </c:strCache>
            </c:strRef>
          </c:cat>
          <c:val>
            <c:numRef>
              <c:extLst>
                <c:ext xmlns:c15="http://schemas.microsoft.com/office/drawing/2012/chart" uri="{02D57815-91ED-43cb-92C2-25804820EDAC}">
                  <c15:fullRef>
                    <c15:sqref>'1 EA 2 Data Sheet'!$B$53:$G$53</c15:sqref>
                  </c15:fullRef>
                </c:ext>
              </c:extLst>
              <c:f>'1 EA 2 Data Sheet'!$D$53:$G$53</c:f>
            </c:numRef>
          </c:val>
        </c:ser>
        <c:ser>
          <c:idx val="6"/>
          <c:order val="6"/>
          <c:tx>
            <c:strRef>
              <c:f>'1 EA 2 Data Sheet'!$A$54</c:f>
              <c:strCache>
                <c:ptCount val="1"/>
                <c:pt idx="0">
                  <c:v>2014 Jul-Sep</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'1 EA 2 Data Sheet'!$B$47:$G$47</c15:sqref>
                  </c15:fullRef>
                </c:ext>
              </c:extLst>
              <c:f>'1 EA 2 Data Sheet'!$D$47:$G$47</c:f>
              <c:strCache>
                <c:ptCount val="4"/>
                <c:pt idx="0">
                  <c:v>2016 Jul-Sep</c:v>
                </c:pt>
                <c:pt idx="1">
                  <c:v>2016 Oct-Dec</c:v>
                </c:pt>
                <c:pt idx="2">
                  <c:v>2017 Jan-Mar</c:v>
                </c:pt>
                <c:pt idx="3">
                  <c:v>2017 Apr-Jun</c:v>
                </c:pt>
                <c:pt idx="4">
                  <c:v>2017 Jul-Sep</c:v>
                </c:pt>
                <c:pt idx="5">
                  <c:v>2017 Oct-Dec</c:v>
                </c:pt>
              </c:strCache>
            </c:strRef>
          </c:cat>
          <c:val>
            <c:numRef>
              <c:extLst>
                <c:ext xmlns:c15="http://schemas.microsoft.com/office/drawing/2012/chart" uri="{02D57815-91ED-43cb-92C2-25804820EDAC}">
                  <c15:fullRef>
                    <c15:sqref>'1 EA 2 Data Sheet'!$B$54:$G$54</c15:sqref>
                  </c15:fullRef>
                </c:ext>
              </c:extLst>
              <c:f>'1 EA 2 Data Sheet'!$D$54:$G$54</c:f>
            </c:numRef>
          </c:val>
        </c:ser>
        <c:ser>
          <c:idx val="7"/>
          <c:order val="7"/>
          <c:tx>
            <c:strRef>
              <c:f>'1 EA 2 Data Sheet'!$A$55</c:f>
              <c:strCache>
                <c:ptCount val="1"/>
                <c:pt idx="0">
                  <c:v>2014 Oct-Dec</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'1 EA 2 Data Sheet'!$B$47:$G$47</c15:sqref>
                  </c15:fullRef>
                </c:ext>
              </c:extLst>
              <c:f>'1 EA 2 Data Sheet'!$D$47:$G$47</c:f>
              <c:strCache>
                <c:ptCount val="4"/>
                <c:pt idx="0">
                  <c:v>2016 Jul-Sep</c:v>
                </c:pt>
                <c:pt idx="1">
                  <c:v>2016 Oct-Dec</c:v>
                </c:pt>
                <c:pt idx="2">
                  <c:v>2017 Jan-Mar</c:v>
                </c:pt>
                <c:pt idx="3">
                  <c:v>2017 Apr-Jun</c:v>
                </c:pt>
                <c:pt idx="4">
                  <c:v>2017 Jul-Sep</c:v>
                </c:pt>
                <c:pt idx="5">
                  <c:v>2017 Oct-Dec</c:v>
                </c:pt>
              </c:strCache>
            </c:strRef>
          </c:cat>
          <c:val>
            <c:numRef>
              <c:extLst>
                <c:ext xmlns:c15="http://schemas.microsoft.com/office/drawing/2012/chart" uri="{02D57815-91ED-43cb-92C2-25804820EDAC}">
                  <c15:fullRef>
                    <c15:sqref>'1 EA 2 Data Sheet'!$B$55:$G$55</c15:sqref>
                  </c15:fullRef>
                </c:ext>
              </c:extLst>
              <c:f>'1 EA 2 Data Sheet'!$D$55:$G$55</c:f>
            </c:numRef>
          </c:val>
        </c:ser>
        <c:ser>
          <c:idx val="8"/>
          <c:order val="8"/>
          <c:tx>
            <c:strRef>
              <c:f>'1 EA 2 Data Sheet'!$A$56</c:f>
              <c:strCache>
                <c:ptCount val="1"/>
                <c:pt idx="0">
                  <c:v>2015 Jan-Mar</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'1 EA 2 Data Sheet'!$B$47:$G$47</c15:sqref>
                  </c15:fullRef>
                </c:ext>
              </c:extLst>
              <c:f>'1 EA 2 Data Sheet'!$D$47:$G$47</c:f>
              <c:strCache>
                <c:ptCount val="4"/>
                <c:pt idx="0">
                  <c:v>2016 Jul-Sep</c:v>
                </c:pt>
                <c:pt idx="1">
                  <c:v>2016 Oct-Dec</c:v>
                </c:pt>
                <c:pt idx="2">
                  <c:v>2017 Jan-Mar</c:v>
                </c:pt>
                <c:pt idx="3">
                  <c:v>2017 Apr-Jun</c:v>
                </c:pt>
                <c:pt idx="4">
                  <c:v>2017 Jul-Sep</c:v>
                </c:pt>
                <c:pt idx="5">
                  <c:v>2017 Oct-Dec</c:v>
                </c:pt>
              </c:strCache>
            </c:strRef>
          </c:cat>
          <c:val>
            <c:numRef>
              <c:extLst>
                <c:ext xmlns:c15="http://schemas.microsoft.com/office/drawing/2012/chart" uri="{02D57815-91ED-43cb-92C2-25804820EDAC}">
                  <c15:fullRef>
                    <c15:sqref>'1 EA 2 Data Sheet'!$B$56:$G$56</c15:sqref>
                  </c15:fullRef>
                </c:ext>
              </c:extLst>
              <c:f>'1 EA 2 Data Sheet'!$D$56:$G$56</c:f>
            </c:numRef>
          </c:val>
        </c:ser>
        <c:ser>
          <c:idx val="9"/>
          <c:order val="9"/>
          <c:tx>
            <c:strRef>
              <c:f>'1 EA 2 Data Sheet'!$A$57</c:f>
              <c:strCache>
                <c:ptCount val="1"/>
                <c:pt idx="0">
                  <c:v>Fly-tipping</c:v>
                </c:pt>
              </c:strCache>
            </c:strRef>
          </c:tx>
          <c:spPr>
            <a:solidFill>
              <a:srgbClr val="00AF41"/>
            </a:solidFill>
            <a:ln>
              <a:noFill/>
            </a:ln>
            <a:effectLst/>
          </c:spPr>
          <c:invertIfNegative val="0"/>
          <c:cat>
            <c:strRef>
              <c:extLst>
                <c:ext xmlns:c15="http://schemas.microsoft.com/office/drawing/2012/chart" uri="{02D57815-91ED-43cb-92C2-25804820EDAC}">
                  <c15:fullRef>
                    <c15:sqref>'1 EA 2 Data Sheet'!$B$47:$G$47</c15:sqref>
                  </c15:fullRef>
                </c:ext>
              </c:extLst>
              <c:f>'1 EA 2 Data Sheet'!$D$47:$G$47</c:f>
              <c:strCache>
                <c:ptCount val="4"/>
                <c:pt idx="0">
                  <c:v>2017 Jan-Mar</c:v>
                </c:pt>
                <c:pt idx="1">
                  <c:v>2017 Apr-Jun</c:v>
                </c:pt>
                <c:pt idx="2">
                  <c:v>2017 Jul-Sep</c:v>
                </c:pt>
                <c:pt idx="3">
                  <c:v>2017 Oct-Dec</c:v>
                </c:pt>
              </c:strCache>
            </c:strRef>
          </c:cat>
          <c:val>
            <c:numRef>
              <c:extLst>
                <c:ext xmlns:c15="http://schemas.microsoft.com/office/drawing/2012/chart" uri="{02D57815-91ED-43cb-92C2-25804820EDAC}">
                  <c15:fullRef>
                    <c15:sqref>'1 EA 2 Data Sheet'!$B$57:$G$57</c15:sqref>
                  </c15:fullRef>
                </c:ext>
              </c:extLst>
              <c:f>'1 EA 2 Data Sheet'!$D$57:$G$57</c:f>
              <c:numCache>
                <c:formatCode>General</c:formatCode>
                <c:ptCount val="4"/>
                <c:pt idx="0">
                  <c:v>7</c:v>
                </c:pt>
                <c:pt idx="3">
                  <c:v>1</c:v>
                </c:pt>
              </c:numCache>
            </c:numRef>
          </c:val>
        </c:ser>
        <c:ser>
          <c:idx val="10"/>
          <c:order val="10"/>
          <c:tx>
            <c:strRef>
              <c:f>'1 EA 2 Data Sheet'!$A$58</c:f>
              <c:strCache>
                <c:ptCount val="1"/>
                <c:pt idx="0">
                  <c:v>Illegal waste site</c:v>
                </c:pt>
              </c:strCache>
            </c:strRef>
          </c:tx>
          <c:spPr>
            <a:solidFill>
              <a:srgbClr val="F78913"/>
            </a:solidFill>
            <a:ln>
              <a:noFill/>
            </a:ln>
            <a:effectLst/>
          </c:spPr>
          <c:invertIfNegative val="0"/>
          <c:cat>
            <c:strRef>
              <c:extLst>
                <c:ext xmlns:c15="http://schemas.microsoft.com/office/drawing/2012/chart" uri="{02D57815-91ED-43cb-92C2-25804820EDAC}">
                  <c15:fullRef>
                    <c15:sqref>'1 EA 2 Data Sheet'!$B$47:$G$47</c15:sqref>
                  </c15:fullRef>
                </c:ext>
              </c:extLst>
              <c:f>'1 EA 2 Data Sheet'!$D$47:$G$47</c:f>
              <c:strCache>
                <c:ptCount val="4"/>
                <c:pt idx="0">
                  <c:v>2017 Jan-Mar</c:v>
                </c:pt>
                <c:pt idx="1">
                  <c:v>2017 Apr-Jun</c:v>
                </c:pt>
                <c:pt idx="2">
                  <c:v>2017 Jul-Sep</c:v>
                </c:pt>
                <c:pt idx="3">
                  <c:v>2017 Oct-Dec</c:v>
                </c:pt>
              </c:strCache>
            </c:strRef>
          </c:cat>
          <c:val>
            <c:numRef>
              <c:extLst>
                <c:ext xmlns:c15="http://schemas.microsoft.com/office/drawing/2012/chart" uri="{02D57815-91ED-43cb-92C2-25804820EDAC}">
                  <c15:fullRef>
                    <c15:sqref>'1 EA 2 Data Sheet'!$B$58:$G$58</c15:sqref>
                  </c15:fullRef>
                </c:ext>
              </c:extLst>
              <c:f>'1 EA 2 Data Sheet'!$D$58:$G$58</c:f>
              <c:numCache>
                <c:formatCode>General</c:formatCode>
                <c:ptCount val="4"/>
                <c:pt idx="0">
                  <c:v>10</c:v>
                </c:pt>
                <c:pt idx="1">
                  <c:v>10</c:v>
                </c:pt>
                <c:pt idx="2">
                  <c:v>6</c:v>
                </c:pt>
                <c:pt idx="3">
                  <c:v>2</c:v>
                </c:pt>
              </c:numCache>
            </c:numRef>
          </c:val>
        </c:ser>
        <c:ser>
          <c:idx val="11"/>
          <c:order val="11"/>
          <c:tx>
            <c:strRef>
              <c:f>'1 EA 2 Data Sheet'!$A$59</c:f>
              <c:strCache>
                <c:ptCount val="1"/>
                <c:pt idx="0">
                  <c:v>Burning of waste</c:v>
                </c:pt>
              </c:strCache>
            </c:strRef>
          </c:tx>
          <c:spPr>
            <a:solidFill>
              <a:srgbClr val="034B89"/>
            </a:solidFill>
            <a:ln>
              <a:noFill/>
            </a:ln>
            <a:effectLst/>
          </c:spPr>
          <c:invertIfNegative val="0"/>
          <c:cat>
            <c:strRef>
              <c:extLst>
                <c:ext xmlns:c15="http://schemas.microsoft.com/office/drawing/2012/chart" uri="{02D57815-91ED-43cb-92C2-25804820EDAC}">
                  <c15:fullRef>
                    <c15:sqref>'1 EA 2 Data Sheet'!$B$47:$G$47</c15:sqref>
                  </c15:fullRef>
                </c:ext>
              </c:extLst>
              <c:f>'1 EA 2 Data Sheet'!$D$47:$G$47</c:f>
              <c:strCache>
                <c:ptCount val="4"/>
                <c:pt idx="0">
                  <c:v>2017 Jan-Mar</c:v>
                </c:pt>
                <c:pt idx="1">
                  <c:v>2017 Apr-Jun</c:v>
                </c:pt>
                <c:pt idx="2">
                  <c:v>2017 Jul-Sep</c:v>
                </c:pt>
                <c:pt idx="3">
                  <c:v>2017 Oct-Dec</c:v>
                </c:pt>
              </c:strCache>
            </c:strRef>
          </c:cat>
          <c:val>
            <c:numRef>
              <c:extLst>
                <c:ext xmlns:c15="http://schemas.microsoft.com/office/drawing/2012/chart" uri="{02D57815-91ED-43cb-92C2-25804820EDAC}">
                  <c15:fullRef>
                    <c15:sqref>'1 EA 2 Data Sheet'!$B$59:$G$59</c15:sqref>
                  </c15:fullRef>
                </c:ext>
              </c:extLst>
              <c:f>'1 EA 2 Data Sheet'!$D$59:$G$59</c:f>
              <c:numCache>
                <c:formatCode>General</c:formatCode>
                <c:ptCount val="4"/>
                <c:pt idx="0">
                  <c:v>3</c:v>
                </c:pt>
                <c:pt idx="2">
                  <c:v>2</c:v>
                </c:pt>
                <c:pt idx="3">
                  <c:v>3</c:v>
                </c:pt>
              </c:numCache>
            </c:numRef>
          </c:val>
        </c:ser>
        <c:ser>
          <c:idx val="12"/>
          <c:order val="12"/>
          <c:tx>
            <c:strRef>
              <c:f>'1 EA 2 Data Sheet'!$A$60</c:f>
              <c:strCache>
                <c:ptCount val="1"/>
                <c:pt idx="0">
                  <c:v>Unauthorised waste management activity</c:v>
                </c:pt>
              </c:strCache>
            </c:strRef>
          </c:tx>
          <c:spPr>
            <a:solidFill>
              <a:srgbClr val="820053"/>
            </a:solidFill>
            <a:ln>
              <a:noFill/>
            </a:ln>
            <a:effectLst/>
          </c:spPr>
          <c:invertIfNegative val="0"/>
          <c:cat>
            <c:strRef>
              <c:extLst>
                <c:ext xmlns:c15="http://schemas.microsoft.com/office/drawing/2012/chart" uri="{02D57815-91ED-43cb-92C2-25804820EDAC}">
                  <c15:fullRef>
                    <c15:sqref>'1 EA 2 Data Sheet'!$B$47:$G$47</c15:sqref>
                  </c15:fullRef>
                </c:ext>
              </c:extLst>
              <c:f>'1 EA 2 Data Sheet'!$D$47:$G$47</c:f>
              <c:strCache>
                <c:ptCount val="4"/>
                <c:pt idx="0">
                  <c:v>2017 Jan-Mar</c:v>
                </c:pt>
                <c:pt idx="1">
                  <c:v>2017 Apr-Jun</c:v>
                </c:pt>
                <c:pt idx="2">
                  <c:v>2017 Jul-Sep</c:v>
                </c:pt>
                <c:pt idx="3">
                  <c:v>2017 Oct-Dec</c:v>
                </c:pt>
              </c:strCache>
            </c:strRef>
          </c:cat>
          <c:val>
            <c:numRef>
              <c:extLst>
                <c:ext xmlns:c15="http://schemas.microsoft.com/office/drawing/2012/chart" uri="{02D57815-91ED-43cb-92C2-25804820EDAC}">
                  <c15:fullRef>
                    <c15:sqref>'1 EA 2 Data Sheet'!$B$60:$G$60</c15:sqref>
                  </c15:fullRef>
                </c:ext>
              </c:extLst>
              <c:f>'1 EA 2 Data Sheet'!$D$60:$G$60</c:f>
              <c:numCache>
                <c:formatCode>General</c:formatCode>
                <c:ptCount val="4"/>
                <c:pt idx="0">
                  <c:v>2</c:v>
                </c:pt>
                <c:pt idx="3">
                  <c:v>2</c:v>
                </c:pt>
              </c:numCache>
            </c:numRef>
          </c:val>
        </c:ser>
        <c:dLbls>
          <c:showLegendKey val="0"/>
          <c:showVal val="0"/>
          <c:showCatName val="0"/>
          <c:showSerName val="0"/>
          <c:showPercent val="0"/>
          <c:showBubbleSize val="0"/>
        </c:dLbls>
        <c:gapWidth val="50"/>
        <c:axId val="191130488"/>
        <c:axId val="191130880"/>
        <c:extLst/>
      </c:barChart>
      <c:catAx>
        <c:axId val="191130488"/>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91130880"/>
        <c:crosses val="autoZero"/>
        <c:auto val="1"/>
        <c:lblAlgn val="ctr"/>
        <c:lblOffset val="100"/>
        <c:noMultiLvlLbl val="0"/>
      </c:catAx>
      <c:valAx>
        <c:axId val="191130880"/>
        <c:scaling>
          <c:orientation val="minMax"/>
          <c:max val="20"/>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91130488"/>
        <c:crosses val="autoZero"/>
        <c:crossBetween val="between"/>
        <c:majorUnit val="5"/>
      </c:valAx>
      <c:spPr>
        <a:solidFill>
          <a:schemeClr val="bg1"/>
        </a:solidFill>
        <a:ln>
          <a:noFill/>
        </a:ln>
        <a:effectLst/>
      </c:spPr>
    </c:plotArea>
    <c:legend>
      <c:legendPos val="b"/>
      <c:layout>
        <c:manualLayout>
          <c:xMode val="edge"/>
          <c:yMode val="edge"/>
          <c:x val="1.2909726717182709E-2"/>
          <c:y val="0.75693242326432431"/>
          <c:w val="0.96866360724448253"/>
          <c:h val="0.2071302162148298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200" b="1" i="0" u="none" strike="noStrike" kern="1200" baseline="0">
                <a:solidFill>
                  <a:sysClr val="windowText" lastClr="000000"/>
                </a:solidFill>
                <a:latin typeface="+mn-lt"/>
                <a:ea typeface="+mn-ea"/>
                <a:cs typeface="+mn-cs"/>
              </a:defRPr>
            </a:pPr>
            <a:r>
              <a:rPr lang="en-US" b="1">
                <a:solidFill>
                  <a:sysClr val="windowText" lastClr="000000"/>
                </a:solidFill>
              </a:rPr>
              <a:t>Category 1 and</a:t>
            </a:r>
            <a:r>
              <a:rPr lang="en-US" b="1" baseline="0">
                <a:solidFill>
                  <a:sysClr val="windowText" lastClr="000000"/>
                </a:solidFill>
              </a:rPr>
              <a:t> </a:t>
            </a:r>
            <a:r>
              <a:rPr lang="en-US" b="1">
                <a:solidFill>
                  <a:sysClr val="windowText" lastClr="000000"/>
                </a:solidFill>
              </a:rPr>
              <a:t>2 incidents from the main contributors to the water company sector </a:t>
            </a:r>
          </a:p>
        </c:rich>
      </c:tx>
      <c:layout>
        <c:manualLayout>
          <c:xMode val="edge"/>
          <c:yMode val="edge"/>
          <c:x val="0.12973601522558495"/>
          <c:y val="0"/>
        </c:manualLayout>
      </c:layout>
      <c:overlay val="0"/>
      <c:spPr>
        <a:noFill/>
        <a:ln>
          <a:noFill/>
        </a:ln>
        <a:effectLst/>
      </c:spPr>
      <c:txPr>
        <a:bodyPr rot="0" spcFirstLastPara="1" vertOverflow="ellipsis" vert="horz" wrap="square" anchor="ctr" anchorCtr="1"/>
        <a:lstStyle/>
        <a:p>
          <a:pPr>
            <a:defRPr lang="en-GB" sz="12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2915477816195483E-2"/>
          <c:y val="0.15547646321409361"/>
          <c:w val="0.87461219746055763"/>
          <c:h val="0.58453463981255882"/>
        </c:manualLayout>
      </c:layout>
      <c:barChart>
        <c:barDir val="col"/>
        <c:grouping val="clustered"/>
        <c:varyColors val="0"/>
        <c:ser>
          <c:idx val="0"/>
          <c:order val="0"/>
          <c:tx>
            <c:strRef>
              <c:f>'1 EA 2 Data Sheet'!$A$95</c:f>
              <c:strCache>
                <c:ptCount val="1"/>
                <c:pt idx="0">
                  <c:v>2013 Jan-Mar</c:v>
                </c:pt>
              </c:strCache>
            </c:strRef>
          </c:tx>
          <c:spPr>
            <a:solidFill>
              <a:schemeClr val="accent1"/>
            </a:solidFill>
            <a:ln>
              <a:noFill/>
            </a:ln>
            <a:effectLst/>
          </c:spPr>
          <c:invertIfNegative val="0"/>
          <c:cat>
            <c:strRef>
              <c:f>'1 EA 2 Data Sheet'!$D$94:$G$94</c:f>
              <c:strCache>
                <c:ptCount val="4"/>
                <c:pt idx="0">
                  <c:v>2017 Jan-Mar</c:v>
                </c:pt>
                <c:pt idx="1">
                  <c:v>2017 Apr-Jun</c:v>
                </c:pt>
                <c:pt idx="2">
                  <c:v>2017 Jul-Sep</c:v>
                </c:pt>
                <c:pt idx="3">
                  <c:v>2017 Oct-Dec</c:v>
                </c:pt>
              </c:strCache>
            </c:strRef>
          </c:cat>
          <c:val>
            <c:numRef>
              <c:f>'1 EA 2 Data Sheet'!$D$95:$G$95</c:f>
            </c:numRef>
          </c:val>
        </c:ser>
        <c:ser>
          <c:idx val="1"/>
          <c:order val="1"/>
          <c:tx>
            <c:strRef>
              <c:f>'1 EA 2 Data Sheet'!$A$96</c:f>
              <c:strCache>
                <c:ptCount val="1"/>
                <c:pt idx="0">
                  <c:v>2013 Apr-Jun</c:v>
                </c:pt>
              </c:strCache>
            </c:strRef>
          </c:tx>
          <c:spPr>
            <a:solidFill>
              <a:schemeClr val="accent3"/>
            </a:solidFill>
            <a:ln>
              <a:noFill/>
            </a:ln>
            <a:effectLst/>
          </c:spPr>
          <c:invertIfNegative val="0"/>
          <c:cat>
            <c:strRef>
              <c:f>'1 EA 2 Data Sheet'!$D$94:$G$94</c:f>
              <c:strCache>
                <c:ptCount val="4"/>
                <c:pt idx="0">
                  <c:v>2017 Jan-Mar</c:v>
                </c:pt>
                <c:pt idx="1">
                  <c:v>2017 Apr-Jun</c:v>
                </c:pt>
                <c:pt idx="2">
                  <c:v>2017 Jul-Sep</c:v>
                </c:pt>
                <c:pt idx="3">
                  <c:v>2017 Oct-Dec</c:v>
                </c:pt>
              </c:strCache>
            </c:strRef>
          </c:cat>
          <c:val>
            <c:numRef>
              <c:f>'1 EA 2 Data Sheet'!$D$96:$G$96</c:f>
            </c:numRef>
          </c:val>
        </c:ser>
        <c:ser>
          <c:idx val="2"/>
          <c:order val="2"/>
          <c:tx>
            <c:strRef>
              <c:f>'1 EA 2 Data Sheet'!$A$97</c:f>
              <c:strCache>
                <c:ptCount val="1"/>
                <c:pt idx="0">
                  <c:v>2013 Jul-Sep</c:v>
                </c:pt>
              </c:strCache>
            </c:strRef>
          </c:tx>
          <c:spPr>
            <a:solidFill>
              <a:schemeClr val="accent5"/>
            </a:solidFill>
            <a:ln>
              <a:noFill/>
            </a:ln>
            <a:effectLst/>
          </c:spPr>
          <c:invertIfNegative val="0"/>
          <c:cat>
            <c:strRef>
              <c:f>'1 EA 2 Data Sheet'!$D$94:$G$94</c:f>
              <c:strCache>
                <c:ptCount val="4"/>
                <c:pt idx="0">
                  <c:v>2017 Jan-Mar</c:v>
                </c:pt>
                <c:pt idx="1">
                  <c:v>2017 Apr-Jun</c:v>
                </c:pt>
                <c:pt idx="2">
                  <c:v>2017 Jul-Sep</c:v>
                </c:pt>
                <c:pt idx="3">
                  <c:v>2017 Oct-Dec</c:v>
                </c:pt>
              </c:strCache>
            </c:strRef>
          </c:cat>
          <c:val>
            <c:numRef>
              <c:f>'1 EA 2 Data Sheet'!$D$97:$G$97</c:f>
            </c:numRef>
          </c:val>
        </c:ser>
        <c:ser>
          <c:idx val="3"/>
          <c:order val="3"/>
          <c:tx>
            <c:strRef>
              <c:f>'1 EA 2 Data Sheet'!$A$98</c:f>
              <c:strCache>
                <c:ptCount val="1"/>
                <c:pt idx="0">
                  <c:v>2013 Oct-Dec</c:v>
                </c:pt>
              </c:strCache>
            </c:strRef>
          </c:tx>
          <c:spPr>
            <a:solidFill>
              <a:schemeClr val="accent1">
                <a:lumMod val="60000"/>
              </a:schemeClr>
            </a:solidFill>
            <a:ln>
              <a:noFill/>
            </a:ln>
            <a:effectLst/>
          </c:spPr>
          <c:invertIfNegative val="0"/>
          <c:cat>
            <c:strRef>
              <c:f>'1 EA 2 Data Sheet'!$D$94:$G$94</c:f>
              <c:strCache>
                <c:ptCount val="4"/>
                <c:pt idx="0">
                  <c:v>2017 Jan-Mar</c:v>
                </c:pt>
                <c:pt idx="1">
                  <c:v>2017 Apr-Jun</c:v>
                </c:pt>
                <c:pt idx="2">
                  <c:v>2017 Jul-Sep</c:v>
                </c:pt>
                <c:pt idx="3">
                  <c:v>2017 Oct-Dec</c:v>
                </c:pt>
              </c:strCache>
            </c:strRef>
          </c:cat>
          <c:val>
            <c:numRef>
              <c:f>'1 EA 2 Data Sheet'!$D$98:$G$98</c:f>
            </c:numRef>
          </c:val>
        </c:ser>
        <c:ser>
          <c:idx val="4"/>
          <c:order val="4"/>
          <c:tx>
            <c:strRef>
              <c:f>'1 EA 2 Data Sheet'!$A$99</c:f>
              <c:strCache>
                <c:ptCount val="1"/>
                <c:pt idx="0">
                  <c:v>2014 Jan-Mar</c:v>
                </c:pt>
              </c:strCache>
            </c:strRef>
          </c:tx>
          <c:spPr>
            <a:solidFill>
              <a:schemeClr val="accent3">
                <a:lumMod val="60000"/>
              </a:schemeClr>
            </a:solidFill>
            <a:ln>
              <a:noFill/>
            </a:ln>
            <a:effectLst/>
          </c:spPr>
          <c:invertIfNegative val="0"/>
          <c:cat>
            <c:strRef>
              <c:f>'1 EA 2 Data Sheet'!$D$94:$G$94</c:f>
              <c:strCache>
                <c:ptCount val="4"/>
                <c:pt idx="0">
                  <c:v>2017 Jan-Mar</c:v>
                </c:pt>
                <c:pt idx="1">
                  <c:v>2017 Apr-Jun</c:v>
                </c:pt>
                <c:pt idx="2">
                  <c:v>2017 Jul-Sep</c:v>
                </c:pt>
                <c:pt idx="3">
                  <c:v>2017 Oct-Dec</c:v>
                </c:pt>
              </c:strCache>
            </c:strRef>
          </c:cat>
          <c:val>
            <c:numRef>
              <c:f>'1 EA 2 Data Sheet'!$D$99:$G$99</c:f>
            </c:numRef>
          </c:val>
        </c:ser>
        <c:ser>
          <c:idx val="5"/>
          <c:order val="5"/>
          <c:tx>
            <c:strRef>
              <c:f>'1 EA 2 Data Sheet'!$A$100</c:f>
              <c:strCache>
                <c:ptCount val="1"/>
                <c:pt idx="0">
                  <c:v>2014 Apr-Jun</c:v>
                </c:pt>
              </c:strCache>
            </c:strRef>
          </c:tx>
          <c:spPr>
            <a:solidFill>
              <a:schemeClr val="accent5">
                <a:lumMod val="60000"/>
              </a:schemeClr>
            </a:solidFill>
            <a:ln>
              <a:noFill/>
            </a:ln>
            <a:effectLst/>
          </c:spPr>
          <c:invertIfNegative val="0"/>
          <c:cat>
            <c:strRef>
              <c:f>'1 EA 2 Data Sheet'!$D$94:$G$94</c:f>
              <c:strCache>
                <c:ptCount val="4"/>
                <c:pt idx="0">
                  <c:v>2017 Jan-Mar</c:v>
                </c:pt>
                <c:pt idx="1">
                  <c:v>2017 Apr-Jun</c:v>
                </c:pt>
                <c:pt idx="2">
                  <c:v>2017 Jul-Sep</c:v>
                </c:pt>
                <c:pt idx="3">
                  <c:v>2017 Oct-Dec</c:v>
                </c:pt>
              </c:strCache>
            </c:strRef>
          </c:cat>
          <c:val>
            <c:numRef>
              <c:f>'1 EA 2 Data Sheet'!$D$100:$G$100</c:f>
            </c:numRef>
          </c:val>
        </c:ser>
        <c:ser>
          <c:idx val="6"/>
          <c:order val="6"/>
          <c:tx>
            <c:strRef>
              <c:f>'1 EA 2 Data Sheet'!$A$101</c:f>
              <c:strCache>
                <c:ptCount val="1"/>
                <c:pt idx="0">
                  <c:v>2014 Jul-Sep</c:v>
                </c:pt>
              </c:strCache>
            </c:strRef>
          </c:tx>
          <c:spPr>
            <a:solidFill>
              <a:schemeClr val="accent1">
                <a:lumMod val="80000"/>
                <a:lumOff val="20000"/>
              </a:schemeClr>
            </a:solidFill>
            <a:ln>
              <a:noFill/>
            </a:ln>
            <a:effectLst/>
          </c:spPr>
          <c:invertIfNegative val="0"/>
          <c:cat>
            <c:strRef>
              <c:f>'1 EA 2 Data Sheet'!$D$94:$G$94</c:f>
              <c:strCache>
                <c:ptCount val="4"/>
                <c:pt idx="0">
                  <c:v>2017 Jan-Mar</c:v>
                </c:pt>
                <c:pt idx="1">
                  <c:v>2017 Apr-Jun</c:v>
                </c:pt>
                <c:pt idx="2">
                  <c:v>2017 Jul-Sep</c:v>
                </c:pt>
                <c:pt idx="3">
                  <c:v>2017 Oct-Dec</c:v>
                </c:pt>
              </c:strCache>
            </c:strRef>
          </c:cat>
          <c:val>
            <c:numRef>
              <c:f>'1 EA 2 Data Sheet'!$D$101:$G$101</c:f>
            </c:numRef>
          </c:val>
        </c:ser>
        <c:ser>
          <c:idx val="7"/>
          <c:order val="7"/>
          <c:tx>
            <c:strRef>
              <c:f>'1 EA 2 Data Sheet'!$A$102</c:f>
              <c:strCache>
                <c:ptCount val="1"/>
                <c:pt idx="0">
                  <c:v>2014 Oct-Dec</c:v>
                </c:pt>
              </c:strCache>
            </c:strRef>
          </c:tx>
          <c:spPr>
            <a:solidFill>
              <a:schemeClr val="accent3">
                <a:lumMod val="80000"/>
                <a:lumOff val="20000"/>
              </a:schemeClr>
            </a:solidFill>
            <a:ln>
              <a:noFill/>
            </a:ln>
            <a:effectLst/>
          </c:spPr>
          <c:invertIfNegative val="0"/>
          <c:cat>
            <c:strRef>
              <c:f>'1 EA 2 Data Sheet'!$D$94:$G$94</c:f>
              <c:strCache>
                <c:ptCount val="4"/>
                <c:pt idx="0">
                  <c:v>2017 Jan-Mar</c:v>
                </c:pt>
                <c:pt idx="1">
                  <c:v>2017 Apr-Jun</c:v>
                </c:pt>
                <c:pt idx="2">
                  <c:v>2017 Jul-Sep</c:v>
                </c:pt>
                <c:pt idx="3">
                  <c:v>2017 Oct-Dec</c:v>
                </c:pt>
              </c:strCache>
            </c:strRef>
          </c:cat>
          <c:val>
            <c:numRef>
              <c:f>'1 EA 2 Data Sheet'!$D$102:$G$102</c:f>
            </c:numRef>
          </c:val>
        </c:ser>
        <c:ser>
          <c:idx val="8"/>
          <c:order val="8"/>
          <c:tx>
            <c:strRef>
              <c:f>'1 EA 2 Data Sheet'!$A$103</c:f>
              <c:strCache>
                <c:ptCount val="1"/>
                <c:pt idx="0">
                  <c:v>2015 Jan-Mar</c:v>
                </c:pt>
              </c:strCache>
            </c:strRef>
          </c:tx>
          <c:spPr>
            <a:solidFill>
              <a:schemeClr val="accent5">
                <a:lumMod val="80000"/>
                <a:lumOff val="20000"/>
              </a:schemeClr>
            </a:solidFill>
            <a:ln>
              <a:noFill/>
            </a:ln>
            <a:effectLst/>
          </c:spPr>
          <c:invertIfNegative val="0"/>
          <c:cat>
            <c:strRef>
              <c:f>'1 EA 2 Data Sheet'!$D$94:$G$94</c:f>
              <c:strCache>
                <c:ptCount val="4"/>
                <c:pt idx="0">
                  <c:v>2017 Jan-Mar</c:v>
                </c:pt>
                <c:pt idx="1">
                  <c:v>2017 Apr-Jun</c:v>
                </c:pt>
                <c:pt idx="2">
                  <c:v>2017 Jul-Sep</c:v>
                </c:pt>
                <c:pt idx="3">
                  <c:v>2017 Oct-Dec</c:v>
                </c:pt>
              </c:strCache>
            </c:strRef>
          </c:cat>
          <c:val>
            <c:numRef>
              <c:f>'1 EA 2 Data Sheet'!$D$103:$G$103</c:f>
            </c:numRef>
          </c:val>
        </c:ser>
        <c:ser>
          <c:idx val="9"/>
          <c:order val="9"/>
          <c:tx>
            <c:strRef>
              <c:f>'1 EA 2 Data Sheet'!$A$104</c:f>
              <c:strCache>
                <c:ptCount val="1"/>
                <c:pt idx="0">
                  <c:v>Foul sewer</c:v>
                </c:pt>
              </c:strCache>
            </c:strRef>
          </c:tx>
          <c:spPr>
            <a:solidFill>
              <a:srgbClr val="00AF41"/>
            </a:solidFill>
            <a:ln>
              <a:noFill/>
            </a:ln>
            <a:effectLst/>
          </c:spPr>
          <c:invertIfNegative val="0"/>
          <c:cat>
            <c:strRef>
              <c:f>'1 EA 2 Data Sheet'!$D$94:$G$94</c:f>
              <c:strCache>
                <c:ptCount val="4"/>
                <c:pt idx="0">
                  <c:v>2017 Jan-Mar</c:v>
                </c:pt>
                <c:pt idx="1">
                  <c:v>2017 Apr-Jun</c:v>
                </c:pt>
                <c:pt idx="2">
                  <c:v>2017 Jul-Sep</c:v>
                </c:pt>
                <c:pt idx="3">
                  <c:v>2017 Oct-Dec</c:v>
                </c:pt>
              </c:strCache>
            </c:strRef>
          </c:cat>
          <c:val>
            <c:numRef>
              <c:f>'1 EA 2 Data Sheet'!$D$104:$G$104</c:f>
              <c:numCache>
                <c:formatCode>General</c:formatCode>
                <c:ptCount val="4"/>
                <c:pt idx="0">
                  <c:v>2</c:v>
                </c:pt>
                <c:pt idx="1">
                  <c:v>8</c:v>
                </c:pt>
                <c:pt idx="2">
                  <c:v>3</c:v>
                </c:pt>
                <c:pt idx="3">
                  <c:v>4</c:v>
                </c:pt>
              </c:numCache>
            </c:numRef>
          </c:val>
        </c:ser>
        <c:ser>
          <c:idx val="10"/>
          <c:order val="10"/>
          <c:tx>
            <c:strRef>
              <c:f>'1 EA 2 Data Sheet'!$A$105</c:f>
              <c:strCache>
                <c:ptCount val="1"/>
                <c:pt idx="0">
                  <c:v>Water distribution system</c:v>
                </c:pt>
              </c:strCache>
            </c:strRef>
          </c:tx>
          <c:spPr>
            <a:solidFill>
              <a:srgbClr val="F78913"/>
            </a:solidFill>
            <a:ln>
              <a:noFill/>
            </a:ln>
            <a:effectLst/>
          </c:spPr>
          <c:invertIfNegative val="0"/>
          <c:cat>
            <c:strRef>
              <c:f>'1 EA 2 Data Sheet'!$D$94:$G$94</c:f>
              <c:strCache>
                <c:ptCount val="4"/>
                <c:pt idx="0">
                  <c:v>2017 Jan-Mar</c:v>
                </c:pt>
                <c:pt idx="1">
                  <c:v>2017 Apr-Jun</c:v>
                </c:pt>
                <c:pt idx="2">
                  <c:v>2017 Jul-Sep</c:v>
                </c:pt>
                <c:pt idx="3">
                  <c:v>2017 Oct-Dec</c:v>
                </c:pt>
              </c:strCache>
            </c:strRef>
          </c:cat>
          <c:val>
            <c:numRef>
              <c:f>'1 EA 2 Data Sheet'!$D$105:$G$105</c:f>
              <c:numCache>
                <c:formatCode>General</c:formatCode>
                <c:ptCount val="4"/>
                <c:pt idx="1">
                  <c:v>4</c:v>
                </c:pt>
                <c:pt idx="2">
                  <c:v>4</c:v>
                </c:pt>
                <c:pt idx="3">
                  <c:v>4</c:v>
                </c:pt>
              </c:numCache>
            </c:numRef>
          </c:val>
        </c:ser>
        <c:ser>
          <c:idx val="11"/>
          <c:order val="11"/>
          <c:tx>
            <c:strRef>
              <c:f>'1 EA 2 Data Sheet'!$A$106</c:f>
              <c:strCache>
                <c:ptCount val="1"/>
                <c:pt idx="0">
                  <c:v>Sewage treatment works</c:v>
                </c:pt>
              </c:strCache>
            </c:strRef>
          </c:tx>
          <c:spPr>
            <a:solidFill>
              <a:srgbClr val="034B89"/>
            </a:solidFill>
            <a:ln>
              <a:noFill/>
            </a:ln>
            <a:effectLst/>
          </c:spPr>
          <c:invertIfNegative val="0"/>
          <c:cat>
            <c:strRef>
              <c:f>'1 EA 2 Data Sheet'!$D$94:$G$94</c:f>
              <c:strCache>
                <c:ptCount val="4"/>
                <c:pt idx="0">
                  <c:v>2017 Jan-Mar</c:v>
                </c:pt>
                <c:pt idx="1">
                  <c:v>2017 Apr-Jun</c:v>
                </c:pt>
                <c:pt idx="2">
                  <c:v>2017 Jul-Sep</c:v>
                </c:pt>
                <c:pt idx="3">
                  <c:v>2017 Oct-Dec</c:v>
                </c:pt>
              </c:strCache>
            </c:strRef>
          </c:cat>
          <c:val>
            <c:numRef>
              <c:f>'1 EA 2 Data Sheet'!$D$106:$G$106</c:f>
              <c:numCache>
                <c:formatCode>General</c:formatCode>
                <c:ptCount val="4"/>
                <c:pt idx="0">
                  <c:v>1</c:v>
                </c:pt>
                <c:pt idx="1">
                  <c:v>3</c:v>
                </c:pt>
                <c:pt idx="2">
                  <c:v>4</c:v>
                </c:pt>
                <c:pt idx="3">
                  <c:v>3</c:v>
                </c:pt>
              </c:numCache>
            </c:numRef>
          </c:val>
        </c:ser>
        <c:ser>
          <c:idx val="12"/>
          <c:order val="12"/>
          <c:tx>
            <c:strRef>
              <c:f>'1 EA 2 Data Sheet'!$A$107</c:f>
              <c:strCache>
                <c:ptCount val="1"/>
                <c:pt idx="0">
                  <c:v>Pumping station</c:v>
                </c:pt>
              </c:strCache>
            </c:strRef>
          </c:tx>
          <c:spPr>
            <a:solidFill>
              <a:srgbClr val="56004E"/>
            </a:solidFill>
            <a:ln>
              <a:noFill/>
            </a:ln>
            <a:effectLst/>
          </c:spPr>
          <c:invertIfNegative val="0"/>
          <c:cat>
            <c:strRef>
              <c:f>'1 EA 2 Data Sheet'!$D$94:$G$94</c:f>
              <c:strCache>
                <c:ptCount val="4"/>
                <c:pt idx="0">
                  <c:v>2017 Jan-Mar</c:v>
                </c:pt>
                <c:pt idx="1">
                  <c:v>2017 Apr-Jun</c:v>
                </c:pt>
                <c:pt idx="2">
                  <c:v>2017 Jul-Sep</c:v>
                </c:pt>
                <c:pt idx="3">
                  <c:v>2017 Oct-Dec</c:v>
                </c:pt>
              </c:strCache>
            </c:strRef>
          </c:cat>
          <c:val>
            <c:numRef>
              <c:f>'1 EA 2 Data Sheet'!$D$107:$G$107</c:f>
              <c:numCache>
                <c:formatCode>General</c:formatCode>
                <c:ptCount val="4"/>
                <c:pt idx="1">
                  <c:v>2</c:v>
                </c:pt>
                <c:pt idx="2">
                  <c:v>2</c:v>
                </c:pt>
                <c:pt idx="3">
                  <c:v>3</c:v>
                </c:pt>
              </c:numCache>
            </c:numRef>
          </c:val>
        </c:ser>
        <c:dLbls>
          <c:showLegendKey val="0"/>
          <c:showVal val="0"/>
          <c:showCatName val="0"/>
          <c:showSerName val="0"/>
          <c:showPercent val="0"/>
          <c:showBubbleSize val="0"/>
        </c:dLbls>
        <c:gapWidth val="50"/>
        <c:axId val="191130096"/>
        <c:axId val="191129704"/>
        <c:extLst/>
      </c:barChart>
      <c:catAx>
        <c:axId val="191130096"/>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GB" sz="1050" b="0" i="0" u="none" strike="noStrike" kern="1200" baseline="0">
                <a:solidFill>
                  <a:sysClr val="windowText" lastClr="000000"/>
                </a:solidFill>
                <a:latin typeface="+mn-lt"/>
                <a:ea typeface="+mn-ea"/>
                <a:cs typeface="+mn-cs"/>
              </a:defRPr>
            </a:pPr>
            <a:endParaRPr lang="en-US"/>
          </a:p>
        </c:txPr>
        <c:crossAx val="191129704"/>
        <c:crosses val="autoZero"/>
        <c:auto val="1"/>
        <c:lblAlgn val="ctr"/>
        <c:lblOffset val="100"/>
        <c:noMultiLvlLbl val="0"/>
      </c:catAx>
      <c:valAx>
        <c:axId val="191129704"/>
        <c:scaling>
          <c:orientation val="minMax"/>
          <c:max val="10"/>
          <c:min val="0"/>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lang="en-GB" sz="1050" b="0" i="0" u="none" strike="noStrike" kern="1200" baseline="0">
                <a:solidFill>
                  <a:sysClr val="windowText" lastClr="000000"/>
                </a:solidFill>
                <a:latin typeface="+mn-lt"/>
                <a:ea typeface="+mn-ea"/>
                <a:cs typeface="+mn-cs"/>
              </a:defRPr>
            </a:pPr>
            <a:endParaRPr lang="en-US"/>
          </a:p>
        </c:txPr>
        <c:crossAx val="191130096"/>
        <c:crosses val="autoZero"/>
        <c:crossBetween val="between"/>
        <c:majorUnit val="2"/>
      </c:valAx>
      <c:spPr>
        <a:solidFill>
          <a:schemeClr val="bg1"/>
        </a:solidFill>
        <a:ln>
          <a:noFill/>
        </a:ln>
        <a:effectLst/>
      </c:spPr>
    </c:plotArea>
    <c:legend>
      <c:legendPos val="b"/>
      <c:layout>
        <c:manualLayout>
          <c:xMode val="edge"/>
          <c:yMode val="edge"/>
          <c:x val="7.2809956835222178E-2"/>
          <c:y val="0.84592942324060738"/>
          <c:w val="0.89224386644088338"/>
          <c:h val="0.13904909409063496"/>
        </c:manualLayout>
      </c:layout>
      <c:overlay val="0"/>
      <c:spPr>
        <a:noFill/>
        <a:ln>
          <a:noFill/>
        </a:ln>
        <a:effectLst/>
      </c:spPr>
      <c:txPr>
        <a:bodyPr rot="0" spcFirstLastPara="1" vertOverflow="ellipsis" vert="horz" wrap="square" anchor="ctr" anchorCtr="1"/>
        <a:lstStyle/>
        <a:p>
          <a:pPr>
            <a:defRPr lang="en-GB"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lgn="ctr">
        <a:defRPr lang="en-GB" sz="1000" b="0" i="0" u="none" strike="noStrike" kern="1200" baseline="0">
          <a:solidFill>
            <a:srgbClr val="002060"/>
          </a:solidFill>
          <a:latin typeface="+mn-lt"/>
          <a:ea typeface="+mn-ea"/>
          <a:cs typeface="+mn-cs"/>
        </a:defRPr>
      </a:pPr>
      <a:endParaRPr lang="en-US"/>
    </a:p>
  </c:txPr>
  <c:printSettings>
    <c:headerFooter/>
    <c:pageMargins b="0.75000000000000699" l="0.70000000000000062" r="0.70000000000000062" t="0.75000000000000699"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r>
              <a:rPr lang="en-US" sz="1100">
                <a:solidFill>
                  <a:sysClr val="windowText" lastClr="000000"/>
                </a:solidFill>
              </a:rPr>
              <a:t>Category 1 and 2 incidents from the  main contributors to agriculture</a:t>
            </a:r>
          </a:p>
        </c:rich>
      </c:tx>
      <c:layout>
        <c:manualLayout>
          <c:xMode val="edge"/>
          <c:yMode val="edge"/>
          <c:x val="0.12973597798623115"/>
          <c:y val="0"/>
        </c:manualLayout>
      </c:layout>
      <c:overlay val="0"/>
      <c:spPr>
        <a:noFill/>
        <a:ln>
          <a:noFill/>
        </a:ln>
        <a:effectLst/>
      </c:spPr>
      <c:txPr>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627351494010666E-2"/>
          <c:y val="0.14225314764982028"/>
          <c:w val="0.87461219746055763"/>
          <c:h val="0.58497926785731758"/>
        </c:manualLayout>
      </c:layout>
      <c:barChart>
        <c:barDir val="col"/>
        <c:grouping val="clustered"/>
        <c:varyColors val="0"/>
        <c:ser>
          <c:idx val="0"/>
          <c:order val="0"/>
          <c:tx>
            <c:strRef>
              <c:f>'1 EA 2 Data Sheet'!$A$142</c:f>
              <c:strCache>
                <c:ptCount val="1"/>
                <c:pt idx="0">
                  <c:v>2013 Jan-Mar</c:v>
                </c:pt>
              </c:strCache>
            </c:strRef>
          </c:tx>
          <c:spPr>
            <a:solidFill>
              <a:schemeClr val="accent1"/>
            </a:solidFill>
            <a:ln>
              <a:noFill/>
            </a:ln>
            <a:effectLst/>
          </c:spPr>
          <c:invertIfNegative val="0"/>
          <c:cat>
            <c:strRef>
              <c:f>'1 EA 2 Data Sheet'!$D$141:$G$141</c:f>
              <c:strCache>
                <c:ptCount val="4"/>
                <c:pt idx="0">
                  <c:v>2017 Jan-Mar</c:v>
                </c:pt>
                <c:pt idx="1">
                  <c:v>2017 Apr-Jun</c:v>
                </c:pt>
                <c:pt idx="2">
                  <c:v>2017 Jul-Sep</c:v>
                </c:pt>
                <c:pt idx="3">
                  <c:v>2017 Oct-Dec</c:v>
                </c:pt>
              </c:strCache>
            </c:strRef>
          </c:cat>
          <c:val>
            <c:numRef>
              <c:f>'1 EA 2 Data Sheet'!$D$142:$G$142</c:f>
            </c:numRef>
          </c:val>
        </c:ser>
        <c:ser>
          <c:idx val="1"/>
          <c:order val="1"/>
          <c:tx>
            <c:strRef>
              <c:f>'1 EA 2 Data Sheet'!$A$143</c:f>
              <c:strCache>
                <c:ptCount val="1"/>
                <c:pt idx="0">
                  <c:v>2013 Apr-Jun</c:v>
                </c:pt>
              </c:strCache>
            </c:strRef>
          </c:tx>
          <c:spPr>
            <a:solidFill>
              <a:schemeClr val="accent3"/>
            </a:solidFill>
            <a:ln>
              <a:noFill/>
            </a:ln>
            <a:effectLst/>
          </c:spPr>
          <c:invertIfNegative val="0"/>
          <c:cat>
            <c:strRef>
              <c:f>'1 EA 2 Data Sheet'!$D$141:$G$141</c:f>
              <c:strCache>
                <c:ptCount val="4"/>
                <c:pt idx="0">
                  <c:v>2017 Jan-Mar</c:v>
                </c:pt>
                <c:pt idx="1">
                  <c:v>2017 Apr-Jun</c:v>
                </c:pt>
                <c:pt idx="2">
                  <c:v>2017 Jul-Sep</c:v>
                </c:pt>
                <c:pt idx="3">
                  <c:v>2017 Oct-Dec</c:v>
                </c:pt>
              </c:strCache>
            </c:strRef>
          </c:cat>
          <c:val>
            <c:numRef>
              <c:f>'1 EA 2 Data Sheet'!$D$143:$G$143</c:f>
            </c:numRef>
          </c:val>
        </c:ser>
        <c:ser>
          <c:idx val="2"/>
          <c:order val="2"/>
          <c:tx>
            <c:strRef>
              <c:f>'1 EA 2 Data Sheet'!$A$144</c:f>
              <c:strCache>
                <c:ptCount val="1"/>
                <c:pt idx="0">
                  <c:v>2013 Jul-Sep</c:v>
                </c:pt>
              </c:strCache>
            </c:strRef>
          </c:tx>
          <c:spPr>
            <a:solidFill>
              <a:schemeClr val="accent5"/>
            </a:solidFill>
            <a:ln>
              <a:noFill/>
            </a:ln>
            <a:effectLst/>
          </c:spPr>
          <c:invertIfNegative val="0"/>
          <c:cat>
            <c:strRef>
              <c:f>'1 EA 2 Data Sheet'!$D$141:$G$141</c:f>
              <c:strCache>
                <c:ptCount val="4"/>
                <c:pt idx="0">
                  <c:v>2017 Jan-Mar</c:v>
                </c:pt>
                <c:pt idx="1">
                  <c:v>2017 Apr-Jun</c:v>
                </c:pt>
                <c:pt idx="2">
                  <c:v>2017 Jul-Sep</c:v>
                </c:pt>
                <c:pt idx="3">
                  <c:v>2017 Oct-Dec</c:v>
                </c:pt>
              </c:strCache>
            </c:strRef>
          </c:cat>
          <c:val>
            <c:numRef>
              <c:f>'1 EA 2 Data Sheet'!$D$144:$G$144</c:f>
            </c:numRef>
          </c:val>
        </c:ser>
        <c:ser>
          <c:idx val="3"/>
          <c:order val="3"/>
          <c:tx>
            <c:strRef>
              <c:f>'1 EA 2 Data Sheet'!$A$145</c:f>
              <c:strCache>
                <c:ptCount val="1"/>
                <c:pt idx="0">
                  <c:v>2013 Oct-Dec</c:v>
                </c:pt>
              </c:strCache>
            </c:strRef>
          </c:tx>
          <c:spPr>
            <a:solidFill>
              <a:schemeClr val="accent1">
                <a:lumMod val="60000"/>
              </a:schemeClr>
            </a:solidFill>
            <a:ln>
              <a:noFill/>
            </a:ln>
            <a:effectLst/>
          </c:spPr>
          <c:invertIfNegative val="0"/>
          <c:cat>
            <c:strRef>
              <c:f>'1 EA 2 Data Sheet'!$D$141:$G$141</c:f>
              <c:strCache>
                <c:ptCount val="4"/>
                <c:pt idx="0">
                  <c:v>2017 Jan-Mar</c:v>
                </c:pt>
                <c:pt idx="1">
                  <c:v>2017 Apr-Jun</c:v>
                </c:pt>
                <c:pt idx="2">
                  <c:v>2017 Jul-Sep</c:v>
                </c:pt>
                <c:pt idx="3">
                  <c:v>2017 Oct-Dec</c:v>
                </c:pt>
              </c:strCache>
            </c:strRef>
          </c:cat>
          <c:val>
            <c:numRef>
              <c:f>'1 EA 2 Data Sheet'!$D$145:$G$145</c:f>
            </c:numRef>
          </c:val>
        </c:ser>
        <c:ser>
          <c:idx val="4"/>
          <c:order val="4"/>
          <c:tx>
            <c:strRef>
              <c:f>'1 EA 2 Data Sheet'!$A$146</c:f>
              <c:strCache>
                <c:ptCount val="1"/>
                <c:pt idx="0">
                  <c:v>2014 Jan-Mar</c:v>
                </c:pt>
              </c:strCache>
            </c:strRef>
          </c:tx>
          <c:spPr>
            <a:solidFill>
              <a:schemeClr val="accent3">
                <a:lumMod val="60000"/>
              </a:schemeClr>
            </a:solidFill>
            <a:ln>
              <a:noFill/>
            </a:ln>
            <a:effectLst/>
          </c:spPr>
          <c:invertIfNegative val="0"/>
          <c:cat>
            <c:strRef>
              <c:f>'1 EA 2 Data Sheet'!$D$141:$G$141</c:f>
              <c:strCache>
                <c:ptCount val="4"/>
                <c:pt idx="0">
                  <c:v>2017 Jan-Mar</c:v>
                </c:pt>
                <c:pt idx="1">
                  <c:v>2017 Apr-Jun</c:v>
                </c:pt>
                <c:pt idx="2">
                  <c:v>2017 Jul-Sep</c:v>
                </c:pt>
                <c:pt idx="3">
                  <c:v>2017 Oct-Dec</c:v>
                </c:pt>
              </c:strCache>
            </c:strRef>
          </c:cat>
          <c:val>
            <c:numRef>
              <c:f>'1 EA 2 Data Sheet'!$D$146:$G$146</c:f>
            </c:numRef>
          </c:val>
        </c:ser>
        <c:ser>
          <c:idx val="5"/>
          <c:order val="5"/>
          <c:tx>
            <c:strRef>
              <c:f>'1 EA 2 Data Sheet'!$A$147</c:f>
              <c:strCache>
                <c:ptCount val="1"/>
                <c:pt idx="0">
                  <c:v>2014 Apr-Jun</c:v>
                </c:pt>
              </c:strCache>
            </c:strRef>
          </c:tx>
          <c:spPr>
            <a:solidFill>
              <a:schemeClr val="accent5">
                <a:lumMod val="60000"/>
              </a:schemeClr>
            </a:solidFill>
            <a:ln>
              <a:noFill/>
            </a:ln>
            <a:effectLst/>
          </c:spPr>
          <c:invertIfNegative val="0"/>
          <c:cat>
            <c:strRef>
              <c:f>'1 EA 2 Data Sheet'!$D$141:$G$141</c:f>
              <c:strCache>
                <c:ptCount val="4"/>
                <c:pt idx="0">
                  <c:v>2017 Jan-Mar</c:v>
                </c:pt>
                <c:pt idx="1">
                  <c:v>2017 Apr-Jun</c:v>
                </c:pt>
                <c:pt idx="2">
                  <c:v>2017 Jul-Sep</c:v>
                </c:pt>
                <c:pt idx="3">
                  <c:v>2017 Oct-Dec</c:v>
                </c:pt>
              </c:strCache>
            </c:strRef>
          </c:cat>
          <c:val>
            <c:numRef>
              <c:f>'1 EA 2 Data Sheet'!$D$147:$G$147</c:f>
            </c:numRef>
          </c:val>
        </c:ser>
        <c:ser>
          <c:idx val="6"/>
          <c:order val="6"/>
          <c:tx>
            <c:strRef>
              <c:f>'1 EA 2 Data Sheet'!$A$148</c:f>
              <c:strCache>
                <c:ptCount val="1"/>
                <c:pt idx="0">
                  <c:v>2014 Jul-Sep</c:v>
                </c:pt>
              </c:strCache>
            </c:strRef>
          </c:tx>
          <c:spPr>
            <a:solidFill>
              <a:schemeClr val="accent1">
                <a:lumMod val="80000"/>
                <a:lumOff val="20000"/>
              </a:schemeClr>
            </a:solidFill>
            <a:ln>
              <a:noFill/>
            </a:ln>
            <a:effectLst/>
          </c:spPr>
          <c:invertIfNegative val="0"/>
          <c:cat>
            <c:strRef>
              <c:f>'1 EA 2 Data Sheet'!$D$141:$G$141</c:f>
              <c:strCache>
                <c:ptCount val="4"/>
                <c:pt idx="0">
                  <c:v>2017 Jan-Mar</c:v>
                </c:pt>
                <c:pt idx="1">
                  <c:v>2017 Apr-Jun</c:v>
                </c:pt>
                <c:pt idx="2">
                  <c:v>2017 Jul-Sep</c:v>
                </c:pt>
                <c:pt idx="3">
                  <c:v>2017 Oct-Dec</c:v>
                </c:pt>
              </c:strCache>
            </c:strRef>
          </c:cat>
          <c:val>
            <c:numRef>
              <c:f>'1 EA 2 Data Sheet'!$D$148:$G$148</c:f>
            </c:numRef>
          </c:val>
        </c:ser>
        <c:ser>
          <c:idx val="7"/>
          <c:order val="7"/>
          <c:tx>
            <c:strRef>
              <c:f>'1 EA 2 Data Sheet'!$A$149</c:f>
              <c:strCache>
                <c:ptCount val="1"/>
                <c:pt idx="0">
                  <c:v>2014 Oct-Dec</c:v>
                </c:pt>
              </c:strCache>
            </c:strRef>
          </c:tx>
          <c:spPr>
            <a:solidFill>
              <a:schemeClr val="accent3">
                <a:lumMod val="80000"/>
                <a:lumOff val="20000"/>
              </a:schemeClr>
            </a:solidFill>
            <a:ln>
              <a:noFill/>
            </a:ln>
            <a:effectLst/>
          </c:spPr>
          <c:invertIfNegative val="0"/>
          <c:cat>
            <c:strRef>
              <c:f>'1 EA 2 Data Sheet'!$D$141:$G$141</c:f>
              <c:strCache>
                <c:ptCount val="4"/>
                <c:pt idx="0">
                  <c:v>2017 Jan-Mar</c:v>
                </c:pt>
                <c:pt idx="1">
                  <c:v>2017 Apr-Jun</c:v>
                </c:pt>
                <c:pt idx="2">
                  <c:v>2017 Jul-Sep</c:v>
                </c:pt>
                <c:pt idx="3">
                  <c:v>2017 Oct-Dec</c:v>
                </c:pt>
              </c:strCache>
            </c:strRef>
          </c:cat>
          <c:val>
            <c:numRef>
              <c:f>'1 EA 2 Data Sheet'!$D$149:$G$149</c:f>
            </c:numRef>
          </c:val>
        </c:ser>
        <c:ser>
          <c:idx val="8"/>
          <c:order val="8"/>
          <c:tx>
            <c:strRef>
              <c:f>'1 EA 2 Data Sheet'!$A$150</c:f>
              <c:strCache>
                <c:ptCount val="1"/>
                <c:pt idx="0">
                  <c:v>2015 Jan-Mar</c:v>
                </c:pt>
              </c:strCache>
            </c:strRef>
          </c:tx>
          <c:spPr>
            <a:solidFill>
              <a:schemeClr val="accent5">
                <a:lumMod val="80000"/>
                <a:lumOff val="20000"/>
              </a:schemeClr>
            </a:solidFill>
            <a:ln>
              <a:noFill/>
            </a:ln>
            <a:effectLst/>
          </c:spPr>
          <c:invertIfNegative val="0"/>
          <c:cat>
            <c:strRef>
              <c:f>'1 EA 2 Data Sheet'!$D$141:$G$141</c:f>
              <c:strCache>
                <c:ptCount val="4"/>
                <c:pt idx="0">
                  <c:v>2017 Jan-Mar</c:v>
                </c:pt>
                <c:pt idx="1">
                  <c:v>2017 Apr-Jun</c:v>
                </c:pt>
                <c:pt idx="2">
                  <c:v>2017 Jul-Sep</c:v>
                </c:pt>
                <c:pt idx="3">
                  <c:v>2017 Oct-Dec</c:v>
                </c:pt>
              </c:strCache>
            </c:strRef>
          </c:cat>
          <c:val>
            <c:numRef>
              <c:f>'1 EA 2 Data Sheet'!$D$150:$G$150</c:f>
            </c:numRef>
          </c:val>
        </c:ser>
        <c:ser>
          <c:idx val="9"/>
          <c:order val="9"/>
          <c:tx>
            <c:strRef>
              <c:f>'1 EA 2 Data Sheet'!$A$151</c:f>
              <c:strCache>
                <c:ptCount val="1"/>
                <c:pt idx="0">
                  <c:v>Dairy and livestock</c:v>
                </c:pt>
              </c:strCache>
            </c:strRef>
          </c:tx>
          <c:spPr>
            <a:solidFill>
              <a:srgbClr val="00AF41"/>
            </a:solidFill>
            <a:ln>
              <a:noFill/>
            </a:ln>
            <a:effectLst/>
          </c:spPr>
          <c:invertIfNegative val="0"/>
          <c:cat>
            <c:strRef>
              <c:f>'1 EA 2 Data Sheet'!$D$141:$G$141</c:f>
              <c:strCache>
                <c:ptCount val="4"/>
                <c:pt idx="0">
                  <c:v>2017 Jan-Mar</c:v>
                </c:pt>
                <c:pt idx="1">
                  <c:v>2017 Apr-Jun</c:v>
                </c:pt>
                <c:pt idx="2">
                  <c:v>2017 Jul-Sep</c:v>
                </c:pt>
                <c:pt idx="3">
                  <c:v>2017 Oct-Dec</c:v>
                </c:pt>
              </c:strCache>
            </c:strRef>
          </c:cat>
          <c:val>
            <c:numRef>
              <c:f>'1 EA 2 Data Sheet'!$D$151:$G$151</c:f>
              <c:numCache>
                <c:formatCode>General</c:formatCode>
                <c:ptCount val="4"/>
                <c:pt idx="0">
                  <c:v>18</c:v>
                </c:pt>
                <c:pt idx="1">
                  <c:v>5</c:v>
                </c:pt>
                <c:pt idx="2">
                  <c:v>9</c:v>
                </c:pt>
                <c:pt idx="3">
                  <c:v>13</c:v>
                </c:pt>
              </c:numCache>
            </c:numRef>
          </c:val>
        </c:ser>
        <c:ser>
          <c:idx val="10"/>
          <c:order val="10"/>
          <c:tx>
            <c:strRef>
              <c:f>'1 EA 2 Data Sheet'!$A$152</c:f>
              <c:strCache>
                <c:ptCount val="1"/>
                <c:pt idx="0">
                  <c:v>Intensive farming</c:v>
                </c:pt>
              </c:strCache>
            </c:strRef>
          </c:tx>
          <c:spPr>
            <a:solidFill>
              <a:srgbClr val="F78913"/>
            </a:solidFill>
            <a:ln>
              <a:noFill/>
            </a:ln>
            <a:effectLst/>
          </c:spPr>
          <c:invertIfNegative val="0"/>
          <c:cat>
            <c:strRef>
              <c:f>'1 EA 2 Data Sheet'!$D$141:$G$141</c:f>
              <c:strCache>
                <c:ptCount val="4"/>
                <c:pt idx="0">
                  <c:v>2017 Jan-Mar</c:v>
                </c:pt>
                <c:pt idx="1">
                  <c:v>2017 Apr-Jun</c:v>
                </c:pt>
                <c:pt idx="2">
                  <c:v>2017 Jul-Sep</c:v>
                </c:pt>
                <c:pt idx="3">
                  <c:v>2017 Oct-Dec</c:v>
                </c:pt>
              </c:strCache>
            </c:strRef>
          </c:cat>
          <c:val>
            <c:numRef>
              <c:f>'1 EA 2 Data Sheet'!$D$152:$G$152</c:f>
              <c:numCache>
                <c:formatCode>General</c:formatCode>
                <c:ptCount val="4"/>
                <c:pt idx="1">
                  <c:v>1</c:v>
                </c:pt>
                <c:pt idx="2">
                  <c:v>3</c:v>
                </c:pt>
                <c:pt idx="3">
                  <c:v>2</c:v>
                </c:pt>
              </c:numCache>
            </c:numRef>
          </c:val>
        </c:ser>
        <c:ser>
          <c:idx val="11"/>
          <c:order val="11"/>
          <c:tx>
            <c:strRef>
              <c:f>'1 EA 2 Data Sheet'!$A$153</c:f>
              <c:strCache>
                <c:ptCount val="1"/>
                <c:pt idx="0">
                  <c:v>Arable and horticulture</c:v>
                </c:pt>
              </c:strCache>
            </c:strRef>
          </c:tx>
          <c:spPr>
            <a:solidFill>
              <a:srgbClr val="034B89"/>
            </a:solidFill>
            <a:ln>
              <a:noFill/>
            </a:ln>
            <a:effectLst/>
          </c:spPr>
          <c:invertIfNegative val="0"/>
          <c:cat>
            <c:strRef>
              <c:f>'1 EA 2 Data Sheet'!$D$141:$G$141</c:f>
              <c:strCache>
                <c:ptCount val="4"/>
                <c:pt idx="0">
                  <c:v>2017 Jan-Mar</c:v>
                </c:pt>
                <c:pt idx="1">
                  <c:v>2017 Apr-Jun</c:v>
                </c:pt>
                <c:pt idx="2">
                  <c:v>2017 Jul-Sep</c:v>
                </c:pt>
                <c:pt idx="3">
                  <c:v>2017 Oct-Dec</c:v>
                </c:pt>
              </c:strCache>
            </c:strRef>
          </c:cat>
          <c:val>
            <c:numRef>
              <c:f>'1 EA 2 Data Sheet'!$D$153:$G$153</c:f>
              <c:numCache>
                <c:formatCode>General</c:formatCode>
                <c:ptCount val="4"/>
                <c:pt idx="1">
                  <c:v>3</c:v>
                </c:pt>
                <c:pt idx="2">
                  <c:v>1</c:v>
                </c:pt>
              </c:numCache>
            </c:numRef>
          </c:val>
        </c:ser>
        <c:ser>
          <c:idx val="12"/>
          <c:order val="12"/>
          <c:tx>
            <c:strRef>
              <c:f>'1 EA 2 Data Sheet'!$A$154</c:f>
              <c:strCache>
                <c:ptCount val="1"/>
                <c:pt idx="0">
                  <c:v>Other agriculture</c:v>
                </c:pt>
              </c:strCache>
            </c:strRef>
          </c:tx>
          <c:spPr>
            <a:solidFill>
              <a:srgbClr val="820053"/>
            </a:solidFill>
            <a:ln>
              <a:noFill/>
            </a:ln>
            <a:effectLst/>
          </c:spPr>
          <c:invertIfNegative val="0"/>
          <c:cat>
            <c:strRef>
              <c:f>'1 EA 2 Data Sheet'!$D$141:$G$141</c:f>
              <c:strCache>
                <c:ptCount val="4"/>
                <c:pt idx="0">
                  <c:v>2017 Jan-Mar</c:v>
                </c:pt>
                <c:pt idx="1">
                  <c:v>2017 Apr-Jun</c:v>
                </c:pt>
                <c:pt idx="2">
                  <c:v>2017 Jul-Sep</c:v>
                </c:pt>
                <c:pt idx="3">
                  <c:v>2017 Oct-Dec</c:v>
                </c:pt>
              </c:strCache>
            </c:strRef>
          </c:cat>
          <c:val>
            <c:numRef>
              <c:f>'1 EA 2 Data Sheet'!$D$154:$G$154</c:f>
              <c:numCache>
                <c:formatCode>General</c:formatCode>
                <c:ptCount val="4"/>
                <c:pt idx="0">
                  <c:v>1</c:v>
                </c:pt>
                <c:pt idx="2">
                  <c:v>1</c:v>
                </c:pt>
              </c:numCache>
            </c:numRef>
          </c:val>
        </c:ser>
        <c:dLbls>
          <c:showLegendKey val="0"/>
          <c:showVal val="0"/>
          <c:showCatName val="0"/>
          <c:showSerName val="0"/>
          <c:showPercent val="0"/>
          <c:showBubbleSize val="0"/>
        </c:dLbls>
        <c:gapWidth val="50"/>
        <c:axId val="191128920"/>
        <c:axId val="191131664"/>
        <c:extLst/>
      </c:barChart>
      <c:catAx>
        <c:axId val="191128920"/>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91131664"/>
        <c:crosses val="autoZero"/>
        <c:auto val="1"/>
        <c:lblAlgn val="ctr"/>
        <c:lblOffset val="100"/>
        <c:noMultiLvlLbl val="0"/>
      </c:catAx>
      <c:valAx>
        <c:axId val="191131664"/>
        <c:scaling>
          <c:orientation val="minMax"/>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91128920"/>
        <c:crosses val="autoZero"/>
        <c:crossBetween val="between"/>
      </c:valAx>
      <c:spPr>
        <a:solidFill>
          <a:schemeClr val="bg1"/>
        </a:solidFill>
        <a:ln>
          <a:noFill/>
        </a:ln>
        <a:effectLst/>
      </c:spPr>
    </c:plotArea>
    <c:legend>
      <c:legendPos val="b"/>
      <c:layout>
        <c:manualLayout>
          <c:xMode val="edge"/>
          <c:yMode val="edge"/>
          <c:x val="7.3835092421957876E-2"/>
          <c:y val="0.86149859879174706"/>
          <c:w val="0.82041492153906292"/>
          <c:h val="0.10673817976732815"/>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722" l="0.70000000000000062" r="0.70000000000000062" t="0.750000000000007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en-US" sz="1100">
                <a:solidFill>
                  <a:sysClr val="windowText" lastClr="000000"/>
                </a:solidFill>
              </a:rPr>
              <a:t>Category 1 and 2 incidents from other</a:t>
            </a:r>
            <a:r>
              <a:rPr lang="en-US" sz="1100" baseline="0">
                <a:solidFill>
                  <a:sysClr val="windowText" lastClr="000000"/>
                </a:solidFill>
              </a:rPr>
              <a:t> </a:t>
            </a:r>
          </a:p>
          <a:p>
            <a:pPr>
              <a:defRPr sz="1100">
                <a:solidFill>
                  <a:sysClr val="windowText" lastClr="000000"/>
                </a:solidFill>
              </a:defRPr>
            </a:pPr>
            <a:r>
              <a:rPr lang="en-US" sz="1100" baseline="0">
                <a:solidFill>
                  <a:sysClr val="windowText" lastClr="000000"/>
                </a:solidFill>
              </a:rPr>
              <a:t>non regulated industry sectors</a:t>
            </a:r>
            <a:endParaRPr lang="en-US" sz="1100">
              <a:solidFill>
                <a:sysClr val="windowText" lastClr="000000"/>
              </a:solidFill>
            </a:endParaRPr>
          </a:p>
        </c:rich>
      </c:tx>
      <c:layout>
        <c:manualLayout>
          <c:xMode val="edge"/>
          <c:yMode val="edge"/>
          <c:x val="0.17980947531708003"/>
          <c:y val="3.6599834983736125E-2"/>
        </c:manualLayout>
      </c:layout>
      <c:overlay val="0"/>
    </c:title>
    <c:autoTitleDeleted val="0"/>
    <c:plotArea>
      <c:layout>
        <c:manualLayout>
          <c:layoutTarget val="inner"/>
          <c:xMode val="edge"/>
          <c:yMode val="edge"/>
          <c:x val="9.2915444156787264E-2"/>
          <c:y val="6.5202295930494023E-2"/>
          <c:w val="0.87461219746055763"/>
          <c:h val="0.68410647591276086"/>
        </c:manualLayout>
      </c:layout>
      <c:lineChart>
        <c:grouping val="standard"/>
        <c:varyColors val="0"/>
        <c:ser>
          <c:idx val="0"/>
          <c:order val="0"/>
          <c:tx>
            <c:strRef>
              <c:f>'1 EA 2 Data Sheet'!$M$166</c:f>
              <c:strCache>
                <c:ptCount val="1"/>
                <c:pt idx="0">
                  <c:v>Actual</c:v>
                </c:pt>
              </c:strCache>
            </c:strRef>
          </c:tx>
          <c:spPr>
            <a:ln>
              <a:solidFill>
                <a:srgbClr val="002060"/>
              </a:solidFill>
            </a:ln>
          </c:spPr>
          <c:marker>
            <c:spPr>
              <a:solidFill>
                <a:srgbClr val="002060"/>
              </a:solidFill>
              <a:ln>
                <a:solidFill>
                  <a:srgbClr val="002060"/>
                </a:solidFill>
              </a:ln>
            </c:spPr>
          </c:marker>
          <c:cat>
            <c:strRef>
              <c:extLst>
                <c:ext xmlns:c15="http://schemas.microsoft.com/office/drawing/2012/chart" uri="{02D57815-91ED-43cb-92C2-25804820EDAC}">
                  <c15:fullRef>
                    <c15:sqref>('1 EA 2 Data Sheet'!$N$165:$AE$165,'1 EA 2 Data Sheet'!$AF$165,'1 EA 2 Data Sheet'!$AG$165)</c15:sqref>
                  </c15:fullRef>
                </c:ext>
              </c:extLst>
              <c:f>('1 EA 2 Data Sheet'!$N$165:$R$165,'1 EA 2 Data Sheet'!$V$165:$AE$165,'1 EA 2 Data Sheet'!$AF$165,'1 EA 2 Data Sheet'!$AG$165)</c:f>
              <c:strCache>
                <c:ptCount val="12"/>
                <c:pt idx="0">
                  <c:v>2015 Jan-Mar</c:v>
                </c:pt>
                <c:pt idx="1">
                  <c:v>2015 Apr-Jun</c:v>
                </c:pt>
                <c:pt idx="2">
                  <c:v>2015 Jul-Sep</c:v>
                </c:pt>
                <c:pt idx="3">
                  <c:v>2015 Oct-Dec</c:v>
                </c:pt>
                <c:pt idx="4">
                  <c:v>2016 Jan-Mar</c:v>
                </c:pt>
                <c:pt idx="5">
                  <c:v>2016 Apr-Jun</c:v>
                </c:pt>
                <c:pt idx="6">
                  <c:v>2016 Jul-Sep</c:v>
                </c:pt>
                <c:pt idx="7">
                  <c:v>2016 Oct-Dec</c:v>
                </c:pt>
                <c:pt idx="8">
                  <c:v>2017 Jan-Mar</c:v>
                </c:pt>
                <c:pt idx="9">
                  <c:v>2017 Apr-Jun</c:v>
                </c:pt>
                <c:pt idx="10">
                  <c:v>2017 Jul-Sep</c:v>
                </c:pt>
                <c:pt idx="11">
                  <c:v>2017 Oct-Dec</c:v>
                </c:pt>
              </c:strCache>
            </c:strRef>
          </c:cat>
          <c:val>
            <c:numRef>
              <c:extLst>
                <c:ext xmlns:c15="http://schemas.microsoft.com/office/drawing/2012/chart" uri="{02D57815-91ED-43cb-92C2-25804820EDAC}">
                  <c15:fullRef>
                    <c15:sqref>('1 EA 2 Data Sheet'!$N$166:$AE$166,'1 EA 2 Data Sheet'!$AF$166,'1 EA 2 Data Sheet'!$AG$166)</c15:sqref>
                  </c15:fullRef>
                </c:ext>
              </c:extLst>
              <c:f>('1 EA 2 Data Sheet'!$N$166:$R$166,'1 EA 2 Data Sheet'!$V$166:$AE$166,'1 EA 2 Data Sheet'!$AF$166,'1 EA 2 Data Sheet'!$AG$166)</c:f>
              <c:numCache>
                <c:formatCode>General</c:formatCode>
                <c:ptCount val="12"/>
                <c:pt idx="0">
                  <c:v>23</c:v>
                </c:pt>
                <c:pt idx="1">
                  <c:v>28</c:v>
                </c:pt>
                <c:pt idx="2">
                  <c:v>39</c:v>
                </c:pt>
                <c:pt idx="3">
                  <c:v>19</c:v>
                </c:pt>
                <c:pt idx="4">
                  <c:v>19</c:v>
                </c:pt>
                <c:pt idx="5">
                  <c:v>25</c:v>
                </c:pt>
                <c:pt idx="6">
                  <c:v>30</c:v>
                </c:pt>
                <c:pt idx="7">
                  <c:v>19</c:v>
                </c:pt>
                <c:pt idx="8">
                  <c:v>19</c:v>
                </c:pt>
                <c:pt idx="9">
                  <c:v>26</c:v>
                </c:pt>
                <c:pt idx="10">
                  <c:v>22</c:v>
                </c:pt>
                <c:pt idx="11">
                  <c:v>9</c:v>
                </c:pt>
              </c:numCache>
            </c:numRef>
          </c:val>
          <c:smooth val="0"/>
        </c:ser>
        <c:dLbls>
          <c:showLegendKey val="0"/>
          <c:showVal val="0"/>
          <c:showCatName val="0"/>
          <c:showSerName val="0"/>
          <c:showPercent val="0"/>
          <c:showBubbleSize val="0"/>
        </c:dLbls>
        <c:marker val="1"/>
        <c:smooth val="0"/>
        <c:axId val="480176392"/>
        <c:axId val="480176784"/>
      </c:lineChart>
      <c:catAx>
        <c:axId val="480176392"/>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80176784"/>
        <c:crosses val="autoZero"/>
        <c:auto val="1"/>
        <c:lblAlgn val="ctr"/>
        <c:lblOffset val="100"/>
        <c:noMultiLvlLbl val="0"/>
      </c:catAx>
      <c:valAx>
        <c:axId val="480176784"/>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80176392"/>
        <c:crosses val="autoZero"/>
        <c:crossBetween val="between"/>
      </c:valAx>
    </c:plotArea>
    <c:plotVisOnly val="1"/>
    <c:dispBlanksAs val="gap"/>
    <c:showDLblsOverMax val="0"/>
  </c:chart>
  <c:spPr>
    <a:noFill/>
    <a:ln>
      <a:noFill/>
    </a:ln>
  </c:spPr>
  <c:printSettings>
    <c:headerFooter/>
    <c:pageMargins b="0.75000000000000744" l="0.70000000000000062" r="0.70000000000000062" t="0.75000000000000744"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chart" Target="../charts/chart17.xml"/><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chart" Target="../charts/chart19.xml"/><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chart" Target="../charts/chart21.xml"/><Relationship Id="rId1" Type="http://schemas.openxmlformats.org/officeDocument/2006/relationships/chart" Target="../charts/chart20.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chart" Target="../charts/chart24.xml"/></Relationships>
</file>

<file path=xl/drawings/_rels/drawing22.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chart" Target="../charts/chart26.xml"/><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chart" Target="../charts/chart28.xml"/><Relationship Id="rId1" Type="http://schemas.openxmlformats.org/officeDocument/2006/relationships/chart" Target="../charts/chart27.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2.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image" Target="../media/image5.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image" Target="../media/image4.png"/><Relationship Id="rId5" Type="http://schemas.openxmlformats.org/officeDocument/2006/relationships/chart" Target="../charts/chart7.xml"/><Relationship Id="rId10" Type="http://schemas.openxmlformats.org/officeDocument/2006/relationships/image" Target="../media/image3.png"/><Relationship Id="rId4" Type="http://schemas.openxmlformats.org/officeDocument/2006/relationships/chart" Target="../charts/chart6.xml"/><Relationship Id="rId9"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32279</xdr:colOff>
      <xdr:row>0</xdr:row>
      <xdr:rowOff>86678</xdr:rowOff>
    </xdr:from>
    <xdr:to>
      <xdr:col>19</xdr:col>
      <xdr:colOff>447674</xdr:colOff>
      <xdr:row>3</xdr:row>
      <xdr:rowOff>23812</xdr:rowOff>
    </xdr:to>
    <xdr:sp macro="" textlink="">
      <xdr:nvSpPr>
        <xdr:cNvPr id="2" name="Rectangle 12"/>
        <xdr:cNvSpPr>
          <a:spLocks noChangeArrowheads="1"/>
        </xdr:cNvSpPr>
      </xdr:nvSpPr>
      <xdr:spPr bwMode="auto">
        <a:xfrm>
          <a:off x="779039" y="86678"/>
          <a:ext cx="13857075" cy="508634"/>
        </a:xfrm>
        <a:prstGeom prst="rect">
          <a:avLst/>
        </a:prstGeom>
        <a:solidFill>
          <a:srgbClr val="00AF41"/>
        </a:solidFill>
        <a:ln w="3175">
          <a:noFill/>
          <a:miter lim="800000"/>
          <a:headEnd/>
          <a:tailEnd/>
        </a:ln>
      </xdr:spPr>
    </xdr:sp>
    <xdr:clientData/>
  </xdr:twoCellAnchor>
  <xdr:twoCellAnchor>
    <xdr:from>
      <xdr:col>1</xdr:col>
      <xdr:colOff>82388</xdr:colOff>
      <xdr:row>0</xdr:row>
      <xdr:rowOff>62388</xdr:rowOff>
    </xdr:from>
    <xdr:to>
      <xdr:col>23</xdr:col>
      <xdr:colOff>35717</xdr:colOff>
      <xdr:row>3</xdr:row>
      <xdr:rowOff>142875</xdr:rowOff>
    </xdr:to>
    <xdr:sp macro="" textlink="">
      <xdr:nvSpPr>
        <xdr:cNvPr id="3" name="Text Box 8"/>
        <xdr:cNvSpPr txBox="1">
          <a:spLocks noChangeArrowheads="1"/>
        </xdr:cNvSpPr>
      </xdr:nvSpPr>
      <xdr:spPr bwMode="auto">
        <a:xfrm>
          <a:off x="829148" y="62388"/>
          <a:ext cx="16382049" cy="651987"/>
        </a:xfrm>
        <a:prstGeom prst="rect">
          <a:avLst/>
        </a:prstGeom>
        <a:noFill/>
        <a:ln w="9525">
          <a:noFill/>
          <a:miter lim="800000"/>
          <a:headEnd/>
          <a:tailEnd/>
        </a:ln>
      </xdr:spPr>
      <xdr:txBody>
        <a:bodyPr vertOverflow="clip" wrap="square" lIns="36000" tIns="0" rIns="0" bIns="59436" anchor="ctr" upright="1"/>
        <a:lstStyle/>
        <a:p>
          <a:pPr algn="l" rtl="0">
            <a:defRPr sz="1000"/>
          </a:pPr>
          <a:r>
            <a:rPr lang="en-GB" sz="2400" b="1" i="0" u="none" strike="noStrike" baseline="0">
              <a:solidFill>
                <a:schemeClr val="bg1"/>
              </a:solidFill>
              <a:latin typeface="+mn-lt"/>
              <a:cs typeface="Arial"/>
            </a:rPr>
            <a:t>Environment Agency</a:t>
          </a:r>
        </a:p>
        <a:p>
          <a:pPr algn="l" rtl="0">
            <a:defRPr sz="1000"/>
          </a:pPr>
          <a:r>
            <a:rPr lang="en-GB" sz="2400" b="1" i="0" u="none" strike="noStrike" baseline="0">
              <a:solidFill>
                <a:schemeClr val="bg1"/>
              </a:solidFill>
              <a:latin typeface="+mn-lt"/>
              <a:cs typeface="Arial"/>
            </a:rPr>
            <a:t>Corporate scorecard 2017 to 2018</a:t>
          </a:r>
          <a:endParaRPr lang="en-GB" sz="3200" b="1" i="0" u="none" strike="noStrike" baseline="0">
            <a:solidFill>
              <a:schemeClr val="bg1"/>
            </a:solidFill>
            <a:latin typeface="Arial"/>
            <a:cs typeface="Arial"/>
          </a:endParaRPr>
        </a:p>
      </xdr:txBody>
    </xdr:sp>
    <xdr:clientData/>
  </xdr:twoCellAnchor>
  <xdr:twoCellAnchor>
    <xdr:from>
      <xdr:col>16</xdr:col>
      <xdr:colOff>101600</xdr:colOff>
      <xdr:row>0</xdr:row>
      <xdr:rowOff>88900</xdr:rowOff>
    </xdr:from>
    <xdr:to>
      <xdr:col>18</xdr:col>
      <xdr:colOff>0</xdr:colOff>
      <xdr:row>1</xdr:row>
      <xdr:rowOff>0</xdr:rowOff>
    </xdr:to>
    <xdr:sp macro="" textlink="">
      <xdr:nvSpPr>
        <xdr:cNvPr id="4" name="TextBox 3"/>
        <xdr:cNvSpPr txBox="1"/>
      </xdr:nvSpPr>
      <xdr:spPr>
        <a:xfrm>
          <a:off x="12049760" y="88900"/>
          <a:ext cx="1391920"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3</xdr:col>
      <xdr:colOff>3695700</xdr:colOff>
      <xdr:row>0</xdr:row>
      <xdr:rowOff>80963</xdr:rowOff>
    </xdr:from>
    <xdr:to>
      <xdr:col>11</xdr:col>
      <xdr:colOff>66674</xdr:colOff>
      <xdr:row>2</xdr:row>
      <xdr:rowOff>200025</xdr:rowOff>
    </xdr:to>
    <xdr:sp macro="" textlink="">
      <xdr:nvSpPr>
        <xdr:cNvPr id="5" name="TextBox 4"/>
        <xdr:cNvSpPr txBox="1"/>
      </xdr:nvSpPr>
      <xdr:spPr>
        <a:xfrm>
          <a:off x="5105400" y="80963"/>
          <a:ext cx="2552699" cy="57626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lang="en-GB" sz="1400" b="1">
              <a:solidFill>
                <a:schemeClr val="bg1"/>
              </a:solidFill>
              <a:latin typeface="+mn-lt"/>
            </a:rPr>
            <a:t>Quarter</a:t>
          </a:r>
          <a:r>
            <a:rPr lang="en-GB" sz="1400" b="1" baseline="0">
              <a:solidFill>
                <a:schemeClr val="bg1"/>
              </a:solidFill>
            </a:rPr>
            <a:t> 3 - Year to date</a:t>
          </a:r>
        </a:p>
        <a:p>
          <a:pPr algn="ctr"/>
          <a:r>
            <a:rPr lang="en-GB" sz="1400" b="1" baseline="0">
              <a:solidFill>
                <a:schemeClr val="bg1"/>
              </a:solidFill>
            </a:rPr>
            <a:t>October 2017 - December 2017</a:t>
          </a:r>
        </a:p>
      </xdr:txBody>
    </xdr:sp>
    <xdr:clientData/>
  </xdr:twoCellAnchor>
  <xdr:twoCellAnchor>
    <xdr:from>
      <xdr:col>10</xdr:col>
      <xdr:colOff>101600</xdr:colOff>
      <xdr:row>0</xdr:row>
      <xdr:rowOff>88900</xdr:rowOff>
    </xdr:from>
    <xdr:to>
      <xdr:col>12</xdr:col>
      <xdr:colOff>0</xdr:colOff>
      <xdr:row>1</xdr:row>
      <xdr:rowOff>0</xdr:rowOff>
    </xdr:to>
    <xdr:sp macro="" textlink="">
      <xdr:nvSpPr>
        <xdr:cNvPr id="6" name="TextBox 5"/>
        <xdr:cNvSpPr txBox="1"/>
      </xdr:nvSpPr>
      <xdr:spPr>
        <a:xfrm>
          <a:off x="7569200" y="88900"/>
          <a:ext cx="1391920"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14</xdr:col>
      <xdr:colOff>101600</xdr:colOff>
      <xdr:row>0</xdr:row>
      <xdr:rowOff>88900</xdr:rowOff>
    </xdr:from>
    <xdr:to>
      <xdr:col>16</xdr:col>
      <xdr:colOff>0</xdr:colOff>
      <xdr:row>1</xdr:row>
      <xdr:rowOff>0</xdr:rowOff>
    </xdr:to>
    <xdr:sp macro="" textlink="">
      <xdr:nvSpPr>
        <xdr:cNvPr id="7" name="TextBox 6"/>
        <xdr:cNvSpPr txBox="1"/>
      </xdr:nvSpPr>
      <xdr:spPr>
        <a:xfrm>
          <a:off x="10556240" y="88900"/>
          <a:ext cx="1391920"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12</xdr:col>
      <xdr:colOff>101600</xdr:colOff>
      <xdr:row>0</xdr:row>
      <xdr:rowOff>88900</xdr:rowOff>
    </xdr:from>
    <xdr:to>
      <xdr:col>14</xdr:col>
      <xdr:colOff>0</xdr:colOff>
      <xdr:row>1</xdr:row>
      <xdr:rowOff>0</xdr:rowOff>
    </xdr:to>
    <xdr:sp macro="" textlink="">
      <xdr:nvSpPr>
        <xdr:cNvPr id="8" name="TextBox 7"/>
        <xdr:cNvSpPr txBox="1"/>
      </xdr:nvSpPr>
      <xdr:spPr>
        <a:xfrm>
          <a:off x="9062720" y="88900"/>
          <a:ext cx="1391920"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oneCellAnchor>
    <xdr:from>
      <xdr:col>13</xdr:col>
      <xdr:colOff>416715</xdr:colOff>
      <xdr:row>0</xdr:row>
      <xdr:rowOff>119064</xdr:rowOff>
    </xdr:from>
    <xdr:ext cx="2416967" cy="686040"/>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24595" y="119064"/>
          <a:ext cx="2416967" cy="68604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38191</xdr:colOff>
      <xdr:row>9</xdr:row>
      <xdr:rowOff>43655</xdr:rowOff>
    </xdr:from>
    <xdr:to>
      <xdr:col>5</xdr:col>
      <xdr:colOff>790575</xdr:colOff>
      <xdr:row>37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66675</xdr:rowOff>
    </xdr:from>
    <xdr:to>
      <xdr:col>8</xdr:col>
      <xdr:colOff>727075</xdr:colOff>
      <xdr:row>5</xdr:row>
      <xdr:rowOff>66675</xdr:rowOff>
    </xdr:to>
    <xdr:sp macro="" textlink="">
      <xdr:nvSpPr>
        <xdr:cNvPr id="3" name="TextBox 2"/>
        <xdr:cNvSpPr txBox="1"/>
      </xdr:nvSpPr>
      <xdr:spPr>
        <a:xfrm>
          <a:off x="0" y="66675"/>
          <a:ext cx="6918325" cy="952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4 A nation better protected against floods, animal and plant diseases and </a:t>
          </a:r>
        </a:p>
        <a:p>
          <a:r>
            <a:rPr lang="en-GB" sz="1050" b="1">
              <a:solidFill>
                <a:schemeClr val="bg1"/>
              </a:solidFill>
            </a:rPr>
            <a:t>other hazards, with strong response and recovery capabilities</a:t>
          </a:r>
        </a:p>
        <a:p>
          <a:r>
            <a:rPr lang="en-GB" sz="1400" b="1">
              <a:solidFill>
                <a:schemeClr val="bg1"/>
              </a:solidFill>
              <a:latin typeface="+mn-lt"/>
            </a:rPr>
            <a:t>4 </a:t>
          </a:r>
          <a:r>
            <a:rPr lang="en-GB" sz="1400" b="1" baseline="0">
              <a:solidFill>
                <a:schemeClr val="bg1"/>
              </a:solidFill>
              <a:latin typeface="+mn-lt"/>
            </a:rPr>
            <a:t>EA 5</a:t>
          </a:r>
          <a:r>
            <a:rPr lang="en-GB" sz="1400" b="1">
              <a:solidFill>
                <a:schemeClr val="bg1"/>
              </a:solidFill>
              <a:latin typeface="+mn-lt"/>
            </a:rPr>
            <a:t>  We reduce the risk from flooding to more households</a:t>
          </a:r>
          <a:endParaRPr lang="en-GB" sz="900" b="1">
            <a:solidFill>
              <a:schemeClr val="bg1"/>
            </a:solidFill>
            <a:latin typeface="+mn-lt"/>
          </a:endParaRPr>
        </a:p>
        <a:p>
          <a:endParaRPr lang="en-GB" sz="900" b="1">
            <a:solidFill>
              <a:schemeClr val="bg1"/>
            </a:solidFill>
            <a:latin typeface="+mn-lt"/>
          </a:endParaRPr>
        </a:p>
        <a:p>
          <a:r>
            <a:rPr lang="en-GB" sz="1050" b="1">
              <a:solidFill>
                <a:schemeClr val="bg1"/>
              </a:solidFill>
              <a:latin typeface="+mn-lt"/>
            </a:rPr>
            <a:t>Q3</a:t>
          </a:r>
          <a:r>
            <a:rPr lang="en-GB" sz="1050" b="1" baseline="0">
              <a:solidFill>
                <a:schemeClr val="bg1"/>
              </a:solidFill>
              <a:latin typeface="+mn-lt"/>
            </a:rPr>
            <a:t> 2017-18        Owners: Executive Directors of FCRM and Operations</a:t>
          </a:r>
          <a:endParaRPr lang="en-GB" sz="1050" b="1">
            <a:solidFill>
              <a:schemeClr val="bg1"/>
            </a:solidFill>
            <a:latin typeface="+mn-lt"/>
          </a:endParaRPr>
        </a:p>
      </xdr:txBody>
    </xdr:sp>
    <xdr:clientData/>
  </xdr:twoCellAnchor>
  <xdr:twoCellAnchor>
    <xdr:from>
      <xdr:col>1</xdr:col>
      <xdr:colOff>676275</xdr:colOff>
      <xdr:row>14</xdr:row>
      <xdr:rowOff>19050</xdr:rowOff>
    </xdr:from>
    <xdr:to>
      <xdr:col>1</xdr:col>
      <xdr:colOff>704850</xdr:colOff>
      <xdr:row>15</xdr:row>
      <xdr:rowOff>133352</xdr:rowOff>
    </xdr:to>
    <xdr:cxnSp macro="">
      <xdr:nvCxnSpPr>
        <xdr:cNvPr id="4" name="Straight Arrow Connector 3"/>
        <xdr:cNvCxnSpPr/>
      </xdr:nvCxnSpPr>
      <xdr:spPr>
        <a:xfrm flipV="1">
          <a:off x="1438275" y="2876550"/>
          <a:ext cx="28575" cy="30480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457200</xdr:colOff>
      <xdr:row>2</xdr:row>
      <xdr:rowOff>7280</xdr:rowOff>
    </xdr:from>
    <xdr:to>
      <xdr:col>8</xdr:col>
      <xdr:colOff>657225</xdr:colOff>
      <xdr:row>4</xdr:row>
      <xdr:rowOff>102846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24450" y="388280"/>
          <a:ext cx="1724025" cy="476566"/>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0.16615</cdr:x>
      <cdr:y>0.02251</cdr:y>
    </cdr:from>
    <cdr:to>
      <cdr:x>0.34278</cdr:x>
      <cdr:y>0.23648</cdr:y>
    </cdr:to>
    <cdr:sp macro="" textlink="">
      <cdr:nvSpPr>
        <cdr:cNvPr id="2" name="TextBox 1"/>
        <cdr:cNvSpPr txBox="1"/>
      </cdr:nvSpPr>
      <cdr:spPr>
        <a:xfrm xmlns:a="http://schemas.openxmlformats.org/drawingml/2006/main">
          <a:off x="725713" y="61119"/>
          <a:ext cx="7715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0.22308</cdr:x>
      <cdr:y>0.25615</cdr:y>
    </cdr:from>
    <cdr:to>
      <cdr:x>0.5896</cdr:x>
      <cdr:y>0.47608</cdr:y>
    </cdr:to>
    <cdr:sp macro="" textlink="">
      <cdr:nvSpPr>
        <cdr:cNvPr id="3" name="TextBox 2"/>
        <cdr:cNvSpPr txBox="1"/>
      </cdr:nvSpPr>
      <cdr:spPr>
        <a:xfrm xmlns:a="http://schemas.openxmlformats.org/drawingml/2006/main">
          <a:off x="1017787" y="1052597"/>
          <a:ext cx="1672205" cy="9037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solidFill>
                <a:sysClr val="windowText" lastClr="000000"/>
              </a:solidFill>
            </a:rPr>
            <a:t>6 year target to be met by the end of the financial year 2020/21</a:t>
          </a:r>
        </a:p>
      </cdr:txBody>
    </cdr:sp>
  </cdr:relSizeAnchor>
  <cdr:relSizeAnchor xmlns:cdr="http://schemas.openxmlformats.org/drawingml/2006/chartDrawing">
    <cdr:from>
      <cdr:x>0.43698</cdr:x>
      <cdr:y>0.42753</cdr:y>
    </cdr:from>
    <cdr:to>
      <cdr:x>0.71851</cdr:x>
      <cdr:y>0.62501</cdr:y>
    </cdr:to>
    <cdr:sp macro="" textlink="">
      <cdr:nvSpPr>
        <cdr:cNvPr id="4" name="TextBox 1"/>
        <cdr:cNvSpPr txBox="1"/>
      </cdr:nvSpPr>
      <cdr:spPr>
        <a:xfrm xmlns:a="http://schemas.openxmlformats.org/drawingml/2006/main">
          <a:off x="1993683" y="1756810"/>
          <a:ext cx="1284448" cy="8114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50">
              <a:solidFill>
                <a:sysClr val="windowText" lastClr="000000"/>
              </a:solidFill>
            </a:rPr>
            <a:t>17/18 programme cumulative target (140,000)</a:t>
          </a:r>
        </a:p>
      </cdr:txBody>
    </cdr:sp>
  </cdr:relSizeAnchor>
  <cdr:relSizeAnchor xmlns:cdr="http://schemas.openxmlformats.org/drawingml/2006/chartDrawing">
    <cdr:from>
      <cdr:x>0.70772</cdr:x>
      <cdr:y>0.46919</cdr:y>
    </cdr:from>
    <cdr:to>
      <cdr:x>0.89784</cdr:x>
      <cdr:y>0.54241</cdr:y>
    </cdr:to>
    <cdr:cxnSp macro="">
      <cdr:nvCxnSpPr>
        <cdr:cNvPr id="5" name="Straight Arrow Connector 4"/>
        <cdr:cNvCxnSpPr/>
      </cdr:nvCxnSpPr>
      <cdr:spPr>
        <a:xfrm xmlns:a="http://schemas.openxmlformats.org/drawingml/2006/main">
          <a:off x="3228884" y="1928019"/>
          <a:ext cx="867400" cy="300886"/>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xdr:from>
      <xdr:col>0</xdr:col>
      <xdr:colOff>26762</xdr:colOff>
      <xdr:row>9</xdr:row>
      <xdr:rowOff>190500</xdr:rowOff>
    </xdr:from>
    <xdr:to>
      <xdr:col>5</xdr:col>
      <xdr:colOff>973455</xdr:colOff>
      <xdr:row>24</xdr:row>
      <xdr:rowOff>167640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57149</xdr:rowOff>
    </xdr:from>
    <xdr:to>
      <xdr:col>8</xdr:col>
      <xdr:colOff>727075</xdr:colOff>
      <xdr:row>6</xdr:row>
      <xdr:rowOff>95250</xdr:rowOff>
    </xdr:to>
    <xdr:sp macro="" textlink="">
      <xdr:nvSpPr>
        <xdr:cNvPr id="3" name="TextBox 2"/>
        <xdr:cNvSpPr txBox="1"/>
      </xdr:nvSpPr>
      <xdr:spPr>
        <a:xfrm>
          <a:off x="0" y="57149"/>
          <a:ext cx="7108825" cy="11811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4 A nation better protected against floods, animal and plant diseases and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other hazards, with strong response and recovery capabilities</a:t>
          </a:r>
        </a:p>
        <a:p>
          <a:r>
            <a:rPr lang="en-GB" sz="1400" b="1">
              <a:solidFill>
                <a:schemeClr val="bg1"/>
              </a:solidFill>
              <a:latin typeface="+mn-lt"/>
            </a:rPr>
            <a:t>4 </a:t>
          </a:r>
          <a:r>
            <a:rPr lang="en-GB" sz="1400" b="1" baseline="0">
              <a:solidFill>
                <a:schemeClr val="bg1"/>
              </a:solidFill>
              <a:latin typeface="+mn-lt"/>
            </a:rPr>
            <a:t>EA 6</a:t>
          </a:r>
          <a:r>
            <a:rPr lang="en-GB" sz="1400" b="1">
              <a:solidFill>
                <a:schemeClr val="bg1"/>
              </a:solidFill>
              <a:latin typeface="+mn-lt"/>
            </a:rPr>
            <a:t> We maintain our flood</a:t>
          </a:r>
          <a:r>
            <a:rPr lang="en-GB" sz="1400" b="1" baseline="0">
              <a:solidFill>
                <a:schemeClr val="bg1"/>
              </a:solidFill>
              <a:latin typeface="+mn-lt"/>
            </a:rPr>
            <a:t> and coastal risk management assets </a:t>
          </a:r>
        </a:p>
        <a:p>
          <a:r>
            <a:rPr lang="en-GB" sz="1400" b="1" baseline="0">
              <a:solidFill>
                <a:schemeClr val="bg1"/>
              </a:solidFill>
              <a:latin typeface="+mn-lt"/>
            </a:rPr>
            <a:t>at or above the  target condition</a:t>
          </a:r>
          <a:endParaRPr lang="en-GB" sz="1000" b="1">
            <a:solidFill>
              <a:schemeClr val="bg1"/>
            </a:solidFill>
            <a:latin typeface="+mn-lt"/>
          </a:endParaRPr>
        </a:p>
        <a:p>
          <a:endParaRPr lang="en-GB" sz="800" b="1">
            <a:solidFill>
              <a:schemeClr val="bg1"/>
            </a:solidFill>
            <a:latin typeface="+mn-lt"/>
          </a:endParaRPr>
        </a:p>
        <a:p>
          <a:r>
            <a:rPr lang="en-GB" sz="1050" b="1">
              <a:solidFill>
                <a:schemeClr val="bg1"/>
              </a:solidFill>
              <a:latin typeface="+mn-lt"/>
            </a:rPr>
            <a:t>Q3</a:t>
          </a:r>
          <a:r>
            <a:rPr lang="en-GB" sz="1050" b="1" baseline="0">
              <a:solidFill>
                <a:schemeClr val="bg1"/>
              </a:solidFill>
              <a:latin typeface="+mn-lt"/>
            </a:rPr>
            <a:t> 2017-18           Owners: Executive Directors of FCRM and Operations</a:t>
          </a:r>
          <a:endParaRPr lang="en-GB" sz="1050" b="1">
            <a:solidFill>
              <a:schemeClr val="bg1"/>
            </a:solidFill>
            <a:latin typeface="+mn-lt"/>
          </a:endParaRPr>
        </a:p>
      </xdr:txBody>
    </xdr:sp>
    <xdr:clientData/>
  </xdr:twoCellAnchor>
  <xdr:twoCellAnchor>
    <xdr:from>
      <xdr:col>0</xdr:col>
      <xdr:colOff>38100</xdr:colOff>
      <xdr:row>26</xdr:row>
      <xdr:rowOff>58615</xdr:rowOff>
    </xdr:from>
    <xdr:to>
      <xdr:col>5</xdr:col>
      <xdr:colOff>988695</xdr:colOff>
      <xdr:row>40</xdr:row>
      <xdr:rowOff>361950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493395</xdr:colOff>
      <xdr:row>10</xdr:row>
      <xdr:rowOff>0</xdr:rowOff>
    </xdr:from>
    <xdr:to>
      <xdr:col>1</xdr:col>
      <xdr:colOff>645795</xdr:colOff>
      <xdr:row>11</xdr:row>
      <xdr:rowOff>57150</xdr:rowOff>
    </xdr:to>
    <xdr:sp macro="" textlink="">
      <xdr:nvSpPr>
        <xdr:cNvPr id="5" name="TextBox 4"/>
        <xdr:cNvSpPr txBox="1"/>
      </xdr:nvSpPr>
      <xdr:spPr>
        <a:xfrm>
          <a:off x="493395" y="2038350"/>
          <a:ext cx="9048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a:solidFill>
                <a:sysClr val="windowText" lastClr="000000"/>
              </a:solidFill>
            </a:rPr>
            <a:t>Target</a:t>
          </a:r>
        </a:p>
      </xdr:txBody>
    </xdr:sp>
    <xdr:clientData/>
  </xdr:twoCellAnchor>
  <xdr:twoCellAnchor>
    <xdr:from>
      <xdr:col>1</xdr:col>
      <xdr:colOff>215265</xdr:colOff>
      <xdr:row>10</xdr:row>
      <xdr:rowOff>148590</xdr:rowOff>
    </xdr:from>
    <xdr:to>
      <xdr:col>1</xdr:col>
      <xdr:colOff>310515</xdr:colOff>
      <xdr:row>11</xdr:row>
      <xdr:rowOff>91440</xdr:rowOff>
    </xdr:to>
    <xdr:cxnSp macro="">
      <xdr:nvCxnSpPr>
        <xdr:cNvPr id="6" name="Straight Arrow Connector 5"/>
        <xdr:cNvCxnSpPr/>
      </xdr:nvCxnSpPr>
      <xdr:spPr>
        <a:xfrm>
          <a:off x="977265" y="2186940"/>
          <a:ext cx="95250" cy="1428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590550</xdr:colOff>
      <xdr:row>2</xdr:row>
      <xdr:rowOff>133350</xdr:rowOff>
    </xdr:from>
    <xdr:to>
      <xdr:col>8</xdr:col>
      <xdr:colOff>579459</xdr:colOff>
      <xdr:row>4</xdr:row>
      <xdr:rowOff>170558</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48300" y="514350"/>
          <a:ext cx="1512909" cy="41820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38100</xdr:rowOff>
    </xdr:from>
    <xdr:to>
      <xdr:col>8</xdr:col>
      <xdr:colOff>727075</xdr:colOff>
      <xdr:row>5</xdr:row>
      <xdr:rowOff>38100</xdr:rowOff>
    </xdr:to>
    <xdr:sp macro="" textlink="">
      <xdr:nvSpPr>
        <xdr:cNvPr id="2" name="TextBox 1"/>
        <xdr:cNvSpPr txBox="1"/>
      </xdr:nvSpPr>
      <xdr:spPr>
        <a:xfrm>
          <a:off x="0" y="38100"/>
          <a:ext cx="7023100" cy="10668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4 A nation better protected against floods, animal and plant diseases and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other hazards, with strong response and recovery capabilities</a:t>
          </a:r>
        </a:p>
        <a:p>
          <a:endParaRPr lang="en-GB" sz="200" b="1">
            <a:solidFill>
              <a:schemeClr val="bg1"/>
            </a:solidFill>
            <a:latin typeface="+mn-lt"/>
          </a:endParaRPr>
        </a:p>
        <a:p>
          <a:r>
            <a:rPr lang="en-GB" sz="1400" b="1">
              <a:solidFill>
                <a:schemeClr val="bg1"/>
              </a:solidFill>
              <a:latin typeface="+mn-lt"/>
            </a:rPr>
            <a:t>4 </a:t>
          </a:r>
          <a:r>
            <a:rPr lang="en-GB" sz="1400" b="1" baseline="0">
              <a:solidFill>
                <a:schemeClr val="bg1"/>
              </a:solidFill>
              <a:latin typeface="+mn-lt"/>
            </a:rPr>
            <a:t>EA 7</a:t>
          </a:r>
          <a:r>
            <a:rPr lang="en-GB" sz="1400" b="1">
              <a:solidFill>
                <a:schemeClr val="bg1"/>
              </a:solidFill>
              <a:latin typeface="+mn-lt"/>
            </a:rPr>
            <a:t>  We have a first class incident response capability</a:t>
          </a:r>
        </a:p>
        <a:p>
          <a:endParaRPr lang="en-GB" sz="800" b="1">
            <a:solidFill>
              <a:schemeClr val="accent1">
                <a:lumMod val="50000"/>
              </a:schemeClr>
            </a:solidFill>
            <a:latin typeface="+mn-lt"/>
          </a:endParaRPr>
        </a:p>
        <a:p>
          <a:r>
            <a:rPr lang="en-GB" sz="1050" b="1">
              <a:solidFill>
                <a:schemeClr val="bg1"/>
              </a:solidFill>
              <a:latin typeface="+mn-lt"/>
            </a:rPr>
            <a:t>Q3 </a:t>
          </a:r>
          <a:r>
            <a:rPr lang="en-GB" sz="1050" b="1" baseline="0">
              <a:solidFill>
                <a:schemeClr val="bg1"/>
              </a:solidFill>
              <a:latin typeface="+mn-lt"/>
            </a:rPr>
            <a:t>2017-18                              Owners: Executive Directors of FCRM and Operations</a:t>
          </a:r>
          <a:endParaRPr lang="en-GB" sz="1050" b="1">
            <a:solidFill>
              <a:schemeClr val="bg1"/>
            </a:solidFill>
            <a:latin typeface="+mn-lt"/>
          </a:endParaRPr>
        </a:p>
      </xdr:txBody>
    </xdr:sp>
    <xdr:clientData/>
  </xdr:twoCellAnchor>
  <xdr:twoCellAnchor>
    <xdr:from>
      <xdr:col>0</xdr:col>
      <xdr:colOff>121920</xdr:colOff>
      <xdr:row>11</xdr:row>
      <xdr:rowOff>190500</xdr:rowOff>
    </xdr:from>
    <xdr:to>
      <xdr:col>5</xdr:col>
      <xdr:colOff>443866</xdr:colOff>
      <xdr:row>26</xdr:row>
      <xdr:rowOff>11430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213360</xdr:colOff>
      <xdr:row>29</xdr:row>
      <xdr:rowOff>45719</xdr:rowOff>
    </xdr:from>
    <xdr:to>
      <xdr:col>5</xdr:col>
      <xdr:colOff>293370</xdr:colOff>
      <xdr:row>41</xdr:row>
      <xdr:rowOff>167640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342900</xdr:colOff>
      <xdr:row>1</xdr:row>
      <xdr:rowOff>163736</xdr:rowOff>
    </xdr:from>
    <xdr:to>
      <xdr:col>8</xdr:col>
      <xdr:colOff>485775</xdr:colOff>
      <xdr:row>4</xdr:row>
      <xdr:rowOff>37207</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62550" y="354236"/>
          <a:ext cx="1619250" cy="444971"/>
        </a:xfrm>
        <a:prstGeom prst="rect">
          <a:avLst/>
        </a:prstGeom>
      </xdr:spPr>
    </xdr:pic>
    <xdr:clientData/>
  </xdr:twoCellAnchor>
</xdr:wsDr>
</file>

<file path=xl/drawings/drawing14.xml><?xml version="1.0" encoding="utf-8"?>
<c:userShapes xmlns:c="http://schemas.openxmlformats.org/drawingml/2006/chart">
  <cdr:relSizeAnchor xmlns:cdr="http://schemas.openxmlformats.org/drawingml/2006/chartDrawing">
    <cdr:from>
      <cdr:x>0.39065</cdr:x>
      <cdr:y>0.02256</cdr:y>
    </cdr:from>
    <cdr:to>
      <cdr:x>0.57926</cdr:x>
      <cdr:y>0.10667</cdr:y>
    </cdr:to>
    <cdr:sp macro="" textlink="">
      <cdr:nvSpPr>
        <cdr:cNvPr id="2" name="TextBox 7"/>
        <cdr:cNvSpPr txBox="1"/>
      </cdr:nvSpPr>
      <cdr:spPr>
        <a:xfrm xmlns:a="http://schemas.openxmlformats.org/drawingml/2006/main">
          <a:off x="1688556" y="60766"/>
          <a:ext cx="815257" cy="2265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50">
              <a:solidFill>
                <a:sysClr val="windowText" lastClr="000000"/>
              </a:solidFill>
            </a:rPr>
            <a:t>Targets</a:t>
          </a:r>
        </a:p>
      </cdr:txBody>
    </cdr:sp>
  </cdr:relSizeAnchor>
  <cdr:relSizeAnchor xmlns:cdr="http://schemas.openxmlformats.org/drawingml/2006/chartDrawing">
    <cdr:from>
      <cdr:x>0.51389</cdr:x>
      <cdr:y>0.09803</cdr:y>
    </cdr:from>
    <cdr:to>
      <cdr:x>0.56912</cdr:x>
      <cdr:y>0.21835</cdr:y>
    </cdr:to>
    <cdr:cxnSp macro="">
      <cdr:nvCxnSpPr>
        <cdr:cNvPr id="3" name="Straight Arrow Connector 2"/>
        <cdr:cNvCxnSpPr/>
      </cdr:nvCxnSpPr>
      <cdr:spPr>
        <a:xfrm xmlns:a="http://schemas.openxmlformats.org/drawingml/2006/main">
          <a:off x="2221250" y="264048"/>
          <a:ext cx="238728" cy="324103"/>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0.18467</cdr:x>
      <cdr:y>0</cdr:y>
    </cdr:from>
    <cdr:to>
      <cdr:x>0.37328</cdr:x>
      <cdr:y>0.09608</cdr:y>
    </cdr:to>
    <cdr:sp macro="" textlink="">
      <cdr:nvSpPr>
        <cdr:cNvPr id="2" name="TextBox 7"/>
        <cdr:cNvSpPr txBox="1"/>
      </cdr:nvSpPr>
      <cdr:spPr>
        <a:xfrm xmlns:a="http://schemas.openxmlformats.org/drawingml/2006/main">
          <a:off x="769363" y="0"/>
          <a:ext cx="785794" cy="23226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solidFill>
                <a:sysClr val="windowText" lastClr="000000"/>
              </a:solidFill>
            </a:rPr>
            <a:t>Targets</a:t>
          </a:r>
        </a:p>
      </cdr:txBody>
    </cdr:sp>
  </cdr:relSizeAnchor>
  <cdr:relSizeAnchor xmlns:cdr="http://schemas.openxmlformats.org/drawingml/2006/chartDrawing">
    <cdr:from>
      <cdr:x>0.31867</cdr:x>
      <cdr:y>0.07948</cdr:y>
    </cdr:from>
    <cdr:to>
      <cdr:x>0.43347</cdr:x>
      <cdr:y>0.09535</cdr:y>
    </cdr:to>
    <cdr:cxnSp macro="">
      <cdr:nvCxnSpPr>
        <cdr:cNvPr id="3" name="Straight Arrow Connector 2"/>
        <cdr:cNvCxnSpPr/>
      </cdr:nvCxnSpPr>
      <cdr:spPr>
        <a:xfrm xmlns:a="http://schemas.openxmlformats.org/drawingml/2006/main">
          <a:off x="1327654" y="192139"/>
          <a:ext cx="478286" cy="38367"/>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0</xdr:col>
      <xdr:colOff>13427</xdr:colOff>
      <xdr:row>10</xdr:row>
      <xdr:rowOff>85565</xdr:rowOff>
    </xdr:from>
    <xdr:to>
      <xdr:col>5</xdr:col>
      <xdr:colOff>666569</xdr:colOff>
      <xdr:row>26</xdr:row>
      <xdr:rowOff>99060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8</xdr:col>
      <xdr:colOff>866775</xdr:colOff>
      <xdr:row>5</xdr:row>
      <xdr:rowOff>182563</xdr:rowOff>
    </xdr:to>
    <xdr:sp macro="" textlink="">
      <xdr:nvSpPr>
        <xdr:cNvPr id="3" name="TextBox 2"/>
        <xdr:cNvSpPr txBox="1"/>
      </xdr:nvSpPr>
      <xdr:spPr>
        <a:xfrm>
          <a:off x="0" y="85725"/>
          <a:ext cx="7029450" cy="10493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5 Excellent delivery, on time and to budget and with outstanding value for money</a:t>
          </a:r>
        </a:p>
        <a:p>
          <a:endParaRPr lang="en-GB" sz="100" b="1">
            <a:solidFill>
              <a:schemeClr val="bg1"/>
            </a:solidFill>
            <a:latin typeface="+mn-lt"/>
          </a:endParaRPr>
        </a:p>
        <a:p>
          <a:r>
            <a:rPr lang="en-GB" sz="1400" b="1">
              <a:solidFill>
                <a:schemeClr val="bg1"/>
              </a:solidFill>
              <a:latin typeface="+mn-lt"/>
            </a:rPr>
            <a:t>5 EA 8  We</a:t>
          </a:r>
          <a:r>
            <a:rPr lang="en-GB" sz="1400" b="1" baseline="0">
              <a:solidFill>
                <a:schemeClr val="bg1"/>
              </a:solidFill>
              <a:latin typeface="+mn-lt"/>
            </a:rPr>
            <a:t> manage our money effectively to deliver our outcomes</a:t>
          </a:r>
          <a:endParaRPr lang="en-GB" sz="1000" b="1">
            <a:solidFill>
              <a:schemeClr val="bg1"/>
            </a:solidFill>
            <a:latin typeface="+mn-lt"/>
          </a:endParaRPr>
        </a:p>
        <a:p>
          <a:endParaRPr lang="en-GB" sz="1000" b="1">
            <a:solidFill>
              <a:schemeClr val="bg1"/>
            </a:solidFill>
            <a:latin typeface="+mn-lt"/>
          </a:endParaRPr>
        </a:p>
        <a:p>
          <a:endParaRPr lang="en-GB" sz="1050" b="1">
            <a:solidFill>
              <a:schemeClr val="bg1"/>
            </a:solidFill>
            <a:latin typeface="+mn-lt"/>
          </a:endParaRPr>
        </a:p>
        <a:p>
          <a:r>
            <a:rPr lang="en-GB" sz="1050" b="1">
              <a:solidFill>
                <a:schemeClr val="bg1"/>
              </a:solidFill>
              <a:latin typeface="+mn-lt"/>
            </a:rPr>
            <a:t>Q3</a:t>
          </a:r>
          <a:r>
            <a:rPr lang="en-GB" sz="1050" b="1" baseline="0">
              <a:solidFill>
                <a:schemeClr val="bg1"/>
              </a:solidFill>
              <a:latin typeface="+mn-lt"/>
            </a:rPr>
            <a:t> 2017-18        Owner: Executive Director of Finance</a:t>
          </a:r>
          <a:endParaRPr lang="en-GB" sz="1050" b="1">
            <a:solidFill>
              <a:schemeClr val="bg1"/>
            </a:solidFill>
            <a:latin typeface="+mn-lt"/>
          </a:endParaRPr>
        </a:p>
      </xdr:txBody>
    </xdr:sp>
    <xdr:clientData/>
  </xdr:twoCellAnchor>
  <xdr:twoCellAnchor>
    <xdr:from>
      <xdr:col>0</xdr:col>
      <xdr:colOff>0</xdr:colOff>
      <xdr:row>28</xdr:row>
      <xdr:rowOff>43232</xdr:rowOff>
    </xdr:from>
    <xdr:to>
      <xdr:col>5</xdr:col>
      <xdr:colOff>653323</xdr:colOff>
      <xdr:row>48</xdr:row>
      <xdr:rowOff>8467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92743</xdr:colOff>
      <xdr:row>11</xdr:row>
      <xdr:rowOff>64670</xdr:rowOff>
    </xdr:from>
    <xdr:to>
      <xdr:col>3</xdr:col>
      <xdr:colOff>238125</xdr:colOff>
      <xdr:row>11</xdr:row>
      <xdr:rowOff>180975</xdr:rowOff>
    </xdr:to>
    <xdr:cxnSp macro="">
      <xdr:nvCxnSpPr>
        <xdr:cNvPr id="5" name="Straight Arrow Connector 4"/>
        <xdr:cNvCxnSpPr/>
      </xdr:nvCxnSpPr>
      <xdr:spPr>
        <a:xfrm>
          <a:off x="2407318" y="2131595"/>
          <a:ext cx="145382" cy="116305"/>
        </a:xfrm>
        <a:prstGeom prst="straightConnector1">
          <a:avLst/>
        </a:prstGeom>
        <a:ln>
          <a:solidFill>
            <a:sysClr val="windowText" lastClr="0000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editAs="oneCell">
    <xdr:from>
      <xdr:col>6</xdr:col>
      <xdr:colOff>736600</xdr:colOff>
      <xdr:row>2</xdr:row>
      <xdr:rowOff>19049</xdr:rowOff>
    </xdr:from>
    <xdr:to>
      <xdr:col>8</xdr:col>
      <xdr:colOff>833362</xdr:colOff>
      <xdr:row>4</xdr:row>
      <xdr:rowOff>122932</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41925" y="400049"/>
          <a:ext cx="1754112" cy="484883"/>
        </a:xfrm>
        <a:prstGeom prst="rect">
          <a:avLst/>
        </a:prstGeom>
      </xdr:spPr>
    </xdr:pic>
    <xdr:clientData/>
  </xdr:twoCellAnchor>
</xdr:wsDr>
</file>

<file path=xl/drawings/drawing17.xml><?xml version="1.0" encoding="utf-8"?>
<c:userShapes xmlns:c="http://schemas.openxmlformats.org/drawingml/2006/chart">
  <cdr:relSizeAnchor xmlns:cdr="http://schemas.openxmlformats.org/drawingml/2006/chartDrawing">
    <cdr:from>
      <cdr:x>0.40645</cdr:x>
      <cdr:y>0</cdr:y>
    </cdr:from>
    <cdr:to>
      <cdr:x>0.56651</cdr:x>
      <cdr:y>0.062</cdr:y>
    </cdr:to>
    <cdr:sp macro="" textlink="">
      <cdr:nvSpPr>
        <cdr:cNvPr id="2" name="TextBox 1"/>
        <cdr:cNvSpPr txBox="1"/>
      </cdr:nvSpPr>
      <cdr:spPr>
        <a:xfrm xmlns:a="http://schemas.openxmlformats.org/drawingml/2006/main">
          <a:off x="1814057" y="0"/>
          <a:ext cx="714371" cy="19040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GB" sz="1050">
              <a:solidFill>
                <a:sysClr val="windowText" lastClr="000000"/>
              </a:solidFill>
            </a:rPr>
            <a:t>Budget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28575</xdr:rowOff>
    </xdr:from>
    <xdr:to>
      <xdr:col>8</xdr:col>
      <xdr:colOff>725714</xdr:colOff>
      <xdr:row>6</xdr:row>
      <xdr:rowOff>76200</xdr:rowOff>
    </xdr:to>
    <xdr:sp macro="" textlink="">
      <xdr:nvSpPr>
        <xdr:cNvPr id="2" name="TextBox 1"/>
        <xdr:cNvSpPr txBox="1"/>
      </xdr:nvSpPr>
      <xdr:spPr>
        <a:xfrm>
          <a:off x="0" y="28575"/>
          <a:ext cx="6926489" cy="10572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5 Excellent delivery, on time and to budget and with outstanding value for money</a:t>
          </a:r>
        </a:p>
        <a:p>
          <a:r>
            <a:rPr lang="en-GB" sz="1400" b="1">
              <a:solidFill>
                <a:schemeClr val="bg1"/>
              </a:solidFill>
              <a:latin typeface="+mn-lt"/>
            </a:rPr>
            <a:t>5 EA 9   We respond to planning</a:t>
          </a:r>
          <a:r>
            <a:rPr lang="en-GB" sz="1400" b="1" baseline="0">
              <a:solidFill>
                <a:schemeClr val="bg1"/>
              </a:solidFill>
              <a:latin typeface="+mn-lt"/>
            </a:rPr>
            <a:t> application consultations </a:t>
          </a:r>
        </a:p>
        <a:p>
          <a:r>
            <a:rPr lang="en-GB" sz="1400" b="1" baseline="0">
              <a:solidFill>
                <a:schemeClr val="bg1"/>
              </a:solidFill>
              <a:latin typeface="+mn-lt"/>
            </a:rPr>
            <a:t>within 21 days</a:t>
          </a:r>
        </a:p>
        <a:p>
          <a:endParaRPr lang="en-GB" sz="800" b="1">
            <a:solidFill>
              <a:schemeClr val="bg1"/>
            </a:solidFill>
            <a:latin typeface="+mn-lt"/>
          </a:endParaRPr>
        </a:p>
        <a:p>
          <a:r>
            <a:rPr lang="en-GB" sz="1050" b="1">
              <a:solidFill>
                <a:schemeClr val="bg1"/>
              </a:solidFill>
              <a:latin typeface="+mn-lt"/>
            </a:rPr>
            <a:t>Q3</a:t>
          </a:r>
          <a:r>
            <a:rPr lang="en-GB" sz="1050" b="1" baseline="0">
              <a:solidFill>
                <a:schemeClr val="bg1"/>
              </a:solidFill>
              <a:latin typeface="+mn-lt"/>
            </a:rPr>
            <a:t> 2017-18   Owners: Executive Directors of Environment and Business and Operations</a:t>
          </a:r>
          <a:endParaRPr lang="en-GB" sz="1050" b="1">
            <a:solidFill>
              <a:schemeClr val="bg1"/>
            </a:solidFill>
            <a:latin typeface="+mn-lt"/>
          </a:endParaRPr>
        </a:p>
      </xdr:txBody>
    </xdr:sp>
    <xdr:clientData/>
  </xdr:twoCellAnchor>
  <xdr:twoCellAnchor>
    <xdr:from>
      <xdr:col>0</xdr:col>
      <xdr:colOff>0</xdr:colOff>
      <xdr:row>10</xdr:row>
      <xdr:rowOff>28575</xdr:rowOff>
    </xdr:from>
    <xdr:to>
      <xdr:col>5</xdr:col>
      <xdr:colOff>653142</xdr:colOff>
      <xdr:row>25</xdr:row>
      <xdr:rowOff>6928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228601</xdr:colOff>
      <xdr:row>9</xdr:row>
      <xdr:rowOff>155864</xdr:rowOff>
    </xdr:from>
    <xdr:to>
      <xdr:col>2</xdr:col>
      <xdr:colOff>39831</xdr:colOff>
      <xdr:row>10</xdr:row>
      <xdr:rowOff>174914</xdr:rowOff>
    </xdr:to>
    <xdr:sp macro="" textlink="">
      <xdr:nvSpPr>
        <xdr:cNvPr id="4" name="TextBox 3"/>
        <xdr:cNvSpPr txBox="1"/>
      </xdr:nvSpPr>
      <xdr:spPr>
        <a:xfrm>
          <a:off x="990601" y="1698914"/>
          <a:ext cx="57323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GB" sz="1050">
              <a:solidFill>
                <a:sysClr val="windowText" lastClr="000000"/>
              </a:solidFill>
            </a:rPr>
            <a:t>Target</a:t>
          </a:r>
          <a:r>
            <a:rPr lang="en-GB" sz="1000">
              <a:solidFill>
                <a:schemeClr val="accent4">
                  <a:lumMod val="50000"/>
                </a:schemeClr>
              </a:solidFill>
            </a:rPr>
            <a:t> </a:t>
          </a:r>
        </a:p>
      </xdr:txBody>
    </xdr:sp>
    <xdr:clientData/>
  </xdr:twoCellAnchor>
  <xdr:twoCellAnchor>
    <xdr:from>
      <xdr:col>1</xdr:col>
      <xdr:colOff>719743</xdr:colOff>
      <xdr:row>10</xdr:row>
      <xdr:rowOff>80356</xdr:rowOff>
    </xdr:from>
    <xdr:to>
      <xdr:col>2</xdr:col>
      <xdr:colOff>186343</xdr:colOff>
      <xdr:row>10</xdr:row>
      <xdr:rowOff>195349</xdr:rowOff>
    </xdr:to>
    <xdr:cxnSp macro="">
      <xdr:nvCxnSpPr>
        <xdr:cNvPr id="5" name="Straight Arrow Connector 4"/>
        <xdr:cNvCxnSpPr/>
      </xdr:nvCxnSpPr>
      <xdr:spPr>
        <a:xfrm>
          <a:off x="1481743" y="1823431"/>
          <a:ext cx="228600" cy="11499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xdr:colOff>
      <xdr:row>26</xdr:row>
      <xdr:rowOff>17318</xdr:rowOff>
    </xdr:from>
    <xdr:to>
      <xdr:col>5</xdr:col>
      <xdr:colOff>706583</xdr:colOff>
      <xdr:row>43</xdr:row>
      <xdr:rowOff>17319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9525</xdr:colOff>
      <xdr:row>2</xdr:row>
      <xdr:rowOff>0</xdr:rowOff>
    </xdr:from>
    <xdr:to>
      <xdr:col>8</xdr:col>
      <xdr:colOff>622603</xdr:colOff>
      <xdr:row>3</xdr:row>
      <xdr:rowOff>189608</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48300" y="381000"/>
          <a:ext cx="1375078" cy="380108"/>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0.41756</cdr:x>
      <cdr:y>0.22662</cdr:y>
    </cdr:from>
    <cdr:to>
      <cdr:x>0.74233</cdr:x>
      <cdr:y>0.30519</cdr:y>
    </cdr:to>
    <cdr:sp macro="" textlink="">
      <cdr:nvSpPr>
        <cdr:cNvPr id="2" name="TextBox 1"/>
        <cdr:cNvSpPr txBox="1"/>
      </cdr:nvSpPr>
      <cdr:spPr>
        <a:xfrm xmlns:a="http://schemas.openxmlformats.org/drawingml/2006/main">
          <a:off x="1885948" y="906607"/>
          <a:ext cx="146685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Response</a:t>
          </a:r>
          <a:r>
            <a:rPr lang="en-GB" sz="1100" baseline="0"/>
            <a:t> time %</a:t>
          </a:r>
          <a:endParaRPr lang="en-GB" sz="1100"/>
        </a:p>
      </cdr:txBody>
    </cdr:sp>
  </cdr:relSizeAnchor>
  <cdr:relSizeAnchor xmlns:cdr="http://schemas.openxmlformats.org/drawingml/2006/chartDrawing">
    <cdr:from>
      <cdr:x>0.46817</cdr:x>
      <cdr:y>0.10281</cdr:y>
    </cdr:from>
    <cdr:to>
      <cdr:x>0.52933</cdr:x>
      <cdr:y>0.24091</cdr:y>
    </cdr:to>
    <cdr:cxnSp macro="">
      <cdr:nvCxnSpPr>
        <cdr:cNvPr id="4" name="Straight Arrow Connector 3"/>
        <cdr:cNvCxnSpPr/>
      </cdr:nvCxnSpPr>
      <cdr:spPr>
        <a:xfrm xmlns:a="http://schemas.openxmlformats.org/drawingml/2006/main" flipH="1" flipV="1">
          <a:off x="2114548" y="411307"/>
          <a:ext cx="276225" cy="552450"/>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0</xdr:col>
      <xdr:colOff>122012</xdr:colOff>
      <xdr:row>9</xdr:row>
      <xdr:rowOff>10584</xdr:rowOff>
    </xdr:from>
    <xdr:to>
      <xdr:col>6</xdr:col>
      <xdr:colOff>13154</xdr:colOff>
      <xdr:row>26</xdr:row>
      <xdr:rowOff>179917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85725</xdr:rowOff>
    </xdr:from>
    <xdr:to>
      <xdr:col>8</xdr:col>
      <xdr:colOff>773340</xdr:colOff>
      <xdr:row>4</xdr:row>
      <xdr:rowOff>285750</xdr:rowOff>
    </xdr:to>
    <xdr:sp macro="" textlink="">
      <xdr:nvSpPr>
        <xdr:cNvPr id="3" name="TextBox 2"/>
        <xdr:cNvSpPr txBox="1"/>
      </xdr:nvSpPr>
      <xdr:spPr>
        <a:xfrm>
          <a:off x="47625" y="85725"/>
          <a:ext cx="6821715" cy="962025"/>
        </a:xfrm>
        <a:prstGeom prst="rect">
          <a:avLst/>
        </a:prstGeom>
        <a:solidFill>
          <a:srgbClr val="00C167">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1 A cleaner, healthier environment, benefiting people and the economy</a:t>
          </a:r>
        </a:p>
        <a:p>
          <a:r>
            <a:rPr lang="en-GB" sz="1200" b="1">
              <a:solidFill>
                <a:schemeClr val="bg1"/>
              </a:solidFill>
              <a:latin typeface="+mn-lt"/>
            </a:rPr>
            <a:t>1 </a:t>
          </a:r>
          <a:r>
            <a:rPr lang="en-GB" sz="1200" b="1" baseline="0">
              <a:solidFill>
                <a:schemeClr val="bg1"/>
              </a:solidFill>
              <a:latin typeface="+mn-lt"/>
            </a:rPr>
            <a:t>EA 1 </a:t>
          </a:r>
          <a:r>
            <a:rPr lang="en-GB" sz="1200" b="1">
              <a:solidFill>
                <a:schemeClr val="bg1"/>
              </a:solidFill>
              <a:latin typeface="+mn-lt"/>
            </a:rPr>
            <a:t>   The water environment is healthier</a:t>
          </a:r>
        </a:p>
        <a:p>
          <a:endParaRPr lang="en-GB" sz="900" b="1">
            <a:solidFill>
              <a:schemeClr val="bg1"/>
            </a:solidFill>
            <a:latin typeface="+mn-lt"/>
          </a:endParaRPr>
        </a:p>
        <a:p>
          <a:endParaRPr lang="en-GB" sz="900" b="1">
            <a:solidFill>
              <a:schemeClr val="bg1"/>
            </a:solidFill>
            <a:latin typeface="+mn-lt"/>
          </a:endParaRPr>
        </a:p>
        <a:p>
          <a:r>
            <a:rPr lang="en-GB" sz="1050" b="1">
              <a:solidFill>
                <a:schemeClr val="bg1"/>
              </a:solidFill>
              <a:latin typeface="+mn-lt"/>
            </a:rPr>
            <a:t>Q3</a:t>
          </a:r>
          <a:r>
            <a:rPr lang="en-GB" sz="1050" b="1" baseline="0">
              <a:solidFill>
                <a:schemeClr val="bg1"/>
              </a:solidFill>
              <a:latin typeface="+mn-lt"/>
            </a:rPr>
            <a:t> 2017-18     Owners: Executive Directors of Environment and Business and Operations</a:t>
          </a:r>
          <a:endParaRPr lang="en-GB" sz="1050" b="1">
            <a:solidFill>
              <a:schemeClr val="bg1"/>
            </a:solidFill>
            <a:latin typeface="+mn-lt"/>
          </a:endParaRPr>
        </a:p>
      </xdr:txBody>
    </xdr:sp>
    <xdr:clientData/>
  </xdr:twoCellAnchor>
  <xdr:twoCellAnchor>
    <xdr:from>
      <xdr:col>0</xdr:col>
      <xdr:colOff>66675</xdr:colOff>
      <xdr:row>28</xdr:row>
      <xdr:rowOff>10583</xdr:rowOff>
    </xdr:from>
    <xdr:to>
      <xdr:col>5</xdr:col>
      <xdr:colOff>719817</xdr:colOff>
      <xdr:row>44</xdr:row>
      <xdr:rowOff>158750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190500</xdr:colOff>
      <xdr:row>31</xdr:row>
      <xdr:rowOff>129540</xdr:rowOff>
    </xdr:from>
    <xdr:to>
      <xdr:col>16</xdr:col>
      <xdr:colOff>152400</xdr:colOff>
      <xdr:row>34</xdr:row>
      <xdr:rowOff>22860</xdr:rowOff>
    </xdr:to>
    <xdr:sp macro="" textlink="">
      <xdr:nvSpPr>
        <xdr:cNvPr id="5" name="TextBox 4"/>
        <xdr:cNvSpPr txBox="1"/>
      </xdr:nvSpPr>
      <xdr:spPr>
        <a:xfrm>
          <a:off x="10763250" y="6177915"/>
          <a:ext cx="2247900" cy="464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editAs="oneCell">
    <xdr:from>
      <xdr:col>6</xdr:col>
      <xdr:colOff>381001</xdr:colOff>
      <xdr:row>0</xdr:row>
      <xdr:rowOff>106430</xdr:rowOff>
    </xdr:from>
    <xdr:to>
      <xdr:col>8</xdr:col>
      <xdr:colOff>742951</xdr:colOff>
      <xdr:row>3</xdr:row>
      <xdr:rowOff>56257</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53001" y="106430"/>
          <a:ext cx="1885950" cy="52132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66675</xdr:colOff>
      <xdr:row>19</xdr:row>
      <xdr:rowOff>76199</xdr:rowOff>
    </xdr:from>
    <xdr:to>
      <xdr:col>5</xdr:col>
      <xdr:colOff>790575</xdr:colOff>
      <xdr:row>41</xdr:row>
      <xdr:rowOff>182880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107156</xdr:rowOff>
    </xdr:from>
    <xdr:to>
      <xdr:col>8</xdr:col>
      <xdr:colOff>696510</xdr:colOff>
      <xdr:row>6</xdr:row>
      <xdr:rowOff>280</xdr:rowOff>
    </xdr:to>
    <xdr:sp macro="" textlink="">
      <xdr:nvSpPr>
        <xdr:cNvPr id="3" name="TextBox 2"/>
        <xdr:cNvSpPr txBox="1"/>
      </xdr:nvSpPr>
      <xdr:spPr>
        <a:xfrm>
          <a:off x="0" y="107156"/>
          <a:ext cx="7278285" cy="893249"/>
        </a:xfrm>
        <a:prstGeom prst="rect">
          <a:avLst/>
        </a:prstGeom>
        <a:solidFill>
          <a:schemeClr val="tx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6: An organisation continually striving to be the best, focused on outcomes and </a:t>
          </a:r>
        </a:p>
        <a:p>
          <a:r>
            <a:rPr lang="en-GB" sz="1050" b="1">
              <a:solidFill>
                <a:schemeClr val="bg1"/>
              </a:solidFill>
            </a:rPr>
            <a:t>constantly challenging itself</a:t>
          </a:r>
        </a:p>
        <a:p>
          <a:r>
            <a:rPr lang="en-GB" sz="1400" b="1">
              <a:solidFill>
                <a:schemeClr val="bg1"/>
              </a:solidFill>
              <a:latin typeface="+mn-lt"/>
            </a:rPr>
            <a:t>6</a:t>
          </a:r>
          <a:r>
            <a:rPr lang="en-GB" sz="1400" b="1" baseline="0">
              <a:solidFill>
                <a:schemeClr val="bg1"/>
              </a:solidFill>
              <a:latin typeface="+mn-lt"/>
            </a:rPr>
            <a:t> </a:t>
          </a:r>
          <a:r>
            <a:rPr lang="en-GB" sz="1400" b="1">
              <a:solidFill>
                <a:schemeClr val="bg1"/>
              </a:solidFill>
              <a:latin typeface="+mn-lt"/>
            </a:rPr>
            <a:t>EA</a:t>
          </a:r>
          <a:r>
            <a:rPr lang="en-GB" sz="1400" b="1" baseline="0">
              <a:solidFill>
                <a:schemeClr val="bg1"/>
              </a:solidFill>
              <a:latin typeface="+mn-lt"/>
            </a:rPr>
            <a:t> 10   </a:t>
          </a:r>
          <a:r>
            <a:rPr lang="en-GB" sz="1400" b="1">
              <a:solidFill>
                <a:schemeClr val="bg1"/>
              </a:solidFill>
              <a:latin typeface="+mn-lt"/>
            </a:rPr>
            <a:t>We reduce our carbon footprint</a:t>
          </a:r>
          <a:br>
            <a:rPr lang="en-GB" sz="1400" b="1">
              <a:solidFill>
                <a:schemeClr val="bg1"/>
              </a:solidFill>
              <a:latin typeface="+mn-lt"/>
            </a:rPr>
          </a:br>
          <a:r>
            <a:rPr lang="en-GB" sz="1050" b="1">
              <a:solidFill>
                <a:schemeClr val="bg1"/>
              </a:solidFill>
              <a:latin typeface="+mn-lt"/>
            </a:rPr>
            <a:t>Q3</a:t>
          </a:r>
          <a:r>
            <a:rPr lang="en-GB" sz="1050" b="1" baseline="0">
              <a:solidFill>
                <a:schemeClr val="bg1"/>
              </a:solidFill>
              <a:latin typeface="+mn-lt"/>
            </a:rPr>
            <a:t> 2017-18      Owner: Executive Director of Operations</a:t>
          </a:r>
          <a:endParaRPr lang="en-GB" sz="1050" b="1">
            <a:solidFill>
              <a:schemeClr val="bg1"/>
            </a:solidFill>
            <a:latin typeface="+mn-lt"/>
          </a:endParaRPr>
        </a:p>
      </xdr:txBody>
    </xdr:sp>
    <xdr:clientData/>
  </xdr:twoCellAnchor>
  <xdr:twoCellAnchor>
    <xdr:from>
      <xdr:col>4</xdr:col>
      <xdr:colOff>512986</xdr:colOff>
      <xdr:row>26</xdr:row>
      <xdr:rowOff>2720</xdr:rowOff>
    </xdr:from>
    <xdr:to>
      <xdr:col>6</xdr:col>
      <xdr:colOff>38100</xdr:colOff>
      <xdr:row>28</xdr:row>
      <xdr:rowOff>85725</xdr:rowOff>
    </xdr:to>
    <xdr:sp macro="" textlink="">
      <xdr:nvSpPr>
        <xdr:cNvPr id="4" name="TextBox 3"/>
        <xdr:cNvSpPr txBox="1"/>
      </xdr:nvSpPr>
      <xdr:spPr>
        <a:xfrm>
          <a:off x="3399061" y="4822370"/>
          <a:ext cx="1106264" cy="464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50">
              <a:solidFill>
                <a:sysClr val="windowText" lastClr="000000"/>
              </a:solidFill>
            </a:rPr>
            <a:t>2020 Target</a:t>
          </a:r>
        </a:p>
        <a:p>
          <a:pPr algn="ctr"/>
          <a:r>
            <a:rPr lang="en-GB" sz="1050">
              <a:solidFill>
                <a:sysClr val="windowText" lastClr="000000"/>
              </a:solidFill>
            </a:rPr>
            <a:t>32,501</a:t>
          </a:r>
        </a:p>
      </xdr:txBody>
    </xdr:sp>
    <xdr:clientData/>
  </xdr:twoCellAnchor>
  <xdr:twoCellAnchor>
    <xdr:from>
      <xdr:col>0</xdr:col>
      <xdr:colOff>675410</xdr:colOff>
      <xdr:row>21</xdr:row>
      <xdr:rowOff>28145</xdr:rowOff>
    </xdr:from>
    <xdr:to>
      <xdr:col>4</xdr:col>
      <xdr:colOff>0</xdr:colOff>
      <xdr:row>21</xdr:row>
      <xdr:rowOff>28145</xdr:rowOff>
    </xdr:to>
    <xdr:cxnSp macro="">
      <xdr:nvCxnSpPr>
        <xdr:cNvPr id="5" name="Straight Arrow Connector 4"/>
        <xdr:cNvCxnSpPr/>
      </xdr:nvCxnSpPr>
      <xdr:spPr>
        <a:xfrm>
          <a:off x="675410" y="3895295"/>
          <a:ext cx="2210665" cy="0"/>
        </a:xfrm>
        <a:prstGeom prst="straightConnector1">
          <a:avLst/>
        </a:prstGeom>
        <a:ln>
          <a:solidFill>
            <a:srgbClr val="EB1278"/>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21</xdr:row>
      <xdr:rowOff>28144</xdr:rowOff>
    </xdr:from>
    <xdr:to>
      <xdr:col>5</xdr:col>
      <xdr:colOff>133350</xdr:colOff>
      <xdr:row>21</xdr:row>
      <xdr:rowOff>28144</xdr:rowOff>
    </xdr:to>
    <xdr:cxnSp macro="">
      <xdr:nvCxnSpPr>
        <xdr:cNvPr id="6" name="Straight Arrow Connector 5"/>
        <xdr:cNvCxnSpPr/>
      </xdr:nvCxnSpPr>
      <xdr:spPr>
        <a:xfrm>
          <a:off x="2924175" y="3895294"/>
          <a:ext cx="790575" cy="0"/>
        </a:xfrm>
        <a:prstGeom prst="straightConnector1">
          <a:avLst/>
        </a:prstGeom>
        <a:ln>
          <a:solidFill>
            <a:srgbClr val="EB1278"/>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21</xdr:row>
      <xdr:rowOff>28144</xdr:rowOff>
    </xdr:from>
    <xdr:to>
      <xdr:col>5</xdr:col>
      <xdr:colOff>597477</xdr:colOff>
      <xdr:row>21</xdr:row>
      <xdr:rowOff>28144</xdr:rowOff>
    </xdr:to>
    <xdr:cxnSp macro="">
      <xdr:nvCxnSpPr>
        <xdr:cNvPr id="7" name="Straight Arrow Connector 6"/>
        <xdr:cNvCxnSpPr/>
      </xdr:nvCxnSpPr>
      <xdr:spPr>
        <a:xfrm>
          <a:off x="3771900" y="3895294"/>
          <a:ext cx="406977" cy="0"/>
        </a:xfrm>
        <a:prstGeom prst="straightConnector1">
          <a:avLst/>
        </a:prstGeom>
        <a:ln>
          <a:solidFill>
            <a:srgbClr val="EB1278"/>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653761</xdr:colOff>
      <xdr:row>20</xdr:row>
      <xdr:rowOff>28140</xdr:rowOff>
    </xdr:from>
    <xdr:to>
      <xdr:col>3</xdr:col>
      <xdr:colOff>86591</xdr:colOff>
      <xdr:row>21</xdr:row>
      <xdr:rowOff>45458</xdr:rowOff>
    </xdr:to>
    <xdr:sp macro="" textlink="">
      <xdr:nvSpPr>
        <xdr:cNvPr id="8" name="TextBox 7"/>
        <xdr:cNvSpPr txBox="1"/>
      </xdr:nvSpPr>
      <xdr:spPr>
        <a:xfrm>
          <a:off x="1415761" y="3704790"/>
          <a:ext cx="842530"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a:solidFill>
                <a:sysClr val="windowText" lastClr="000000"/>
              </a:solidFill>
            </a:rPr>
            <a:t>Annual </a:t>
          </a:r>
          <a:r>
            <a:rPr lang="en-GB" sz="1050">
              <a:solidFill>
                <a:sysClr val="windowText" lastClr="000000"/>
              </a:solidFill>
            </a:rPr>
            <a:t>Data</a:t>
          </a:r>
        </a:p>
      </xdr:txBody>
    </xdr:sp>
    <xdr:clientData/>
  </xdr:twoCellAnchor>
  <xdr:twoCellAnchor>
    <xdr:from>
      <xdr:col>4</xdr:col>
      <xdr:colOff>7793</xdr:colOff>
      <xdr:row>18</xdr:row>
      <xdr:rowOff>148715</xdr:rowOff>
    </xdr:from>
    <xdr:to>
      <xdr:col>5</xdr:col>
      <xdr:colOff>180975</xdr:colOff>
      <xdr:row>21</xdr:row>
      <xdr:rowOff>85725</xdr:rowOff>
    </xdr:to>
    <xdr:sp macro="" textlink="">
      <xdr:nvSpPr>
        <xdr:cNvPr id="9" name="TextBox 8"/>
        <xdr:cNvSpPr txBox="1"/>
      </xdr:nvSpPr>
      <xdr:spPr>
        <a:xfrm>
          <a:off x="2893868" y="3434840"/>
          <a:ext cx="868507" cy="518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a:solidFill>
                <a:sysClr val="windowText" lastClr="000000"/>
              </a:solidFill>
            </a:rPr>
            <a:t>Quarterly </a:t>
          </a:r>
          <a:r>
            <a:rPr lang="en-GB" sz="1050">
              <a:solidFill>
                <a:sysClr val="windowText" lastClr="000000"/>
              </a:solidFill>
            </a:rPr>
            <a:t>Data</a:t>
          </a:r>
          <a:r>
            <a:rPr lang="en-GB" sz="1000">
              <a:solidFill>
                <a:sysClr val="windowText" lastClr="000000"/>
              </a:solidFill>
            </a:rPr>
            <a:t> 17-18</a:t>
          </a:r>
        </a:p>
      </xdr:txBody>
    </xdr:sp>
    <xdr:clientData/>
  </xdr:twoCellAnchor>
  <xdr:twoCellAnchor>
    <xdr:from>
      <xdr:col>4</xdr:col>
      <xdr:colOff>620853</xdr:colOff>
      <xdr:row>18</xdr:row>
      <xdr:rowOff>140060</xdr:rowOff>
    </xdr:from>
    <xdr:to>
      <xdr:col>5</xdr:col>
      <xdr:colOff>871966</xdr:colOff>
      <xdr:row>21</xdr:row>
      <xdr:rowOff>3894</xdr:rowOff>
    </xdr:to>
    <xdr:sp macro="" textlink="">
      <xdr:nvSpPr>
        <xdr:cNvPr id="10" name="TextBox 9"/>
        <xdr:cNvSpPr txBox="1"/>
      </xdr:nvSpPr>
      <xdr:spPr>
        <a:xfrm>
          <a:off x="3506928" y="3426185"/>
          <a:ext cx="946438" cy="444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a:solidFill>
                <a:sysClr val="windowText" lastClr="000000"/>
              </a:solidFill>
            </a:rPr>
            <a:t>Annual </a:t>
          </a:r>
          <a:r>
            <a:rPr lang="en-GB" sz="1050">
              <a:solidFill>
                <a:sysClr val="windowText" lastClr="000000"/>
              </a:solidFill>
            </a:rPr>
            <a:t>Targets</a:t>
          </a:r>
        </a:p>
      </xdr:txBody>
    </xdr:sp>
    <xdr:clientData/>
  </xdr:twoCellAnchor>
  <xdr:twoCellAnchor editAs="oneCell">
    <xdr:from>
      <xdr:col>7</xdr:col>
      <xdr:colOff>571500</xdr:colOff>
      <xdr:row>1</xdr:row>
      <xdr:rowOff>181392</xdr:rowOff>
    </xdr:from>
    <xdr:to>
      <xdr:col>8</xdr:col>
      <xdr:colOff>971550</xdr:colOff>
      <xdr:row>4</xdr:row>
      <xdr:rowOff>75307</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0725" y="371892"/>
          <a:ext cx="1752600" cy="484465"/>
        </a:xfrm>
        <a:prstGeom prst="rect">
          <a:avLst/>
        </a:prstGeom>
      </xdr:spPr>
    </xdr:pic>
    <xdr:clientData/>
  </xdr:twoCellAnchor>
</xdr:wsDr>
</file>

<file path=xl/drawings/drawing21.xml><?xml version="1.0" encoding="utf-8"?>
<c:userShapes xmlns:c="http://schemas.openxmlformats.org/drawingml/2006/chart">
  <cdr:relSizeAnchor xmlns:cdr="http://schemas.openxmlformats.org/drawingml/2006/chartDrawing">
    <cdr:from>
      <cdr:x>0.64602</cdr:x>
      <cdr:y>0.39497</cdr:y>
    </cdr:from>
    <cdr:to>
      <cdr:x>0.80342</cdr:x>
      <cdr:y>0.39863</cdr:y>
    </cdr:to>
    <cdr:cxnSp macro="">
      <cdr:nvCxnSpPr>
        <cdr:cNvPr id="3" name="Straight Connector 2"/>
        <cdr:cNvCxnSpPr/>
      </cdr:nvCxnSpPr>
      <cdr:spPr>
        <a:xfrm xmlns:a="http://schemas.openxmlformats.org/drawingml/2006/main">
          <a:off x="2781300" y="1704976"/>
          <a:ext cx="677674" cy="15788"/>
        </a:xfrm>
        <a:prstGeom xmlns:a="http://schemas.openxmlformats.org/drawingml/2006/main" prst="line">
          <a:avLst/>
        </a:prstGeom>
        <a:ln xmlns:a="http://schemas.openxmlformats.org/drawingml/2006/main" w="28575">
          <a:solidFill>
            <a:srgbClr val="034B89"/>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29</xdr:row>
      <xdr:rowOff>12246</xdr:rowOff>
    </xdr:from>
    <xdr:to>
      <xdr:col>5</xdr:col>
      <xdr:colOff>653142</xdr:colOff>
      <xdr:row>46</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57150</xdr:rowOff>
    </xdr:from>
    <xdr:to>
      <xdr:col>8</xdr:col>
      <xdr:colOff>725714</xdr:colOff>
      <xdr:row>6</xdr:row>
      <xdr:rowOff>123825</xdr:rowOff>
    </xdr:to>
    <xdr:sp macro="" textlink="">
      <xdr:nvSpPr>
        <xdr:cNvPr id="3" name="TextBox 2"/>
        <xdr:cNvSpPr txBox="1"/>
      </xdr:nvSpPr>
      <xdr:spPr>
        <a:xfrm>
          <a:off x="0" y="57150"/>
          <a:ext cx="7078889" cy="1028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7 An inclusive, professional workforce where leaders recognise the contribution of people, and build </a:t>
          </a:r>
        </a:p>
        <a:p>
          <a:r>
            <a:rPr lang="en-GB" sz="1050" b="1">
              <a:solidFill>
                <a:schemeClr val="bg1"/>
              </a:solidFill>
            </a:rPr>
            <a:t>capability to deliver better outcomes</a:t>
          </a:r>
        </a:p>
        <a:p>
          <a:r>
            <a:rPr lang="en-GB" sz="1400" b="1">
              <a:solidFill>
                <a:schemeClr val="bg1"/>
              </a:solidFill>
              <a:latin typeface="+mn-lt"/>
            </a:rPr>
            <a:t>7</a:t>
          </a:r>
          <a:r>
            <a:rPr lang="en-GB" sz="1400" b="1" baseline="0">
              <a:solidFill>
                <a:schemeClr val="bg1"/>
              </a:solidFill>
              <a:latin typeface="+mn-lt"/>
            </a:rPr>
            <a:t> EA 11</a:t>
          </a:r>
          <a:r>
            <a:rPr lang="en-GB" sz="1400" b="1">
              <a:solidFill>
                <a:schemeClr val="bg1"/>
              </a:solidFill>
              <a:latin typeface="+mn-lt"/>
            </a:rPr>
            <a:t>   We have a diverse workforce</a:t>
          </a:r>
        </a:p>
        <a:p>
          <a:endParaRPr lang="en-GB" sz="600" b="1">
            <a:solidFill>
              <a:schemeClr val="bg1"/>
            </a:solidFill>
            <a:latin typeface="+mn-lt"/>
          </a:endParaRPr>
        </a:p>
        <a:p>
          <a:r>
            <a:rPr lang="en-GB" sz="1050" b="1">
              <a:solidFill>
                <a:schemeClr val="bg1"/>
              </a:solidFill>
              <a:latin typeface="+mn-lt"/>
            </a:rPr>
            <a:t>Q3</a:t>
          </a:r>
          <a:r>
            <a:rPr lang="en-GB" sz="1050" b="1" baseline="0">
              <a:solidFill>
                <a:schemeClr val="bg1"/>
              </a:solidFill>
              <a:latin typeface="+mn-lt"/>
            </a:rPr>
            <a:t> 2017-18                                                 Owner: Chief Executive </a:t>
          </a:r>
          <a:endParaRPr lang="en-GB" sz="1050" b="1">
            <a:solidFill>
              <a:schemeClr val="bg1"/>
            </a:solidFill>
            <a:latin typeface="+mn-lt"/>
          </a:endParaRPr>
        </a:p>
      </xdr:txBody>
    </xdr:sp>
    <xdr:clientData/>
  </xdr:twoCellAnchor>
  <xdr:twoCellAnchor>
    <xdr:from>
      <xdr:col>4</xdr:col>
      <xdr:colOff>104775</xdr:colOff>
      <xdr:row>34</xdr:row>
      <xdr:rowOff>95250</xdr:rowOff>
    </xdr:from>
    <xdr:to>
      <xdr:col>5</xdr:col>
      <xdr:colOff>285750</xdr:colOff>
      <xdr:row>35</xdr:row>
      <xdr:rowOff>171450</xdr:rowOff>
    </xdr:to>
    <xdr:sp macro="" textlink="">
      <xdr:nvSpPr>
        <xdr:cNvPr id="4" name="TextBox 3"/>
        <xdr:cNvSpPr txBox="1"/>
      </xdr:nvSpPr>
      <xdr:spPr>
        <a:xfrm>
          <a:off x="3409950" y="6991350"/>
          <a:ext cx="9429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ysClr val="windowText" lastClr="000000"/>
              </a:solidFill>
            </a:rPr>
            <a:t>Target</a:t>
          </a:r>
        </a:p>
      </xdr:txBody>
    </xdr:sp>
    <xdr:clientData/>
  </xdr:twoCellAnchor>
  <xdr:twoCellAnchor>
    <xdr:from>
      <xdr:col>4</xdr:col>
      <xdr:colOff>375285</xdr:colOff>
      <xdr:row>36</xdr:row>
      <xdr:rowOff>5715</xdr:rowOff>
    </xdr:from>
    <xdr:to>
      <xdr:col>4</xdr:col>
      <xdr:colOff>381000</xdr:colOff>
      <xdr:row>37</xdr:row>
      <xdr:rowOff>81915</xdr:rowOff>
    </xdr:to>
    <xdr:cxnSp macro="">
      <xdr:nvCxnSpPr>
        <xdr:cNvPr id="5" name="Straight Arrow Connector 4"/>
        <xdr:cNvCxnSpPr/>
      </xdr:nvCxnSpPr>
      <xdr:spPr>
        <a:xfrm>
          <a:off x="3680460" y="7282815"/>
          <a:ext cx="5715" cy="266700"/>
        </a:xfrm>
        <a:prstGeom prst="straightConnector1">
          <a:avLst/>
        </a:prstGeom>
        <a:ln>
          <a:solidFill>
            <a:sysClr val="windowText" lastClr="0000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695326</xdr:colOff>
      <xdr:row>30</xdr:row>
      <xdr:rowOff>76199</xdr:rowOff>
    </xdr:from>
    <xdr:to>
      <xdr:col>4</xdr:col>
      <xdr:colOff>691515</xdr:colOff>
      <xdr:row>32</xdr:row>
      <xdr:rowOff>156210</xdr:rowOff>
    </xdr:to>
    <xdr:sp macro="" textlink="">
      <xdr:nvSpPr>
        <xdr:cNvPr id="6" name="TextBox 5"/>
        <xdr:cNvSpPr txBox="1"/>
      </xdr:nvSpPr>
      <xdr:spPr>
        <a:xfrm>
          <a:off x="695326" y="6200774"/>
          <a:ext cx="3301364" cy="47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050">
              <a:solidFill>
                <a:sysClr val="windowText" lastClr="000000"/>
              </a:solidFill>
            </a:rPr>
            <a:t>Actual number of Female EMs is</a:t>
          </a:r>
          <a:r>
            <a:rPr lang="en-GB" sz="1050" baseline="0">
              <a:solidFill>
                <a:sysClr val="windowText" lastClr="000000"/>
              </a:solidFill>
            </a:rPr>
            <a:t> shown above each column</a:t>
          </a:r>
          <a:endParaRPr lang="en-GB" sz="1050">
            <a:solidFill>
              <a:sysClr val="windowText" lastClr="000000"/>
            </a:solidFill>
          </a:endParaRPr>
        </a:p>
      </xdr:txBody>
    </xdr:sp>
    <xdr:clientData/>
  </xdr:twoCellAnchor>
  <xdr:twoCellAnchor>
    <xdr:from>
      <xdr:col>0</xdr:col>
      <xdr:colOff>66675</xdr:colOff>
      <xdr:row>12</xdr:row>
      <xdr:rowOff>66675</xdr:rowOff>
    </xdr:from>
    <xdr:to>
      <xdr:col>5</xdr:col>
      <xdr:colOff>723900</xdr:colOff>
      <xdr:row>27</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533400</xdr:colOff>
      <xdr:row>13</xdr:row>
      <xdr:rowOff>114300</xdr:rowOff>
    </xdr:from>
    <xdr:to>
      <xdr:col>2</xdr:col>
      <xdr:colOff>25389</xdr:colOff>
      <xdr:row>15</xdr:row>
      <xdr:rowOff>38741</xdr:rowOff>
    </xdr:to>
    <xdr:sp macro="" textlink="">
      <xdr:nvSpPr>
        <xdr:cNvPr id="8" name="TextBox 7"/>
        <xdr:cNvSpPr txBox="1"/>
      </xdr:nvSpPr>
      <xdr:spPr>
        <a:xfrm>
          <a:off x="533400" y="2990850"/>
          <a:ext cx="1273164" cy="305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GB" sz="1050">
              <a:solidFill>
                <a:sysClr val="windowText" lastClr="000000"/>
              </a:solidFill>
            </a:rPr>
            <a:t>2020 target = 14%</a:t>
          </a:r>
        </a:p>
      </xdr:txBody>
    </xdr:sp>
    <xdr:clientData/>
  </xdr:twoCellAnchor>
  <xdr:twoCellAnchor editAs="oneCell">
    <xdr:from>
      <xdr:col>7</xdr:col>
      <xdr:colOff>179614</xdr:colOff>
      <xdr:row>2</xdr:row>
      <xdr:rowOff>0</xdr:rowOff>
    </xdr:from>
    <xdr:to>
      <xdr:col>8</xdr:col>
      <xdr:colOff>899292</xdr:colOff>
      <xdr:row>4</xdr:row>
      <xdr:rowOff>95250</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70789" y="381000"/>
          <a:ext cx="1481678" cy="409575"/>
        </a:xfrm>
        <a:prstGeom prst="rect">
          <a:avLst/>
        </a:prstGeom>
      </xdr:spPr>
    </xdr:pic>
    <xdr:clientData/>
  </xdr:twoCellAnchor>
</xdr:wsDr>
</file>

<file path=xl/drawings/drawing23.xml><?xml version="1.0" encoding="utf-8"?>
<c:userShapes xmlns:c="http://schemas.openxmlformats.org/drawingml/2006/chart">
  <cdr:relSizeAnchor xmlns:cdr="http://schemas.openxmlformats.org/drawingml/2006/chartDrawing">
    <cdr:from>
      <cdr:x>0.14596</cdr:x>
      <cdr:y>0.20944</cdr:y>
    </cdr:from>
    <cdr:to>
      <cdr:x>0.41568</cdr:x>
      <cdr:y>0.31069</cdr:y>
    </cdr:to>
    <cdr:sp macro="" textlink="">
      <cdr:nvSpPr>
        <cdr:cNvPr id="2" name="TextBox 7"/>
        <cdr:cNvSpPr txBox="1"/>
      </cdr:nvSpPr>
      <cdr:spPr>
        <a:xfrm xmlns:a="http://schemas.openxmlformats.org/drawingml/2006/main">
          <a:off x="688975" y="631825"/>
          <a:ext cx="1273164" cy="3054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050">
              <a:solidFill>
                <a:sysClr val="windowText" lastClr="000000"/>
              </a:solidFill>
            </a:rPr>
            <a:t>2020 target = 50%</a:t>
          </a:r>
        </a:p>
      </cdr:txBody>
    </cdr:sp>
  </cdr:relSizeAnchor>
</c:userShapes>
</file>

<file path=xl/drawings/drawing24.xml><?xml version="1.0" encoding="utf-8"?>
<c:userShapes xmlns:c="http://schemas.openxmlformats.org/drawingml/2006/chart">
  <cdr:relSizeAnchor xmlns:cdr="http://schemas.openxmlformats.org/drawingml/2006/chartDrawing">
    <cdr:from>
      <cdr:x>0.77687</cdr:x>
      <cdr:y>0.07867</cdr:y>
    </cdr:from>
    <cdr:to>
      <cdr:x>0.92375</cdr:x>
      <cdr:y>0.17523</cdr:y>
    </cdr:to>
    <cdr:sp macro="" textlink="">
      <cdr:nvSpPr>
        <cdr:cNvPr id="3" name="TextBox 6"/>
        <cdr:cNvSpPr txBox="1"/>
      </cdr:nvSpPr>
      <cdr:spPr>
        <a:xfrm xmlns:a="http://schemas.openxmlformats.org/drawingml/2006/main">
          <a:off x="3571096" y="232134"/>
          <a:ext cx="675150" cy="28493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50">
              <a:solidFill>
                <a:sysClr val="windowText" lastClr="000000"/>
              </a:solidFill>
            </a:rPr>
            <a:t>Target</a:t>
          </a:r>
        </a:p>
      </cdr:txBody>
    </cdr:sp>
  </cdr:relSizeAnchor>
  <cdr:relSizeAnchor xmlns:cdr="http://schemas.openxmlformats.org/drawingml/2006/chartDrawing">
    <cdr:from>
      <cdr:x>0.83174</cdr:x>
      <cdr:y>0.16187</cdr:y>
    </cdr:from>
    <cdr:to>
      <cdr:x>0.83299</cdr:x>
      <cdr:y>0.25842</cdr:y>
    </cdr:to>
    <cdr:cxnSp macro="">
      <cdr:nvCxnSpPr>
        <cdr:cNvPr id="4" name="Straight Arrow Connector 3"/>
        <cdr:cNvCxnSpPr/>
      </cdr:nvCxnSpPr>
      <cdr:spPr>
        <a:xfrm xmlns:a="http://schemas.openxmlformats.org/drawingml/2006/main">
          <a:off x="3823316" y="477644"/>
          <a:ext cx="5746" cy="284904"/>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0.10028</cdr:x>
      <cdr:y>0</cdr:y>
    </cdr:from>
    <cdr:to>
      <cdr:x>0.85131</cdr:x>
      <cdr:y>0.10345</cdr:y>
    </cdr:to>
    <cdr:sp macro="" textlink="">
      <cdr:nvSpPr>
        <cdr:cNvPr id="5" name="TextBox 7"/>
        <cdr:cNvSpPr txBox="1"/>
      </cdr:nvSpPr>
      <cdr:spPr>
        <a:xfrm xmlns:a="http://schemas.openxmlformats.org/drawingml/2006/main">
          <a:off x="460375" y="0"/>
          <a:ext cx="3448050" cy="2857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050">
              <a:solidFill>
                <a:sysClr val="windowText" lastClr="000000"/>
              </a:solidFill>
            </a:rPr>
            <a:t>Actual number of BAME staff</a:t>
          </a:r>
          <a:r>
            <a:rPr lang="en-GB" sz="1050" baseline="0">
              <a:solidFill>
                <a:sysClr val="windowText" lastClr="000000"/>
              </a:solidFill>
            </a:rPr>
            <a:t> </a:t>
          </a:r>
          <a:r>
            <a:rPr lang="en-GB" sz="1050">
              <a:solidFill>
                <a:sysClr val="windowText" lastClr="000000"/>
              </a:solidFill>
            </a:rPr>
            <a:t>is</a:t>
          </a:r>
          <a:r>
            <a:rPr lang="en-GB" sz="1050" baseline="0">
              <a:solidFill>
                <a:sysClr val="windowText" lastClr="000000"/>
              </a:solidFill>
            </a:rPr>
            <a:t> shown above each column</a:t>
          </a:r>
          <a:endParaRPr lang="en-GB" sz="1050">
            <a:solidFill>
              <a:sysClr val="windowText" lastClr="000000"/>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84667</xdr:colOff>
      <xdr:row>10</xdr:row>
      <xdr:rowOff>42334</xdr:rowOff>
    </xdr:from>
    <xdr:to>
      <xdr:col>5</xdr:col>
      <xdr:colOff>689114</xdr:colOff>
      <xdr:row>24</xdr:row>
      <xdr:rowOff>95251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312419</xdr:colOff>
      <xdr:row>26</xdr:row>
      <xdr:rowOff>21167</xdr:rowOff>
    </xdr:from>
    <xdr:to>
      <xdr:col>5</xdr:col>
      <xdr:colOff>730250</xdr:colOff>
      <xdr:row>40</xdr:row>
      <xdr:rowOff>807721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39595</xdr:rowOff>
    </xdr:from>
    <xdr:to>
      <xdr:col>8</xdr:col>
      <xdr:colOff>725714</xdr:colOff>
      <xdr:row>6</xdr:row>
      <xdr:rowOff>28575</xdr:rowOff>
    </xdr:to>
    <xdr:sp macro="" textlink="">
      <xdr:nvSpPr>
        <xdr:cNvPr id="4" name="TextBox 3"/>
        <xdr:cNvSpPr txBox="1"/>
      </xdr:nvSpPr>
      <xdr:spPr>
        <a:xfrm>
          <a:off x="0" y="39595"/>
          <a:ext cx="6821714" cy="1131980"/>
        </a:xfrm>
        <a:prstGeom prst="rect">
          <a:avLst/>
        </a:prstGeom>
        <a:solidFill>
          <a:srgbClr val="8FBF21">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7 An inclusive, professional workforce where leaders recognise the contribution of people, and build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capability to deliver better outcomes</a:t>
          </a:r>
        </a:p>
        <a:p>
          <a:r>
            <a:rPr lang="en-GB" sz="1400" b="1">
              <a:solidFill>
                <a:schemeClr val="bg1"/>
              </a:solidFill>
              <a:latin typeface="+mn-lt"/>
            </a:rPr>
            <a:t>7</a:t>
          </a:r>
          <a:r>
            <a:rPr lang="en-GB" sz="1400" b="1" baseline="0">
              <a:solidFill>
                <a:schemeClr val="bg1"/>
              </a:solidFill>
              <a:latin typeface="+mn-lt"/>
            </a:rPr>
            <a:t> </a:t>
          </a:r>
          <a:r>
            <a:rPr lang="en-GB" sz="1400" b="1">
              <a:solidFill>
                <a:schemeClr val="bg1"/>
              </a:solidFill>
              <a:latin typeface="+mn-lt"/>
            </a:rPr>
            <a:t>EA 12 We provide a safe place to work: lost time incident</a:t>
          </a:r>
          <a:r>
            <a:rPr lang="en-GB" sz="1400" b="1" baseline="0">
              <a:solidFill>
                <a:schemeClr val="bg1"/>
              </a:solidFill>
              <a:latin typeface="+mn-lt"/>
            </a:rPr>
            <a:t> (LTI) </a:t>
          </a:r>
        </a:p>
        <a:p>
          <a:r>
            <a:rPr lang="en-GB" sz="1400" b="1" baseline="0">
              <a:solidFill>
                <a:schemeClr val="bg1"/>
              </a:solidFill>
              <a:latin typeface="+mn-lt"/>
            </a:rPr>
            <a:t>frequency rate</a:t>
          </a:r>
          <a:endParaRPr lang="en-GB" sz="800" b="1">
            <a:solidFill>
              <a:schemeClr val="bg1"/>
            </a:solidFill>
            <a:latin typeface="+mn-lt"/>
          </a:endParaRPr>
        </a:p>
        <a:p>
          <a:r>
            <a:rPr lang="en-GB" sz="1050" b="1">
              <a:solidFill>
                <a:schemeClr val="bg1"/>
              </a:solidFill>
              <a:latin typeface="+mn-lt"/>
            </a:rPr>
            <a:t>Q3</a:t>
          </a:r>
          <a:r>
            <a:rPr lang="en-GB" sz="1050" b="1" baseline="0">
              <a:solidFill>
                <a:schemeClr val="bg1"/>
              </a:solidFill>
              <a:latin typeface="+mn-lt"/>
            </a:rPr>
            <a:t> 2017-18     Owner: Executive Director of Operations</a:t>
          </a:r>
          <a:endParaRPr lang="en-GB" sz="1050" b="1">
            <a:solidFill>
              <a:schemeClr val="bg1"/>
            </a:solidFill>
            <a:latin typeface="+mn-lt"/>
          </a:endParaRPr>
        </a:p>
      </xdr:txBody>
    </xdr:sp>
    <xdr:clientData/>
  </xdr:twoCellAnchor>
  <xdr:twoCellAnchor editAs="oneCell">
    <xdr:from>
      <xdr:col>6</xdr:col>
      <xdr:colOff>609600</xdr:colOff>
      <xdr:row>2</xdr:row>
      <xdr:rowOff>28575</xdr:rowOff>
    </xdr:from>
    <xdr:to>
      <xdr:col>8</xdr:col>
      <xdr:colOff>561975</xdr:colOff>
      <xdr:row>4</xdr:row>
      <xdr:rowOff>55684</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81600" y="409575"/>
          <a:ext cx="1476375" cy="408109"/>
        </a:xfrm>
        <a:prstGeom prst="rect">
          <a:avLst/>
        </a:prstGeom>
      </xdr:spPr>
    </xdr:pic>
    <xdr:clientData/>
  </xdr:twoCellAnchor>
</xdr:wsDr>
</file>

<file path=xl/drawings/drawing26.xml><?xml version="1.0" encoding="utf-8"?>
<c:userShapes xmlns:c="http://schemas.openxmlformats.org/drawingml/2006/chart">
  <cdr:relSizeAnchor xmlns:cdr="http://schemas.openxmlformats.org/drawingml/2006/chartDrawing">
    <cdr:from>
      <cdr:x>0.56652</cdr:x>
      <cdr:y>0.03165</cdr:y>
    </cdr:from>
    <cdr:to>
      <cdr:x>0.68702</cdr:x>
      <cdr:y>0.08786</cdr:y>
    </cdr:to>
    <cdr:sp macro="" textlink="">
      <cdr:nvSpPr>
        <cdr:cNvPr id="3" name="TextBox 2"/>
        <cdr:cNvSpPr txBox="1"/>
      </cdr:nvSpPr>
      <cdr:spPr>
        <a:xfrm xmlns:a="http://schemas.openxmlformats.org/drawingml/2006/main">
          <a:off x="2484103" y="81098"/>
          <a:ext cx="528370" cy="144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0.76727</cdr:x>
      <cdr:y>0.15491</cdr:y>
    </cdr:from>
    <cdr:to>
      <cdr:x>0.81178</cdr:x>
      <cdr:y>0.24513</cdr:y>
    </cdr:to>
    <cdr:sp macro="" textlink="">
      <cdr:nvSpPr>
        <cdr:cNvPr id="3" name="Straight Arrow Connector 2"/>
        <cdr:cNvSpPr/>
      </cdr:nvSpPr>
      <cdr:spPr>
        <a:xfrm xmlns:a="http://schemas.openxmlformats.org/drawingml/2006/main">
          <a:off x="3284126" y="431715"/>
          <a:ext cx="190502" cy="251447"/>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0.64723</cdr:x>
      <cdr:y>0.01245</cdr:y>
    </cdr:from>
    <cdr:to>
      <cdr:x>0.86519</cdr:x>
      <cdr:y>0.1713</cdr:y>
    </cdr:to>
    <cdr:sp macro="" textlink="">
      <cdr:nvSpPr>
        <cdr:cNvPr id="4" name="TextBox 3"/>
        <cdr:cNvSpPr txBox="1"/>
      </cdr:nvSpPr>
      <cdr:spPr>
        <a:xfrm xmlns:a="http://schemas.openxmlformats.org/drawingml/2006/main">
          <a:off x="2770323" y="34709"/>
          <a:ext cx="932926" cy="4427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solidFill>
                <a:sysClr val="windowText" lastClr="000000"/>
              </a:solidFill>
            </a:rPr>
            <a:t>Targets (Kilometres)</a:t>
          </a:r>
        </a:p>
      </cdr:txBody>
    </cdr:sp>
  </cdr:relSizeAnchor>
</c:userShapes>
</file>

<file path=xl/drawings/drawing4.xml><?xml version="1.0" encoding="utf-8"?>
<c:userShapes xmlns:c="http://schemas.openxmlformats.org/drawingml/2006/chart">
  <cdr:relSizeAnchor xmlns:cdr="http://schemas.openxmlformats.org/drawingml/2006/chartDrawing">
    <cdr:from>
      <cdr:x>0.76408</cdr:x>
      <cdr:y>0.48738</cdr:y>
    </cdr:from>
    <cdr:to>
      <cdr:x>0.77469</cdr:x>
      <cdr:y>0.59075</cdr:y>
    </cdr:to>
    <cdr:sp macro="" textlink="">
      <cdr:nvSpPr>
        <cdr:cNvPr id="3" name="Straight Arrow Connector 2"/>
        <cdr:cNvSpPr/>
      </cdr:nvSpPr>
      <cdr:spPr>
        <a:xfrm xmlns:a="http://schemas.openxmlformats.org/drawingml/2006/main">
          <a:off x="3293752" y="1544953"/>
          <a:ext cx="45719" cy="327662"/>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0.66565</cdr:x>
      <cdr:y>0.3628</cdr:y>
    </cdr:from>
    <cdr:to>
      <cdr:x>0.86307</cdr:x>
      <cdr:y>0.51129</cdr:y>
    </cdr:to>
    <cdr:sp macro="" textlink="">
      <cdr:nvSpPr>
        <cdr:cNvPr id="4" name="TextBox 3"/>
        <cdr:cNvSpPr txBox="1"/>
      </cdr:nvSpPr>
      <cdr:spPr>
        <a:xfrm xmlns:a="http://schemas.openxmlformats.org/drawingml/2006/main">
          <a:off x="2869456" y="1150057"/>
          <a:ext cx="851009" cy="4707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solidFill>
                <a:sysClr val="windowText" lastClr="000000"/>
              </a:solidFill>
            </a:rPr>
            <a:t>Targets (Kilometres)</a:t>
          </a:r>
        </a:p>
      </cdr:txBody>
    </cdr:sp>
  </cdr:relSizeAnchor>
  <cdr:relSizeAnchor xmlns:cdr="http://schemas.openxmlformats.org/drawingml/2006/chartDrawing">
    <cdr:from>
      <cdr:x>0.28277</cdr:x>
      <cdr:y>0.18822</cdr:y>
    </cdr:from>
    <cdr:to>
      <cdr:x>0.52542</cdr:x>
      <cdr:y>0.33671</cdr:y>
    </cdr:to>
    <cdr:sp macro="" textlink="">
      <cdr:nvSpPr>
        <cdr:cNvPr id="5" name="TextBox 1"/>
        <cdr:cNvSpPr txBox="1"/>
      </cdr:nvSpPr>
      <cdr:spPr>
        <a:xfrm xmlns:a="http://schemas.openxmlformats.org/drawingml/2006/main">
          <a:off x="1262063" y="598487"/>
          <a:ext cx="1082972" cy="4721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ysClr val="windowText" lastClr="000000"/>
              </a:solidFill>
            </a:rPr>
            <a:t>2021 Target (Kilometres)</a:t>
          </a:r>
        </a:p>
      </cdr:txBody>
    </cdr:sp>
  </cdr:relSizeAnchor>
  <cdr:relSizeAnchor xmlns:cdr="http://schemas.openxmlformats.org/drawingml/2006/chartDrawing">
    <cdr:from>
      <cdr:x>0.4512</cdr:x>
      <cdr:y>0.09486</cdr:y>
    </cdr:from>
    <cdr:to>
      <cdr:x>0.50508</cdr:x>
      <cdr:y>0.19892</cdr:y>
    </cdr:to>
    <cdr:sp macro="" textlink="">
      <cdr:nvSpPr>
        <cdr:cNvPr id="6" name="Straight Arrow Connector 5"/>
        <cdr:cNvSpPr/>
      </cdr:nvSpPr>
      <cdr:spPr>
        <a:xfrm xmlns:a="http://schemas.openxmlformats.org/drawingml/2006/main" flipV="1">
          <a:off x="1945005" y="300699"/>
          <a:ext cx="232265" cy="329856"/>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15871</xdr:rowOff>
    </xdr:from>
    <xdr:to>
      <xdr:col>8</xdr:col>
      <xdr:colOff>740319</xdr:colOff>
      <xdr:row>4</xdr:row>
      <xdr:rowOff>39684</xdr:rowOff>
    </xdr:to>
    <xdr:sp macro="" textlink="">
      <xdr:nvSpPr>
        <xdr:cNvPr id="2" name="TextBox 1"/>
        <xdr:cNvSpPr txBox="1"/>
      </xdr:nvSpPr>
      <xdr:spPr>
        <a:xfrm>
          <a:off x="0" y="15871"/>
          <a:ext cx="7512594" cy="957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bg1"/>
              </a:solidFill>
              <a:effectLst/>
              <a:latin typeface="+mn-lt"/>
              <a:ea typeface="+mn-ea"/>
              <a:cs typeface="+mn-cs"/>
            </a:rPr>
            <a:t>Objective 1 A cleaner, healthier environment, benefiting people and the economy</a:t>
          </a:r>
          <a:endParaRPr lang="en-GB" sz="1050">
            <a:solidFill>
              <a:schemeClr val="bg1"/>
            </a:solidFill>
            <a:effectLst/>
          </a:endParaRPr>
        </a:p>
        <a:p>
          <a:endParaRPr lang="en-GB" sz="200" b="1">
            <a:solidFill>
              <a:schemeClr val="bg1"/>
            </a:solidFill>
            <a:latin typeface="+mn-lt"/>
          </a:endParaRPr>
        </a:p>
        <a:p>
          <a:endParaRPr lang="en-GB" sz="100" b="1">
            <a:solidFill>
              <a:schemeClr val="bg1"/>
            </a:solidFill>
            <a:latin typeface="+mn-lt"/>
          </a:endParaRPr>
        </a:p>
        <a:p>
          <a:r>
            <a:rPr lang="en-GB" sz="1200" b="1">
              <a:solidFill>
                <a:schemeClr val="bg1"/>
              </a:solidFill>
              <a:latin typeface="+mn-lt"/>
            </a:rPr>
            <a:t>1 EA</a:t>
          </a:r>
          <a:r>
            <a:rPr lang="en-GB" sz="1200" b="1" baseline="0">
              <a:solidFill>
                <a:schemeClr val="bg1"/>
              </a:solidFill>
              <a:latin typeface="+mn-lt"/>
            </a:rPr>
            <a:t> 2  </a:t>
          </a:r>
          <a:r>
            <a:rPr lang="en-GB" sz="1200" b="1">
              <a:solidFill>
                <a:schemeClr val="bg1"/>
              </a:solidFill>
              <a:latin typeface="+mn-lt"/>
            </a:rPr>
            <a:t>We protect people, the environment and wildlife by reducing</a:t>
          </a:r>
        </a:p>
        <a:p>
          <a:r>
            <a:rPr lang="en-GB" sz="1200" b="1">
              <a:solidFill>
                <a:schemeClr val="bg1"/>
              </a:solidFill>
              <a:latin typeface="+mn-lt"/>
            </a:rPr>
            <a:t>serious pollution incidents, Part 1 of 3</a:t>
          </a:r>
        </a:p>
        <a:p>
          <a:r>
            <a:rPr lang="en-GB" sz="1050" b="1">
              <a:solidFill>
                <a:schemeClr val="bg1"/>
              </a:solidFill>
              <a:latin typeface="+mn-lt"/>
            </a:rPr>
            <a:t>Q3 2017-18 </a:t>
          </a:r>
          <a:r>
            <a:rPr lang="en-GB" sz="1050" b="1" baseline="0">
              <a:solidFill>
                <a:schemeClr val="bg1"/>
              </a:solidFill>
              <a:latin typeface="+mn-lt"/>
            </a:rPr>
            <a:t>    </a:t>
          </a:r>
          <a:r>
            <a:rPr lang="en-GB" sz="1050" b="1">
              <a:solidFill>
                <a:schemeClr val="bg1"/>
              </a:solidFill>
              <a:latin typeface="+mn-lt"/>
            </a:rPr>
            <a:t>Owners: Executive Directors of Environment and Business and Operations</a:t>
          </a:r>
          <a:r>
            <a:rPr lang="en-GB" sz="1400" b="1">
              <a:solidFill>
                <a:schemeClr val="accent4">
                  <a:lumMod val="50000"/>
                </a:schemeClr>
              </a:solidFill>
              <a:latin typeface="+mn-lt"/>
            </a:rPr>
            <a:t>	</a:t>
          </a:r>
        </a:p>
        <a:p>
          <a:r>
            <a:rPr lang="en-GB" sz="1400" b="1">
              <a:solidFill>
                <a:schemeClr val="accent4">
                  <a:lumMod val="50000"/>
                </a:schemeClr>
              </a:solidFill>
              <a:latin typeface="+mn-lt"/>
            </a:rPr>
            <a:t>	</a:t>
          </a:r>
          <a:r>
            <a:rPr lang="en-GB" sz="1400" b="1" baseline="0">
              <a:solidFill>
                <a:schemeClr val="accent4">
                  <a:lumMod val="50000"/>
                </a:schemeClr>
              </a:solidFill>
              <a:latin typeface="+mn-lt"/>
            </a:rPr>
            <a:t>               </a:t>
          </a:r>
          <a:r>
            <a:rPr lang="en-GB" sz="1400" b="1">
              <a:solidFill>
                <a:schemeClr val="accent4">
                  <a:lumMod val="50000"/>
                </a:schemeClr>
              </a:solidFill>
              <a:latin typeface="+mn-lt"/>
            </a:rPr>
            <a:t>                                                                                 </a:t>
          </a:r>
          <a:endParaRPr lang="en-GB" sz="1000" b="1" baseline="0">
            <a:solidFill>
              <a:schemeClr val="accent4">
                <a:lumMod val="50000"/>
              </a:schemeClr>
            </a:solidFill>
            <a:latin typeface="+mn-lt"/>
          </a:endParaRPr>
        </a:p>
      </xdr:txBody>
    </xdr:sp>
    <xdr:clientData/>
  </xdr:twoCellAnchor>
  <xdr:twoCellAnchor>
    <xdr:from>
      <xdr:col>0</xdr:col>
      <xdr:colOff>0</xdr:colOff>
      <xdr:row>61</xdr:row>
      <xdr:rowOff>171159</xdr:rowOff>
    </xdr:from>
    <xdr:to>
      <xdr:col>4</xdr:col>
      <xdr:colOff>577993</xdr:colOff>
      <xdr:row>78</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19051</xdr:colOff>
      <xdr:row>22</xdr:row>
      <xdr:rowOff>90753</xdr:rowOff>
    </xdr:from>
    <xdr:to>
      <xdr:col>4</xdr:col>
      <xdr:colOff>597476</xdr:colOff>
      <xdr:row>37</xdr:row>
      <xdr:rowOff>112567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21648</xdr:colOff>
      <xdr:row>37</xdr:row>
      <xdr:rowOff>147204</xdr:rowOff>
    </xdr:from>
    <xdr:to>
      <xdr:col>4</xdr:col>
      <xdr:colOff>638175</xdr:colOff>
      <xdr:row>54</xdr:row>
      <xdr:rowOff>268432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733425</xdr:colOff>
      <xdr:row>22</xdr:row>
      <xdr:rowOff>57150</xdr:rowOff>
    </xdr:from>
    <xdr:to>
      <xdr:col>8</xdr:col>
      <xdr:colOff>698500</xdr:colOff>
      <xdr:row>37</xdr:row>
      <xdr:rowOff>95250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2540</xdr:colOff>
      <xdr:row>37</xdr:row>
      <xdr:rowOff>41851</xdr:rowOff>
    </xdr:from>
    <xdr:to>
      <xdr:col>8</xdr:col>
      <xdr:colOff>611186</xdr:colOff>
      <xdr:row>54</xdr:row>
      <xdr:rowOff>160020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28574</xdr:colOff>
      <xdr:row>62</xdr:row>
      <xdr:rowOff>76200</xdr:rowOff>
    </xdr:from>
    <xdr:to>
      <xdr:col>8</xdr:col>
      <xdr:colOff>714374</xdr:colOff>
      <xdr:row>78</xdr:row>
      <xdr:rowOff>112568</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55563</xdr:colOff>
      <xdr:row>78</xdr:row>
      <xdr:rowOff>123825</xdr:rowOff>
    </xdr:from>
    <xdr:to>
      <xdr:col>4</xdr:col>
      <xdr:colOff>676274</xdr:colOff>
      <xdr:row>95</xdr:row>
      <xdr:rowOff>145736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111918</xdr:colOff>
      <xdr:row>78</xdr:row>
      <xdr:rowOff>187950</xdr:rowOff>
    </xdr:from>
    <xdr:to>
      <xdr:col>8</xdr:col>
      <xdr:colOff>631031</xdr:colOff>
      <xdr:row>95</xdr:row>
      <xdr:rowOff>178594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60959</xdr:colOff>
      <xdr:row>9</xdr:row>
      <xdr:rowOff>31750</xdr:rowOff>
    </xdr:from>
    <xdr:to>
      <xdr:col>6</xdr:col>
      <xdr:colOff>563562</xdr:colOff>
      <xdr:row>19</xdr:row>
      <xdr:rowOff>160020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5</xdr:col>
      <xdr:colOff>192406</xdr:colOff>
      <xdr:row>8</xdr:row>
      <xdr:rowOff>190500</xdr:rowOff>
    </xdr:from>
    <xdr:ext cx="1047750" cy="264560"/>
    <xdr:sp macro="" textlink="">
      <xdr:nvSpPr>
        <xdr:cNvPr id="12" name="TextBox 11"/>
        <xdr:cNvSpPr txBox="1"/>
      </xdr:nvSpPr>
      <xdr:spPr>
        <a:xfrm>
          <a:off x="4002406" y="1743075"/>
          <a:ext cx="10477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50">
              <a:solidFill>
                <a:sysClr val="windowText" lastClr="000000"/>
              </a:solidFill>
            </a:rPr>
            <a:t>Ceiling target</a:t>
          </a:r>
        </a:p>
      </xdr:txBody>
    </xdr:sp>
    <xdr:clientData/>
  </xdr:oneCellAnchor>
  <xdr:twoCellAnchor>
    <xdr:from>
      <xdr:col>5</xdr:col>
      <xdr:colOff>963930</xdr:colOff>
      <xdr:row>9</xdr:row>
      <xdr:rowOff>173355</xdr:rowOff>
    </xdr:from>
    <xdr:to>
      <xdr:col>6</xdr:col>
      <xdr:colOff>123825</xdr:colOff>
      <xdr:row>12</xdr:row>
      <xdr:rowOff>9525</xdr:rowOff>
    </xdr:to>
    <xdr:cxnSp macro="">
      <xdr:nvCxnSpPr>
        <xdr:cNvPr id="13" name="Straight Arrow Connector 12"/>
        <xdr:cNvCxnSpPr/>
      </xdr:nvCxnSpPr>
      <xdr:spPr>
        <a:xfrm>
          <a:off x="4773930" y="1925955"/>
          <a:ext cx="550545" cy="4076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54</xdr:row>
      <xdr:rowOff>285749</xdr:rowOff>
    </xdr:from>
    <xdr:to>
      <xdr:col>8</xdr:col>
      <xdr:colOff>725714</xdr:colOff>
      <xdr:row>59</xdr:row>
      <xdr:rowOff>190499</xdr:rowOff>
    </xdr:to>
    <xdr:sp macro="" textlink="">
      <xdr:nvSpPr>
        <xdr:cNvPr id="14" name="TextBox 13"/>
        <xdr:cNvSpPr txBox="1"/>
      </xdr:nvSpPr>
      <xdr:spPr>
        <a:xfrm>
          <a:off x="0" y="11125199"/>
          <a:ext cx="7497989" cy="98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A cleaner, healthier environment, benefiting people and the economy</a:t>
          </a:r>
        </a:p>
        <a:p>
          <a:endParaRPr lang="en-GB" sz="200" b="1">
            <a:solidFill>
              <a:schemeClr val="bg1"/>
            </a:solidFill>
            <a:latin typeface="+mn-lt"/>
          </a:endParaRPr>
        </a:p>
        <a:p>
          <a:endParaRPr lang="en-GB" sz="300" b="1">
            <a:solidFill>
              <a:schemeClr val="bg1"/>
            </a:solidFill>
            <a:latin typeface="+mn-lt"/>
          </a:endParaRPr>
        </a:p>
        <a:p>
          <a:r>
            <a:rPr lang="en-GB" sz="1200" b="1">
              <a:solidFill>
                <a:schemeClr val="bg1"/>
              </a:solidFill>
              <a:latin typeface="+mn-lt"/>
            </a:rPr>
            <a:t>1 EA</a:t>
          </a:r>
          <a:r>
            <a:rPr lang="en-GB" sz="1200" b="1" baseline="0">
              <a:solidFill>
                <a:schemeClr val="bg1"/>
              </a:solidFill>
              <a:latin typeface="+mn-lt"/>
            </a:rPr>
            <a:t> 2  </a:t>
          </a:r>
          <a:r>
            <a:rPr lang="en-GB" sz="1200" b="1">
              <a:solidFill>
                <a:schemeClr val="bg1"/>
              </a:solidFill>
              <a:latin typeface="+mn-lt"/>
            </a:rPr>
            <a:t>We protect people, the environment and wildlife by reducing</a:t>
          </a:r>
        </a:p>
        <a:p>
          <a:r>
            <a:rPr lang="en-GB" sz="1200" b="1">
              <a:solidFill>
                <a:schemeClr val="bg1"/>
              </a:solidFill>
              <a:latin typeface="+mn-lt"/>
            </a:rPr>
            <a:t>serious pollution incidents</a:t>
          </a:r>
          <a:r>
            <a:rPr lang="en-GB" sz="1200" b="1" baseline="0">
              <a:solidFill>
                <a:schemeClr val="bg1"/>
              </a:solidFill>
              <a:latin typeface="+mn-lt"/>
            </a:rPr>
            <a:t> p</a:t>
          </a:r>
          <a:r>
            <a:rPr lang="en-GB" sz="1200" b="1">
              <a:solidFill>
                <a:schemeClr val="bg1"/>
              </a:solidFill>
              <a:latin typeface="+mn-lt"/>
            </a:rPr>
            <a:t>art 2 of 3</a:t>
          </a:r>
        </a:p>
        <a:p>
          <a:endParaRPr lang="en-GB" sz="300" b="1">
            <a:solidFill>
              <a:schemeClr val="bg1"/>
            </a:solidFill>
            <a:latin typeface="+mn-lt"/>
          </a:endParaRPr>
        </a:p>
        <a:p>
          <a:r>
            <a:rPr lang="en-GB" sz="1050" b="1">
              <a:solidFill>
                <a:schemeClr val="bg1"/>
              </a:solidFill>
              <a:latin typeface="+mn-lt"/>
            </a:rPr>
            <a:t>Q3 2017-18 </a:t>
          </a:r>
          <a:r>
            <a:rPr lang="en-GB" sz="1050" b="1" baseline="0">
              <a:solidFill>
                <a:schemeClr val="bg1"/>
              </a:solidFill>
              <a:latin typeface="+mn-lt"/>
            </a:rPr>
            <a:t>    </a:t>
          </a:r>
          <a:r>
            <a:rPr lang="en-GB" sz="1050" b="1">
              <a:solidFill>
                <a:schemeClr val="bg1"/>
              </a:solidFill>
              <a:latin typeface="+mn-lt"/>
            </a:rPr>
            <a:t>Owners: Executive Directors of Environment and Business and Operations</a:t>
          </a:r>
        </a:p>
        <a:p>
          <a:r>
            <a:rPr lang="en-GB" sz="1400" b="1">
              <a:solidFill>
                <a:schemeClr val="accent4">
                  <a:lumMod val="50000"/>
                </a:schemeClr>
              </a:solidFill>
              <a:latin typeface="+mn-lt"/>
            </a:rPr>
            <a:t>		</a:t>
          </a:r>
          <a:r>
            <a:rPr lang="en-GB" sz="1400" b="1" baseline="0">
              <a:solidFill>
                <a:schemeClr val="accent4">
                  <a:lumMod val="50000"/>
                </a:schemeClr>
              </a:solidFill>
              <a:latin typeface="+mn-lt"/>
            </a:rPr>
            <a:t>               </a:t>
          </a:r>
          <a:r>
            <a:rPr lang="en-GB" sz="1400" b="1">
              <a:solidFill>
                <a:schemeClr val="accent4">
                  <a:lumMod val="50000"/>
                </a:schemeClr>
              </a:solidFill>
              <a:latin typeface="+mn-lt"/>
            </a:rPr>
            <a:t>                                                                                 </a:t>
          </a:r>
          <a:endParaRPr lang="en-GB" sz="1000" b="1" baseline="0">
            <a:solidFill>
              <a:schemeClr val="accent4">
                <a:lumMod val="50000"/>
              </a:schemeClr>
            </a:solidFill>
            <a:latin typeface="+mn-lt"/>
          </a:endParaRPr>
        </a:p>
      </xdr:txBody>
    </xdr:sp>
    <xdr:clientData/>
  </xdr:twoCellAnchor>
  <xdr:twoCellAnchor>
    <xdr:from>
      <xdr:col>0</xdr:col>
      <xdr:colOff>9525</xdr:colOff>
      <xdr:row>112</xdr:row>
      <xdr:rowOff>0</xdr:rowOff>
    </xdr:from>
    <xdr:to>
      <xdr:col>8</xdr:col>
      <xdr:colOff>733879</xdr:colOff>
      <xdr:row>119</xdr:row>
      <xdr:rowOff>35719</xdr:rowOff>
    </xdr:to>
    <xdr:sp macro="" textlink="">
      <xdr:nvSpPr>
        <xdr:cNvPr id="15" name="TextBox 14"/>
        <xdr:cNvSpPr txBox="1"/>
      </xdr:nvSpPr>
      <xdr:spPr>
        <a:xfrm>
          <a:off x="9525" y="22729031"/>
          <a:ext cx="7499010" cy="1035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baseline="0">
              <a:solidFill>
                <a:schemeClr val="bg1"/>
              </a:solidFill>
            </a:rPr>
            <a:t>A cleaner, healthier environment, benefiting people and the economy</a:t>
          </a:r>
        </a:p>
        <a:p>
          <a:endParaRPr lang="en-GB" sz="200" b="1">
            <a:solidFill>
              <a:schemeClr val="bg1"/>
            </a:solidFill>
            <a:latin typeface="+mn-lt"/>
          </a:endParaRPr>
        </a:p>
        <a:p>
          <a:endParaRPr lang="en-GB" sz="300" b="1">
            <a:solidFill>
              <a:schemeClr val="bg1"/>
            </a:solidFill>
            <a:latin typeface="+mn-lt"/>
          </a:endParaRPr>
        </a:p>
        <a:p>
          <a:r>
            <a:rPr lang="en-GB" sz="1200" b="1">
              <a:solidFill>
                <a:schemeClr val="bg1"/>
              </a:solidFill>
              <a:latin typeface="+mn-lt"/>
            </a:rPr>
            <a:t>1 EA</a:t>
          </a:r>
          <a:r>
            <a:rPr lang="en-GB" sz="1200" b="1" baseline="0">
              <a:solidFill>
                <a:schemeClr val="bg1"/>
              </a:solidFill>
              <a:latin typeface="+mn-lt"/>
            </a:rPr>
            <a:t> 2  </a:t>
          </a:r>
          <a:r>
            <a:rPr lang="en-GB" sz="1200" b="1">
              <a:solidFill>
                <a:schemeClr val="bg1"/>
              </a:solidFill>
              <a:latin typeface="+mn-lt"/>
            </a:rPr>
            <a:t>We protect people, the environment and wildlife by reducing</a:t>
          </a:r>
        </a:p>
        <a:p>
          <a:r>
            <a:rPr lang="en-GB" sz="1200" b="1">
              <a:solidFill>
                <a:schemeClr val="bg1"/>
              </a:solidFill>
              <a:latin typeface="+mn-lt"/>
            </a:rPr>
            <a:t>serious pollution incidents</a:t>
          </a:r>
          <a:r>
            <a:rPr lang="en-GB" sz="1200" b="1" baseline="0">
              <a:solidFill>
                <a:schemeClr val="bg1"/>
              </a:solidFill>
              <a:latin typeface="+mn-lt"/>
            </a:rPr>
            <a:t> p</a:t>
          </a:r>
          <a:r>
            <a:rPr lang="en-GB" sz="1200" b="1">
              <a:solidFill>
                <a:schemeClr val="bg1"/>
              </a:solidFill>
              <a:latin typeface="+mn-lt"/>
            </a:rPr>
            <a:t>art 3 of 3</a:t>
          </a:r>
        </a:p>
        <a:p>
          <a:endParaRPr lang="en-GB" sz="300" b="1">
            <a:solidFill>
              <a:schemeClr val="bg1"/>
            </a:solidFill>
            <a:latin typeface="+mn-lt"/>
          </a:endParaRPr>
        </a:p>
        <a:p>
          <a:r>
            <a:rPr lang="en-GB" sz="1050" b="1">
              <a:solidFill>
                <a:schemeClr val="bg1"/>
              </a:solidFill>
              <a:latin typeface="+mn-lt"/>
            </a:rPr>
            <a:t>Q3 2017-18 </a:t>
          </a:r>
          <a:r>
            <a:rPr lang="en-GB" sz="1050" b="1" baseline="0">
              <a:solidFill>
                <a:schemeClr val="bg1"/>
              </a:solidFill>
              <a:latin typeface="+mn-lt"/>
            </a:rPr>
            <a:t>    </a:t>
          </a:r>
          <a:r>
            <a:rPr lang="en-GB" sz="1050" b="1">
              <a:solidFill>
                <a:schemeClr val="bg1"/>
              </a:solidFill>
              <a:latin typeface="+mn-lt"/>
            </a:rPr>
            <a:t>Owners: Executive Directors of Environment and Business and Operations</a:t>
          </a:r>
        </a:p>
        <a:p>
          <a:r>
            <a:rPr lang="en-GB" sz="1400" b="1">
              <a:solidFill>
                <a:schemeClr val="accent4">
                  <a:lumMod val="50000"/>
                </a:schemeClr>
              </a:solidFill>
              <a:latin typeface="+mn-lt"/>
            </a:rPr>
            <a:t>		</a:t>
          </a:r>
          <a:r>
            <a:rPr lang="en-GB" sz="1400" b="1" baseline="0">
              <a:solidFill>
                <a:schemeClr val="accent4">
                  <a:lumMod val="50000"/>
                </a:schemeClr>
              </a:solidFill>
              <a:latin typeface="+mn-lt"/>
            </a:rPr>
            <a:t>               </a:t>
          </a:r>
          <a:r>
            <a:rPr lang="en-GB" sz="1400" b="1">
              <a:solidFill>
                <a:schemeClr val="accent4">
                  <a:lumMod val="50000"/>
                </a:schemeClr>
              </a:solidFill>
              <a:latin typeface="+mn-lt"/>
            </a:rPr>
            <a:t>                                                                                 </a:t>
          </a:r>
          <a:endParaRPr lang="en-GB" sz="1000" b="1" baseline="0">
            <a:solidFill>
              <a:schemeClr val="accent4">
                <a:lumMod val="50000"/>
              </a:schemeClr>
            </a:solidFill>
            <a:latin typeface="+mn-lt"/>
          </a:endParaRPr>
        </a:p>
      </xdr:txBody>
    </xdr:sp>
    <xdr:clientData/>
  </xdr:twoCellAnchor>
  <xdr:twoCellAnchor>
    <xdr:from>
      <xdr:col>6</xdr:col>
      <xdr:colOff>533400</xdr:colOff>
      <xdr:row>8</xdr:row>
      <xdr:rowOff>152400</xdr:rowOff>
    </xdr:from>
    <xdr:to>
      <xdr:col>9</xdr:col>
      <xdr:colOff>22860</xdr:colOff>
      <xdr:row>21</xdr:row>
      <xdr:rowOff>20956</xdr:rowOff>
    </xdr:to>
    <xdr:sp macro="" textlink="">
      <xdr:nvSpPr>
        <xdr:cNvPr id="16" name="TextBox 15"/>
        <xdr:cNvSpPr txBox="1"/>
      </xdr:nvSpPr>
      <xdr:spPr>
        <a:xfrm>
          <a:off x="5734050" y="1704975"/>
          <a:ext cx="1804035" cy="2802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50" b="0">
              <a:solidFill>
                <a:sysClr val="windowText" lastClr="000000"/>
              </a:solidFill>
              <a:effectLst/>
              <a:latin typeface="+mn-lt"/>
              <a:ea typeface="+mn-ea"/>
              <a:cs typeface="+mn-cs"/>
            </a:rPr>
            <a:t>After seeing a significant rise in pollution incidents in 2013 we have targeted the sectors showing the poorest performance.  For each sector</a:t>
          </a:r>
          <a:r>
            <a:rPr lang="en-GB" sz="1050" b="0" baseline="0">
              <a:solidFill>
                <a:sysClr val="windowText" lastClr="000000"/>
              </a:solidFill>
              <a:effectLst/>
              <a:latin typeface="+mn-lt"/>
              <a:ea typeface="+mn-ea"/>
              <a:cs typeface="+mn-cs"/>
            </a:rPr>
            <a:t> </a:t>
          </a:r>
          <a:r>
            <a:rPr lang="en-GB" sz="1050" b="0">
              <a:solidFill>
                <a:sysClr val="windowText" lastClr="000000"/>
              </a:solidFill>
              <a:effectLst/>
              <a:latin typeface="+mn-lt"/>
              <a:ea typeface="+mn-ea"/>
              <a:cs typeface="+mn-cs"/>
            </a:rPr>
            <a:t>we developed Pollution Incident Reduction Plans which we are now delivering.  These</a:t>
          </a:r>
          <a:r>
            <a:rPr lang="en-GB" sz="1050" b="0" baseline="0">
              <a:solidFill>
                <a:sysClr val="windowText" lastClr="000000"/>
              </a:solidFill>
              <a:effectLst/>
              <a:latin typeface="+mn-lt"/>
              <a:ea typeface="+mn-ea"/>
              <a:cs typeface="+mn-cs"/>
            </a:rPr>
            <a:t> are</a:t>
          </a:r>
          <a:r>
            <a:rPr lang="en-GB" sz="1050" b="0">
              <a:solidFill>
                <a:sysClr val="windowText" lastClr="000000"/>
              </a:solidFill>
              <a:effectLst/>
              <a:latin typeface="+mn-lt"/>
              <a:ea typeface="+mn-ea"/>
              <a:cs typeface="+mn-cs"/>
            </a:rPr>
            <a:t> showing good results, but we will remain vigilant because incidents can be weather-related and will continue to show some seasonal variations.</a:t>
          </a:r>
          <a:endParaRPr kumimoji="0" lang="en-GB"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15240</xdr:colOff>
      <xdr:row>19</xdr:row>
      <xdr:rowOff>60960</xdr:rowOff>
    </xdr:from>
    <xdr:to>
      <xdr:col>6</xdr:col>
      <xdr:colOff>579120</xdr:colOff>
      <xdr:row>20</xdr:row>
      <xdr:rowOff>452438</xdr:rowOff>
    </xdr:to>
    <xdr:sp macro="" textlink="">
      <xdr:nvSpPr>
        <xdr:cNvPr id="17" name="TextBox 16"/>
        <xdr:cNvSpPr txBox="1"/>
      </xdr:nvSpPr>
      <xdr:spPr>
        <a:xfrm>
          <a:off x="15240" y="3794760"/>
          <a:ext cx="5764530" cy="591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n-GB" sz="1050" b="0" i="0" baseline="0">
              <a:solidFill>
                <a:sysClr val="windowText" lastClr="000000"/>
              </a:solidFill>
              <a:effectLst/>
              <a:latin typeface="+mn-lt"/>
              <a:ea typeface="+mn-ea"/>
              <a:cs typeface="+mn-cs"/>
            </a:rPr>
            <a:t>The data shown here is using initial quarterly data which is subject to change.  The results for the most recent quarters are likely to increase in future reports due to the inherent lag time in investigating and recording all the necessary incident details onto the reporting system. </a:t>
          </a:r>
          <a:endParaRPr lang="en-GB" sz="1050" b="0">
            <a:solidFill>
              <a:sysClr val="windowText" lastClr="000000"/>
            </a:solidFill>
            <a:effectLst/>
          </a:endParaRPr>
        </a:p>
      </xdr:txBody>
    </xdr:sp>
    <xdr:clientData/>
  </xdr:twoCellAnchor>
  <xdr:twoCellAnchor editAs="oneCell">
    <xdr:from>
      <xdr:col>7</xdr:col>
      <xdr:colOff>95250</xdr:colOff>
      <xdr:row>0</xdr:row>
      <xdr:rowOff>83073</xdr:rowOff>
    </xdr:from>
    <xdr:to>
      <xdr:col>8</xdr:col>
      <xdr:colOff>658813</xdr:colOff>
      <xdr:row>2</xdr:row>
      <xdr:rowOff>49909</xdr:rowOff>
    </xdr:to>
    <xdr:pic>
      <xdr:nvPicPr>
        <xdr:cNvPr id="18" name="Picture 17"/>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057900" y="83073"/>
          <a:ext cx="1373188" cy="376411"/>
        </a:xfrm>
        <a:prstGeom prst="rect">
          <a:avLst/>
        </a:prstGeom>
      </xdr:spPr>
    </xdr:pic>
    <xdr:clientData/>
  </xdr:twoCellAnchor>
  <xdr:twoCellAnchor editAs="oneCell">
    <xdr:from>
      <xdr:col>7</xdr:col>
      <xdr:colOff>28575</xdr:colOff>
      <xdr:row>55</xdr:row>
      <xdr:rowOff>133304</xdr:rowOff>
    </xdr:from>
    <xdr:to>
      <xdr:col>8</xdr:col>
      <xdr:colOff>628650</xdr:colOff>
      <xdr:row>57</xdr:row>
      <xdr:rowOff>141982</xdr:rowOff>
    </xdr:to>
    <xdr:pic>
      <xdr:nvPicPr>
        <xdr:cNvPr id="19" name="Picture 18"/>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991225" y="11287079"/>
          <a:ext cx="1409700" cy="389678"/>
        </a:xfrm>
        <a:prstGeom prst="rect">
          <a:avLst/>
        </a:prstGeom>
      </xdr:spPr>
    </xdr:pic>
    <xdr:clientData/>
  </xdr:twoCellAnchor>
  <xdr:twoCellAnchor editAs="oneCell">
    <xdr:from>
      <xdr:col>6</xdr:col>
      <xdr:colOff>693964</xdr:colOff>
      <xdr:row>112</xdr:row>
      <xdr:rowOff>93379</xdr:rowOff>
    </xdr:from>
    <xdr:to>
      <xdr:col>8</xdr:col>
      <xdr:colOff>523875</xdr:colOff>
      <xdr:row>114</xdr:row>
      <xdr:rowOff>99801</xdr:rowOff>
    </xdr:to>
    <xdr:pic>
      <xdr:nvPicPr>
        <xdr:cNvPr id="20" name="Picture 19"/>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894614" y="22781929"/>
          <a:ext cx="1401536" cy="387422"/>
        </a:xfrm>
        <a:prstGeom prst="rect">
          <a:avLst/>
        </a:prstGeom>
      </xdr:spPr>
    </xdr:pic>
    <xdr:clientData/>
  </xdr:twoCellAnchor>
  <xdr:twoCellAnchor>
    <xdr:from>
      <xdr:col>0</xdr:col>
      <xdr:colOff>0</xdr:colOff>
      <xdr:row>97</xdr:row>
      <xdr:rowOff>0</xdr:rowOff>
    </xdr:from>
    <xdr:to>
      <xdr:col>8</xdr:col>
      <xdr:colOff>704850</xdr:colOff>
      <xdr:row>111</xdr:row>
      <xdr:rowOff>171450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0.64245</cdr:x>
      <cdr:y>0.01382</cdr:y>
    </cdr:from>
    <cdr:to>
      <cdr:x>0.87472</cdr:x>
      <cdr:y>0.13364</cdr:y>
    </cdr:to>
    <cdr:sp macro="" textlink="">
      <cdr:nvSpPr>
        <cdr:cNvPr id="2" name="TextBox 1"/>
        <cdr:cNvSpPr txBox="1"/>
      </cdr:nvSpPr>
      <cdr:spPr>
        <a:xfrm xmlns:a="http://schemas.openxmlformats.org/drawingml/2006/main">
          <a:off x="2898048" y="23804"/>
          <a:ext cx="1047768" cy="2063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solidFill>
              <a:srgbClr val="002060"/>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74387</xdr:colOff>
      <xdr:row>10</xdr:row>
      <xdr:rowOff>100806</xdr:rowOff>
    </xdr:from>
    <xdr:to>
      <xdr:col>5</xdr:col>
      <xdr:colOff>727529</xdr:colOff>
      <xdr:row>32</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28575</xdr:rowOff>
    </xdr:from>
    <xdr:to>
      <xdr:col>8</xdr:col>
      <xdr:colOff>725715</xdr:colOff>
      <xdr:row>5</xdr:row>
      <xdr:rowOff>104775</xdr:rowOff>
    </xdr:to>
    <xdr:sp macro="" textlink="">
      <xdr:nvSpPr>
        <xdr:cNvPr id="3" name="TextBox 2"/>
        <xdr:cNvSpPr txBox="1"/>
      </xdr:nvSpPr>
      <xdr:spPr>
        <a:xfrm>
          <a:off x="0" y="28575"/>
          <a:ext cx="6964590" cy="1028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1 A cleaner, healthier environment, benefiting people and the economy</a:t>
          </a:r>
        </a:p>
        <a:p>
          <a:r>
            <a:rPr lang="en-GB" sz="1400" b="1">
              <a:solidFill>
                <a:schemeClr val="bg1"/>
              </a:solidFill>
              <a:latin typeface="+mn-lt"/>
            </a:rPr>
            <a:t>1</a:t>
          </a:r>
          <a:r>
            <a:rPr lang="en-GB" sz="1400" b="1" baseline="0">
              <a:solidFill>
                <a:schemeClr val="bg1"/>
              </a:solidFill>
              <a:latin typeface="+mn-lt"/>
            </a:rPr>
            <a:t> </a:t>
          </a:r>
          <a:r>
            <a:rPr lang="en-GB" sz="1400" b="1">
              <a:solidFill>
                <a:schemeClr val="bg1"/>
              </a:solidFill>
              <a:latin typeface="+mn-lt"/>
            </a:rPr>
            <a:t>EA</a:t>
          </a:r>
          <a:r>
            <a:rPr lang="en-GB" sz="1400" b="1" baseline="0">
              <a:solidFill>
                <a:schemeClr val="bg1"/>
              </a:solidFill>
              <a:latin typeface="+mn-lt"/>
            </a:rPr>
            <a:t> 3</a:t>
          </a:r>
          <a:r>
            <a:rPr lang="en-GB" sz="1400" b="1">
              <a:solidFill>
                <a:schemeClr val="bg1"/>
              </a:solidFill>
              <a:latin typeface="+mn-lt"/>
            </a:rPr>
            <a:t>  We create new habitats</a:t>
          </a:r>
          <a:endParaRPr lang="en-GB" sz="1000" b="1">
            <a:solidFill>
              <a:schemeClr val="bg1"/>
            </a:solidFill>
            <a:latin typeface="+mn-lt"/>
          </a:endParaRPr>
        </a:p>
        <a:p>
          <a:endParaRPr lang="en-GB" sz="1000" b="1">
            <a:solidFill>
              <a:schemeClr val="bg1"/>
            </a:solidFill>
            <a:latin typeface="+mn-lt"/>
          </a:endParaRPr>
        </a:p>
        <a:p>
          <a:endParaRPr lang="en-GB" sz="1000" b="1">
            <a:solidFill>
              <a:schemeClr val="bg1"/>
            </a:solidFill>
            <a:latin typeface="+mn-lt"/>
          </a:endParaRPr>
        </a:p>
        <a:p>
          <a:r>
            <a:rPr lang="en-GB" sz="1050" b="1">
              <a:solidFill>
                <a:schemeClr val="bg1"/>
              </a:solidFill>
              <a:latin typeface="+mn-lt"/>
            </a:rPr>
            <a:t>Q</a:t>
          </a:r>
          <a:r>
            <a:rPr lang="en-GB" sz="1050" b="1" baseline="0">
              <a:solidFill>
                <a:schemeClr val="bg1"/>
              </a:solidFill>
              <a:latin typeface="+mn-lt"/>
            </a:rPr>
            <a:t>3 2017-18     Owners: Executive Directors of Environment and Business and Operations</a:t>
          </a:r>
          <a:endParaRPr lang="en-GB" sz="1050" b="1">
            <a:solidFill>
              <a:schemeClr val="bg1"/>
            </a:solidFill>
            <a:latin typeface="+mn-lt"/>
          </a:endParaRPr>
        </a:p>
      </xdr:txBody>
    </xdr:sp>
    <xdr:clientData/>
  </xdr:twoCellAnchor>
  <xdr:twoCellAnchor editAs="oneCell">
    <xdr:from>
      <xdr:col>6</xdr:col>
      <xdr:colOff>304800</xdr:colOff>
      <xdr:row>0</xdr:row>
      <xdr:rowOff>171450</xdr:rowOff>
    </xdr:from>
    <xdr:to>
      <xdr:col>8</xdr:col>
      <xdr:colOff>571500</xdr:colOff>
      <xdr:row>3</xdr:row>
      <xdr:rowOff>94947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19675" y="171450"/>
          <a:ext cx="1790700" cy="494997"/>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0.79421</cdr:x>
      <cdr:y>0.49126</cdr:y>
    </cdr:from>
    <cdr:to>
      <cdr:x>0.93002</cdr:x>
      <cdr:y>0.60864</cdr:y>
    </cdr:to>
    <cdr:sp macro="" textlink="">
      <cdr:nvSpPr>
        <cdr:cNvPr id="4" name="TextBox 3"/>
        <cdr:cNvSpPr txBox="1"/>
      </cdr:nvSpPr>
      <cdr:spPr>
        <a:xfrm xmlns:a="http://schemas.openxmlformats.org/drawingml/2006/main">
          <a:off x="3658126" y="2079543"/>
          <a:ext cx="625543" cy="4968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0">
              <a:solidFill>
                <a:sysClr val="windowText" lastClr="000000"/>
              </a:solidFill>
            </a:rPr>
            <a:t>Target</a:t>
          </a:r>
        </a:p>
      </cdr:txBody>
    </cdr:sp>
  </cdr:relSizeAnchor>
  <cdr:relSizeAnchor xmlns:cdr="http://schemas.openxmlformats.org/drawingml/2006/chartDrawing">
    <cdr:from>
      <cdr:x>0.87552</cdr:x>
      <cdr:y>0.54749</cdr:y>
    </cdr:from>
    <cdr:to>
      <cdr:x>0.92443</cdr:x>
      <cdr:y>0.65136</cdr:y>
    </cdr:to>
    <cdr:sp macro="" textlink="">
      <cdr:nvSpPr>
        <cdr:cNvPr id="6" name="Straight Arrow Connector 5"/>
        <cdr:cNvSpPr/>
      </cdr:nvSpPr>
      <cdr:spPr>
        <a:xfrm xmlns:a="http://schemas.openxmlformats.org/drawingml/2006/main">
          <a:off x="4032675" y="2317559"/>
          <a:ext cx="225281" cy="439689"/>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9</xdr:row>
      <xdr:rowOff>47625</xdr:rowOff>
    </xdr:from>
    <xdr:to>
      <xdr:col>6</xdr:col>
      <xdr:colOff>0</xdr:colOff>
      <xdr:row>22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29937</xdr:colOff>
      <xdr:row>0</xdr:row>
      <xdr:rowOff>47624</xdr:rowOff>
    </xdr:from>
    <xdr:to>
      <xdr:col>8</xdr:col>
      <xdr:colOff>990600</xdr:colOff>
      <xdr:row>5</xdr:row>
      <xdr:rowOff>209549</xdr:rowOff>
    </xdr:to>
    <xdr:sp macro="" textlink="">
      <xdr:nvSpPr>
        <xdr:cNvPr id="3" name="TextBox 2"/>
        <xdr:cNvSpPr txBox="1"/>
      </xdr:nvSpPr>
      <xdr:spPr>
        <a:xfrm>
          <a:off x="29937" y="47624"/>
          <a:ext cx="7142388" cy="9239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1 A cleaner, healthier environment, benefiting people and the economy</a:t>
          </a:r>
        </a:p>
        <a:p>
          <a:r>
            <a:rPr lang="en-GB" sz="1400" b="1">
              <a:solidFill>
                <a:schemeClr val="bg1"/>
              </a:solidFill>
              <a:latin typeface="+mn-lt"/>
            </a:rPr>
            <a:t>1 EA 4 We reduce the number of high risk illegal waste sites</a:t>
          </a:r>
        </a:p>
        <a:p>
          <a:endParaRPr lang="en-GB" sz="800" b="1">
            <a:solidFill>
              <a:schemeClr val="bg1"/>
            </a:solidFill>
            <a:latin typeface="+mn-lt"/>
          </a:endParaRPr>
        </a:p>
        <a:p>
          <a:r>
            <a:rPr lang="en-GB" sz="1050" b="1">
              <a:solidFill>
                <a:schemeClr val="bg1"/>
              </a:solidFill>
              <a:latin typeface="+mn-lt"/>
            </a:rPr>
            <a:t>Q3</a:t>
          </a:r>
          <a:r>
            <a:rPr lang="en-GB" sz="1050" b="1" baseline="0">
              <a:solidFill>
                <a:schemeClr val="bg1"/>
              </a:solidFill>
              <a:latin typeface="+mn-lt"/>
            </a:rPr>
            <a:t> 2017-18      Owners: Executive Directors of Environment and Business and Operations</a:t>
          </a:r>
          <a:endParaRPr lang="en-GB" sz="1050" b="1">
            <a:solidFill>
              <a:schemeClr val="bg1"/>
            </a:solidFill>
            <a:latin typeface="+mn-lt"/>
          </a:endParaRPr>
        </a:p>
      </xdr:txBody>
    </xdr:sp>
    <xdr:clientData/>
  </xdr:twoCellAnchor>
  <xdr:twoCellAnchor>
    <xdr:from>
      <xdr:col>4</xdr:col>
      <xdr:colOff>504825</xdr:colOff>
      <xdr:row>10</xdr:row>
      <xdr:rowOff>142875</xdr:rowOff>
    </xdr:from>
    <xdr:to>
      <xdr:col>4</xdr:col>
      <xdr:colOff>708660</xdr:colOff>
      <xdr:row>14</xdr:row>
      <xdr:rowOff>72390</xdr:rowOff>
    </xdr:to>
    <xdr:cxnSp macro="">
      <xdr:nvCxnSpPr>
        <xdr:cNvPr id="4" name="Straight Arrow Connector 3"/>
        <xdr:cNvCxnSpPr/>
      </xdr:nvCxnSpPr>
      <xdr:spPr>
        <a:xfrm>
          <a:off x="3524250" y="1828800"/>
          <a:ext cx="203835" cy="691515"/>
        </a:xfrm>
        <a:prstGeom prst="straightConnector1">
          <a:avLst/>
        </a:prstGeom>
        <a:ln w="12700">
          <a:solidFill>
            <a:srgbClr val="D95F1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209550</xdr:colOff>
      <xdr:row>9</xdr:row>
      <xdr:rowOff>144780</xdr:rowOff>
    </xdr:from>
    <xdr:to>
      <xdr:col>4</xdr:col>
      <xdr:colOff>632460</xdr:colOff>
      <xdr:row>10</xdr:row>
      <xdr:rowOff>188595</xdr:rowOff>
    </xdr:to>
    <xdr:sp macro="" textlink="">
      <xdr:nvSpPr>
        <xdr:cNvPr id="5" name="TextBox 4"/>
        <xdr:cNvSpPr txBox="1"/>
      </xdr:nvSpPr>
      <xdr:spPr>
        <a:xfrm>
          <a:off x="2466975" y="1630680"/>
          <a:ext cx="118491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050">
              <a:solidFill>
                <a:sysClr val="windowText" lastClr="000000"/>
              </a:solidFill>
            </a:rPr>
            <a:t>Ceilin</a:t>
          </a:r>
          <a:r>
            <a:rPr lang="en-GB" sz="1050" baseline="0">
              <a:solidFill>
                <a:sysClr val="windowText" lastClr="000000"/>
              </a:solidFill>
            </a:rPr>
            <a:t>g Targets</a:t>
          </a:r>
          <a:endParaRPr lang="en-GB" sz="1050">
            <a:solidFill>
              <a:sysClr val="windowText" lastClr="000000"/>
            </a:solidFill>
          </a:endParaRPr>
        </a:p>
      </xdr:txBody>
    </xdr:sp>
    <xdr:clientData/>
  </xdr:twoCellAnchor>
  <xdr:twoCellAnchor editAs="oneCell">
    <xdr:from>
      <xdr:col>6</xdr:col>
      <xdr:colOff>561975</xdr:colOff>
      <xdr:row>0</xdr:row>
      <xdr:rowOff>47625</xdr:rowOff>
    </xdr:from>
    <xdr:to>
      <xdr:col>8</xdr:col>
      <xdr:colOff>681990</xdr:colOff>
      <xdr:row>2</xdr:row>
      <xdr:rowOff>166888</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8250" y="47625"/>
          <a:ext cx="1815465" cy="500263"/>
        </a:xfrm>
        <a:prstGeom prst="rect">
          <a:avLst/>
        </a:prstGeom>
      </xdr:spPr>
    </xdr:pic>
    <xdr:clientData/>
  </xdr:twoCellAnchor>
  <xdr:twoCellAnchor editAs="oneCell">
    <xdr:from>
      <xdr:col>0</xdr:col>
      <xdr:colOff>523875</xdr:colOff>
      <xdr:row>24</xdr:row>
      <xdr:rowOff>53339</xdr:rowOff>
    </xdr:from>
    <xdr:to>
      <xdr:col>4</xdr:col>
      <xdr:colOff>441960</xdr:colOff>
      <xdr:row>39</xdr:row>
      <xdr:rowOff>304800</xdr:rowOff>
    </xdr:to>
    <xdr:pic>
      <xdr:nvPicPr>
        <xdr:cNvPr id="7" name="Picture 6"/>
        <xdr:cNvPicPr>
          <a:picLocks noChangeAspect="1"/>
        </xdr:cNvPicPr>
      </xdr:nvPicPr>
      <xdr:blipFill>
        <a:blip xmlns:r="http://schemas.openxmlformats.org/officeDocument/2006/relationships" r:embed="rId3"/>
        <a:stretch>
          <a:fillRect/>
        </a:stretch>
      </xdr:blipFill>
      <xdr:spPr>
        <a:xfrm>
          <a:off x="523875" y="4415789"/>
          <a:ext cx="2937510" cy="36614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59999389629810485"/>
    <pageSetUpPr fitToPage="1"/>
  </sheetPr>
  <dimension ref="A1:U49"/>
  <sheetViews>
    <sheetView showGridLines="0" showRuler="0" zoomScale="80" zoomScaleNormal="80" zoomScaleSheetLayoutView="100" zoomScalePageLayoutView="90" workbookViewId="0">
      <pane ySplit="4" topLeftCell="A18" activePane="bottomLeft" state="frozen"/>
      <selection pane="bottomLeft" activeCell="J29" sqref="J29"/>
    </sheetView>
  </sheetViews>
  <sheetFormatPr defaultColWidth="8.88671875" defaultRowHeight="15" x14ac:dyDescent="0.2"/>
  <cols>
    <col min="1" max="1" width="1.33203125" style="1" customWidth="1"/>
    <col min="2" max="2" width="6.5546875" style="1" customWidth="1"/>
    <col min="3" max="3" width="8.88671875" style="1"/>
    <col min="4" max="4" width="47.21875" style="1" customWidth="1"/>
    <col min="5" max="5" width="0.88671875" style="1" customWidth="1"/>
    <col min="6" max="6" width="13.77734375" style="1" customWidth="1"/>
    <col min="7" max="7" width="1" style="1" customWidth="1"/>
    <col min="8" max="8" width="9.33203125" style="1" hidden="1" customWidth="1"/>
    <col min="9" max="9" width="1.44140625" style="1" hidden="1" customWidth="1"/>
    <col min="10" max="10" width="9.33203125" style="1" customWidth="1"/>
    <col min="11" max="11" width="1.44140625" style="1" customWidth="1"/>
    <col min="12" max="12" width="9.33203125" style="2" customWidth="1"/>
    <col min="13" max="13" width="1.44140625" style="1" customWidth="1"/>
    <col min="14" max="14" width="9.33203125" style="2" customWidth="1"/>
    <col min="15" max="15" width="1.44140625" style="1" customWidth="1"/>
    <col min="16" max="16" width="8.6640625" style="2" customWidth="1"/>
    <col min="17" max="17" width="0.77734375" style="1" customWidth="1"/>
    <col min="18" max="18" width="9.33203125" style="2" customWidth="1"/>
    <col min="19" max="19" width="0.5546875" style="2" customWidth="1"/>
    <col min="20" max="20" width="5.77734375" style="2" customWidth="1"/>
    <col min="21" max="23" width="0.77734375" style="1" customWidth="1"/>
    <col min="24" max="16384" width="8.88671875" style="1"/>
  </cols>
  <sheetData>
    <row r="1" spans="1:20" x14ac:dyDescent="0.2">
      <c r="A1" s="71"/>
      <c r="B1" s="71"/>
      <c r="C1" s="71"/>
      <c r="D1" s="71"/>
      <c r="E1" s="71"/>
      <c r="F1" s="71"/>
      <c r="G1" s="71"/>
      <c r="H1" s="71"/>
      <c r="I1" s="71"/>
      <c r="J1" s="71"/>
      <c r="K1" s="71"/>
      <c r="L1" s="98"/>
      <c r="M1" s="71"/>
      <c r="N1" s="98"/>
      <c r="O1" s="71"/>
      <c r="P1" s="98"/>
      <c r="Q1" s="71"/>
      <c r="R1" s="98"/>
      <c r="S1" s="98"/>
      <c r="T1" s="98"/>
    </row>
    <row r="2" spans="1:20" ht="20.25" x14ac:dyDescent="0.3">
      <c r="A2" s="71"/>
      <c r="B2" s="764"/>
      <c r="C2" s="764"/>
      <c r="D2" s="764"/>
      <c r="E2" s="764"/>
      <c r="F2" s="764"/>
      <c r="G2" s="764"/>
      <c r="H2" s="764"/>
      <c r="I2" s="764"/>
      <c r="J2" s="764"/>
      <c r="K2" s="764"/>
      <c r="L2" s="764"/>
      <c r="M2" s="764"/>
      <c r="N2" s="764"/>
      <c r="O2" s="764"/>
      <c r="P2" s="764"/>
      <c r="Q2" s="764"/>
      <c r="R2" s="764"/>
      <c r="S2" s="131"/>
      <c r="T2" s="131"/>
    </row>
    <row r="3" spans="1:20" ht="28.5" customHeight="1" x14ac:dyDescent="0.3">
      <c r="A3" s="71"/>
      <c r="B3" s="131"/>
      <c r="C3" s="130"/>
      <c r="D3" s="130"/>
      <c r="E3" s="130"/>
      <c r="F3" s="130"/>
      <c r="G3" s="130"/>
      <c r="H3" s="130"/>
      <c r="I3" s="130"/>
      <c r="J3" s="130"/>
      <c r="K3" s="130"/>
      <c r="L3" s="98"/>
      <c r="M3" s="130"/>
      <c r="N3" s="98"/>
      <c r="O3" s="130"/>
      <c r="P3" s="98"/>
      <c r="Q3" s="130"/>
      <c r="R3" s="98"/>
      <c r="S3" s="98"/>
      <c r="T3" s="98"/>
    </row>
    <row r="4" spans="1:20" ht="58.5" customHeight="1" x14ac:dyDescent="0.35">
      <c r="A4" s="71"/>
      <c r="B4" s="765"/>
      <c r="C4" s="766"/>
      <c r="D4" s="766"/>
      <c r="E4" s="129"/>
      <c r="F4" s="127" t="s">
        <v>35</v>
      </c>
      <c r="G4" s="127"/>
      <c r="H4" s="128" t="s">
        <v>34</v>
      </c>
      <c r="I4" s="127"/>
      <c r="J4" s="126" t="s">
        <v>37</v>
      </c>
      <c r="K4" s="127"/>
      <c r="L4" s="126" t="s">
        <v>38</v>
      </c>
      <c r="M4" s="127"/>
      <c r="N4" s="126" t="s">
        <v>33</v>
      </c>
      <c r="O4" s="127"/>
      <c r="P4" s="126" t="s">
        <v>39</v>
      </c>
      <c r="Q4" s="127"/>
      <c r="R4" s="126" t="s">
        <v>32</v>
      </c>
      <c r="S4" s="126"/>
      <c r="T4" s="126" t="s">
        <v>31</v>
      </c>
    </row>
    <row r="5" spans="1:20" ht="44.25" customHeight="1" x14ac:dyDescent="0.2">
      <c r="A5" s="71"/>
      <c r="B5" s="767" t="s">
        <v>30</v>
      </c>
      <c r="C5" s="767"/>
      <c r="D5" s="767"/>
      <c r="E5" s="767"/>
      <c r="F5" s="767"/>
      <c r="G5" s="767"/>
      <c r="H5" s="767"/>
      <c r="I5" s="767"/>
      <c r="J5" s="767"/>
      <c r="K5" s="767"/>
      <c r="L5" s="767"/>
      <c r="M5" s="767"/>
      <c r="N5" s="767"/>
      <c r="O5" s="767"/>
      <c r="P5" s="767"/>
      <c r="Q5" s="767"/>
      <c r="R5" s="767"/>
      <c r="S5" s="767"/>
      <c r="T5" s="767"/>
    </row>
    <row r="6" spans="1:20" ht="3.95" customHeight="1" thickBot="1" x14ac:dyDescent="0.3">
      <c r="A6" s="71"/>
      <c r="B6" s="125"/>
      <c r="C6" s="124"/>
      <c r="D6" s="124"/>
      <c r="E6" s="123"/>
      <c r="F6" s="122"/>
      <c r="G6" s="122"/>
      <c r="H6" s="122"/>
      <c r="I6" s="120"/>
      <c r="J6" s="121"/>
      <c r="K6" s="120"/>
      <c r="L6" s="78"/>
      <c r="M6" s="120"/>
      <c r="N6" s="78"/>
      <c r="O6" s="120"/>
      <c r="P6" s="78"/>
      <c r="Q6" s="120"/>
      <c r="R6" s="78"/>
      <c r="S6" s="78"/>
      <c r="T6" s="78"/>
    </row>
    <row r="7" spans="1:20" ht="39.950000000000003" customHeight="1" thickBot="1" x14ac:dyDescent="0.35">
      <c r="A7" s="24"/>
      <c r="B7" s="763" t="s">
        <v>42</v>
      </c>
      <c r="C7" s="763"/>
      <c r="D7" s="763"/>
      <c r="E7" s="30"/>
      <c r="F7" s="119" t="s">
        <v>29</v>
      </c>
      <c r="G7" s="118"/>
      <c r="H7" s="40">
        <v>534</v>
      </c>
      <c r="I7" s="117"/>
      <c r="J7" s="116">
        <v>1156</v>
      </c>
      <c r="K7" s="88"/>
      <c r="L7" s="40">
        <v>1156</v>
      </c>
      <c r="M7" s="88"/>
      <c r="N7" s="40">
        <v>1500</v>
      </c>
      <c r="O7" s="115"/>
      <c r="P7" s="114" t="s">
        <v>41</v>
      </c>
      <c r="Q7" s="88"/>
      <c r="R7" s="114" t="s">
        <v>41</v>
      </c>
      <c r="S7" s="21"/>
      <c r="T7" s="5">
        <v>2</v>
      </c>
    </row>
    <row r="8" spans="1:20" ht="3.95" customHeight="1" thickBot="1" x14ac:dyDescent="0.3">
      <c r="A8" s="24"/>
      <c r="B8" s="113"/>
      <c r="C8" s="30"/>
      <c r="D8" s="30"/>
      <c r="E8" s="112"/>
      <c r="F8" s="109"/>
      <c r="G8" s="46"/>
      <c r="H8" s="111"/>
      <c r="I8" s="110"/>
      <c r="J8" s="109"/>
      <c r="K8" s="104"/>
      <c r="L8" s="56"/>
      <c r="M8" s="104"/>
      <c r="N8" s="56"/>
      <c r="O8" s="104"/>
      <c r="P8" s="56"/>
      <c r="Q8" s="104"/>
      <c r="R8" s="56"/>
      <c r="S8" s="42"/>
      <c r="T8" s="48"/>
    </row>
    <row r="9" spans="1:20" ht="50.1" customHeight="1" thickBot="1" x14ac:dyDescent="0.3">
      <c r="A9" s="24"/>
      <c r="B9" s="763" t="s">
        <v>43</v>
      </c>
      <c r="C9" s="763"/>
      <c r="D9" s="763"/>
      <c r="E9" s="30"/>
      <c r="F9" s="56" t="s">
        <v>28</v>
      </c>
      <c r="G9" s="29"/>
      <c r="H9" s="82">
        <v>479</v>
      </c>
      <c r="I9" s="69"/>
      <c r="J9" s="103">
        <v>394</v>
      </c>
      <c r="K9" s="87"/>
      <c r="L9" s="94">
        <v>496</v>
      </c>
      <c r="M9" s="108"/>
      <c r="N9" s="94">
        <v>496</v>
      </c>
      <c r="O9" s="87"/>
      <c r="P9" s="51" t="s">
        <v>41</v>
      </c>
      <c r="Q9" s="108"/>
      <c r="R9" s="51" t="s">
        <v>41</v>
      </c>
      <c r="S9" s="66"/>
      <c r="T9" s="5" t="s">
        <v>27</v>
      </c>
    </row>
    <row r="10" spans="1:20" ht="3.95" customHeight="1" thickBot="1" x14ac:dyDescent="0.3">
      <c r="A10" s="24"/>
      <c r="B10" s="47"/>
      <c r="C10" s="56"/>
      <c r="D10" s="56"/>
      <c r="E10" s="70"/>
      <c r="F10" s="56"/>
      <c r="G10" s="29"/>
      <c r="H10" s="67"/>
      <c r="I10" s="69"/>
      <c r="J10" s="86"/>
      <c r="K10" s="87"/>
      <c r="L10" s="86"/>
      <c r="M10" s="87"/>
      <c r="N10" s="86"/>
      <c r="O10" s="87"/>
      <c r="P10" s="86"/>
      <c r="Q10" s="87"/>
      <c r="R10" s="86"/>
      <c r="S10" s="66"/>
      <c r="T10" s="5"/>
    </row>
    <row r="11" spans="1:20" ht="44.25" customHeight="1" thickBot="1" x14ac:dyDescent="0.3">
      <c r="A11" s="24"/>
      <c r="B11" s="763" t="s">
        <v>44</v>
      </c>
      <c r="C11" s="763"/>
      <c r="D11" s="763"/>
      <c r="E11" s="70"/>
      <c r="F11" s="56" t="s">
        <v>26</v>
      </c>
      <c r="G11" s="29"/>
      <c r="H11" s="52" t="s">
        <v>25</v>
      </c>
      <c r="I11" s="69"/>
      <c r="J11" s="106" t="s">
        <v>284</v>
      </c>
      <c r="K11" s="107"/>
      <c r="L11" s="106" t="s">
        <v>284</v>
      </c>
      <c r="M11" s="87"/>
      <c r="N11" s="94" t="s">
        <v>278</v>
      </c>
      <c r="O11" s="104"/>
      <c r="P11" s="105" t="s">
        <v>24</v>
      </c>
      <c r="Q11" s="104"/>
      <c r="R11" s="51" t="s">
        <v>41</v>
      </c>
      <c r="S11" s="66"/>
      <c r="T11" s="5">
        <v>4</v>
      </c>
    </row>
    <row r="12" spans="1:20" ht="3.95" customHeight="1" thickBot="1" x14ac:dyDescent="0.3">
      <c r="A12" s="24"/>
      <c r="B12" s="47"/>
      <c r="C12" s="56"/>
      <c r="D12" s="56"/>
      <c r="E12" s="70"/>
      <c r="F12" s="56"/>
      <c r="G12" s="29"/>
      <c r="H12" s="67"/>
      <c r="I12" s="69"/>
      <c r="J12" s="86"/>
      <c r="K12" s="87"/>
      <c r="L12" s="86"/>
      <c r="M12" s="87"/>
      <c r="N12" s="86"/>
      <c r="O12" s="87"/>
      <c r="P12" s="86"/>
      <c r="Q12" s="87"/>
      <c r="R12" s="86"/>
      <c r="S12" s="66"/>
      <c r="T12" s="5"/>
    </row>
    <row r="13" spans="1:20" ht="50.1" customHeight="1" thickBot="1" x14ac:dyDescent="0.3">
      <c r="A13" s="24"/>
      <c r="B13" s="763" t="s">
        <v>45</v>
      </c>
      <c r="C13" s="763"/>
      <c r="D13" s="763"/>
      <c r="E13" s="30"/>
      <c r="F13" s="56" t="s">
        <v>23</v>
      </c>
      <c r="G13" s="29"/>
      <c r="H13" s="103">
        <v>247</v>
      </c>
      <c r="I13" s="43"/>
      <c r="J13" s="103">
        <v>263</v>
      </c>
      <c r="K13" s="50"/>
      <c r="L13" s="103">
        <v>230</v>
      </c>
      <c r="M13" s="50"/>
      <c r="N13" s="103">
        <v>223</v>
      </c>
      <c r="O13" s="102"/>
      <c r="P13" s="19" t="s">
        <v>36</v>
      </c>
      <c r="Q13" s="101"/>
      <c r="R13" s="19" t="s">
        <v>36</v>
      </c>
      <c r="S13" s="66"/>
      <c r="T13" s="5">
        <v>5</v>
      </c>
    </row>
    <row r="14" spans="1:20" ht="3.75" customHeight="1" x14ac:dyDescent="0.25">
      <c r="A14" s="24"/>
      <c r="B14" s="100"/>
      <c r="C14" s="99"/>
      <c r="D14" s="99"/>
      <c r="E14" s="30"/>
      <c r="F14" s="29"/>
      <c r="G14" s="29"/>
      <c r="H14" s="88"/>
      <c r="I14" s="43"/>
      <c r="J14" s="88"/>
      <c r="K14" s="43"/>
      <c r="L14" s="88"/>
      <c r="M14" s="43"/>
      <c r="N14" s="88"/>
      <c r="O14" s="98"/>
      <c r="P14" s="97"/>
      <c r="Q14" s="98"/>
      <c r="R14" s="97"/>
      <c r="S14" s="66"/>
      <c r="T14" s="21"/>
    </row>
    <row r="15" spans="1:20" ht="51.75" customHeight="1" x14ac:dyDescent="0.2">
      <c r="A15" s="71"/>
      <c r="B15" s="769" t="s">
        <v>22</v>
      </c>
      <c r="C15" s="769"/>
      <c r="D15" s="769"/>
      <c r="E15" s="769"/>
      <c r="F15" s="769"/>
      <c r="G15" s="769"/>
      <c r="H15" s="769"/>
      <c r="I15" s="769"/>
      <c r="J15" s="769"/>
      <c r="K15" s="769"/>
      <c r="L15" s="769"/>
      <c r="M15" s="769"/>
      <c r="N15" s="769"/>
      <c r="O15" s="769"/>
      <c r="P15" s="769"/>
      <c r="Q15" s="769"/>
      <c r="R15" s="769"/>
      <c r="S15" s="769"/>
      <c r="T15" s="769"/>
    </row>
    <row r="16" spans="1:20" ht="10.5" customHeight="1" thickBot="1" x14ac:dyDescent="0.3">
      <c r="A16" s="24"/>
      <c r="B16" s="47"/>
      <c r="C16" s="56"/>
      <c r="D16" s="56"/>
      <c r="E16" s="70"/>
      <c r="F16" s="29"/>
      <c r="G16" s="29"/>
      <c r="H16" s="67"/>
      <c r="I16" s="69"/>
      <c r="J16" s="67"/>
      <c r="K16" s="68"/>
      <c r="L16" s="67"/>
      <c r="M16" s="68"/>
      <c r="N16" s="67"/>
      <c r="O16" s="68"/>
      <c r="P16" s="67"/>
      <c r="Q16" s="68"/>
      <c r="R16" s="67"/>
      <c r="S16" s="66"/>
      <c r="T16" s="21"/>
    </row>
    <row r="17" spans="1:21" ht="50.1" customHeight="1" thickBot="1" x14ac:dyDescent="0.3">
      <c r="A17" s="24"/>
      <c r="B17" s="763" t="s">
        <v>46</v>
      </c>
      <c r="C17" s="763"/>
      <c r="D17" s="763"/>
      <c r="E17" s="96"/>
      <c r="F17" s="48" t="s">
        <v>21</v>
      </c>
      <c r="G17" s="42"/>
      <c r="H17" s="94">
        <v>61368</v>
      </c>
      <c r="I17" s="95"/>
      <c r="J17" s="132">
        <v>107834</v>
      </c>
      <c r="K17" s="93"/>
      <c r="L17" s="132">
        <v>101000</v>
      </c>
      <c r="M17" s="93"/>
      <c r="N17" s="132">
        <v>140000</v>
      </c>
      <c r="O17" s="93"/>
      <c r="P17" s="37" t="s">
        <v>41</v>
      </c>
      <c r="Q17" s="93"/>
      <c r="R17" s="37" t="s">
        <v>41</v>
      </c>
      <c r="S17" s="56"/>
      <c r="T17" s="5">
        <v>6</v>
      </c>
    </row>
    <row r="18" spans="1:21" ht="3.95" customHeight="1" thickBot="1" x14ac:dyDescent="0.3">
      <c r="A18" s="24"/>
      <c r="B18" s="47"/>
      <c r="C18" s="56"/>
      <c r="D18" s="56"/>
      <c r="E18" s="30"/>
      <c r="F18" s="56"/>
      <c r="G18" s="66"/>
      <c r="H18" s="67"/>
      <c r="I18" s="69"/>
      <c r="J18" s="86"/>
      <c r="K18" s="87"/>
      <c r="L18" s="86"/>
      <c r="M18" s="87"/>
      <c r="N18" s="86"/>
      <c r="O18" s="87"/>
      <c r="P18" s="86"/>
      <c r="Q18" s="87"/>
      <c r="R18" s="86"/>
      <c r="S18" s="56"/>
      <c r="T18" s="5"/>
    </row>
    <row r="19" spans="1:21" ht="50.1" customHeight="1" thickBot="1" x14ac:dyDescent="0.3">
      <c r="A19" s="24"/>
      <c r="B19" s="770" t="s">
        <v>20</v>
      </c>
      <c r="C19" s="770"/>
      <c r="D19" s="770"/>
      <c r="E19" s="43"/>
      <c r="F19" s="56" t="s">
        <v>19</v>
      </c>
      <c r="G19" s="66"/>
      <c r="H19" s="52">
        <v>0.96</v>
      </c>
      <c r="I19" s="92"/>
      <c r="J19" s="133">
        <v>0.96699999999999997</v>
      </c>
      <c r="K19" s="91"/>
      <c r="L19" s="133">
        <v>0.97299999999999998</v>
      </c>
      <c r="M19" s="90"/>
      <c r="N19" s="133">
        <v>0.97499999999999998</v>
      </c>
      <c r="O19" s="89"/>
      <c r="P19" s="81" t="s">
        <v>40</v>
      </c>
      <c r="Q19" s="88"/>
      <c r="R19" s="51" t="s">
        <v>41</v>
      </c>
      <c r="S19" s="56"/>
      <c r="T19" s="5">
        <v>7</v>
      </c>
    </row>
    <row r="20" spans="1:21" ht="3.95" customHeight="1" x14ac:dyDescent="0.25">
      <c r="A20" s="24"/>
      <c r="B20" s="47"/>
      <c r="C20" s="56"/>
      <c r="D20" s="56"/>
      <c r="E20" s="30"/>
      <c r="F20" s="66"/>
      <c r="G20" s="66"/>
      <c r="H20" s="67"/>
      <c r="I20" s="69"/>
      <c r="J20" s="86"/>
      <c r="K20" s="87"/>
      <c r="L20" s="86"/>
      <c r="M20" s="87"/>
      <c r="N20" s="86"/>
      <c r="O20" s="87"/>
      <c r="P20" s="86"/>
      <c r="Q20" s="87"/>
      <c r="R20" s="86"/>
      <c r="S20" s="56"/>
      <c r="T20" s="5"/>
    </row>
    <row r="21" spans="1:21" ht="29.45" customHeight="1" x14ac:dyDescent="0.2">
      <c r="A21" s="24"/>
      <c r="B21" s="770" t="s">
        <v>47</v>
      </c>
      <c r="C21" s="770"/>
      <c r="D21" s="770"/>
      <c r="E21" s="30"/>
      <c r="F21" s="85"/>
      <c r="G21" s="85"/>
      <c r="H21" s="85"/>
      <c r="I21" s="85"/>
      <c r="J21" s="84"/>
      <c r="K21" s="84"/>
      <c r="L21" s="84"/>
      <c r="M21" s="84"/>
      <c r="N21" s="84"/>
      <c r="O21" s="84"/>
      <c r="P21" s="84"/>
      <c r="Q21" s="84"/>
      <c r="R21" s="84"/>
      <c r="S21" s="84"/>
      <c r="T21" s="84"/>
      <c r="U21" s="83"/>
    </row>
    <row r="22" spans="1:21" ht="5.45" customHeight="1" thickBot="1" x14ac:dyDescent="0.25">
      <c r="A22" s="24"/>
      <c r="B22" s="47"/>
      <c r="C22" s="771"/>
      <c r="D22" s="771"/>
      <c r="E22" s="30"/>
      <c r="F22" s="85"/>
      <c r="G22" s="85"/>
      <c r="H22" s="85"/>
      <c r="I22" s="85"/>
      <c r="J22" s="84"/>
      <c r="K22" s="84"/>
      <c r="L22" s="84"/>
      <c r="M22" s="84"/>
      <c r="N22" s="84"/>
      <c r="O22" s="84"/>
      <c r="P22" s="84"/>
      <c r="Q22" s="84"/>
      <c r="R22" s="84"/>
      <c r="S22" s="84"/>
      <c r="T22" s="84"/>
      <c r="U22" s="83"/>
    </row>
    <row r="23" spans="1:21" ht="50.1" customHeight="1" thickBot="1" x14ac:dyDescent="0.3">
      <c r="A23" s="24"/>
      <c r="B23" s="772" t="s">
        <v>18</v>
      </c>
      <c r="C23" s="772"/>
      <c r="D23" s="772"/>
      <c r="E23" s="30"/>
      <c r="F23" s="79" t="s">
        <v>17</v>
      </c>
      <c r="G23" s="78"/>
      <c r="H23" s="77"/>
      <c r="I23" s="72"/>
      <c r="J23" s="132">
        <v>6626</v>
      </c>
      <c r="K23" s="136"/>
      <c r="L23" s="132">
        <v>6500</v>
      </c>
      <c r="M23" s="136"/>
      <c r="N23" s="132">
        <v>6500</v>
      </c>
      <c r="O23" s="76"/>
      <c r="P23" s="51" t="s">
        <v>41</v>
      </c>
      <c r="Q23" s="76"/>
      <c r="R23" s="49" t="s">
        <v>41</v>
      </c>
      <c r="S23" s="56"/>
      <c r="T23" s="5">
        <v>8</v>
      </c>
    </row>
    <row r="24" spans="1:21" ht="6.6" customHeight="1" thickBot="1" x14ac:dyDescent="0.3">
      <c r="A24" s="24"/>
      <c r="B24" s="47"/>
      <c r="C24" s="30"/>
      <c r="D24" s="30"/>
      <c r="E24" s="30"/>
      <c r="F24" s="79"/>
      <c r="G24" s="78"/>
      <c r="H24" s="77"/>
      <c r="I24" s="72"/>
      <c r="J24" s="137"/>
      <c r="K24" s="136"/>
      <c r="L24" s="137"/>
      <c r="M24" s="136"/>
      <c r="N24" s="137"/>
      <c r="O24" s="76"/>
      <c r="P24" s="80"/>
      <c r="Q24" s="76"/>
      <c r="R24" s="80"/>
      <c r="S24" s="56"/>
      <c r="T24" s="5"/>
    </row>
    <row r="25" spans="1:21" ht="50.1" customHeight="1" thickBot="1" x14ac:dyDescent="0.3">
      <c r="A25" s="24"/>
      <c r="B25" s="770" t="s">
        <v>16</v>
      </c>
      <c r="C25" s="770"/>
      <c r="D25" s="770"/>
      <c r="E25" s="30"/>
      <c r="F25" s="79" t="s">
        <v>15</v>
      </c>
      <c r="G25" s="78"/>
      <c r="H25" s="77"/>
      <c r="I25" s="72"/>
      <c r="J25" s="138">
        <v>0.69</v>
      </c>
      <c r="K25" s="139"/>
      <c r="L25" s="138">
        <v>0.74</v>
      </c>
      <c r="M25" s="139"/>
      <c r="N25" s="138">
        <v>0.8</v>
      </c>
      <c r="O25" s="76"/>
      <c r="P25" s="134" t="s">
        <v>36</v>
      </c>
      <c r="Q25" s="76"/>
      <c r="R25" s="135" t="s">
        <v>40</v>
      </c>
      <c r="S25" s="56"/>
      <c r="T25" s="5">
        <v>8</v>
      </c>
    </row>
    <row r="26" spans="1:21" ht="3.6" customHeight="1" x14ac:dyDescent="0.25">
      <c r="A26" s="24"/>
      <c r="B26" s="47"/>
      <c r="C26" s="30"/>
      <c r="D26" s="30"/>
      <c r="E26" s="30"/>
      <c r="F26" s="75"/>
      <c r="G26" s="75"/>
      <c r="H26" s="74"/>
      <c r="I26" s="72"/>
      <c r="J26" s="73"/>
      <c r="K26" s="72"/>
      <c r="L26" s="12"/>
      <c r="M26" s="72"/>
      <c r="N26" s="12"/>
      <c r="O26" s="72"/>
      <c r="P26" s="140"/>
      <c r="Q26" s="72"/>
      <c r="R26" s="12"/>
      <c r="S26" s="66"/>
      <c r="T26" s="21"/>
    </row>
    <row r="27" spans="1:21" ht="34.15" customHeight="1" x14ac:dyDescent="0.2">
      <c r="A27" s="71"/>
      <c r="B27" s="773" t="s">
        <v>14</v>
      </c>
      <c r="C27" s="773"/>
      <c r="D27" s="773"/>
      <c r="E27" s="773"/>
      <c r="F27" s="773"/>
      <c r="G27" s="773"/>
      <c r="H27" s="773"/>
      <c r="I27" s="773"/>
      <c r="J27" s="773"/>
      <c r="K27" s="773"/>
      <c r="L27" s="773"/>
      <c r="M27" s="773"/>
      <c r="N27" s="773"/>
      <c r="O27" s="773"/>
      <c r="P27" s="773"/>
      <c r="Q27" s="773"/>
      <c r="R27" s="773"/>
      <c r="S27" s="773"/>
      <c r="T27" s="773"/>
    </row>
    <row r="28" spans="1:21" ht="9" customHeight="1" thickBot="1" x14ac:dyDescent="0.3">
      <c r="A28" s="24"/>
      <c r="B28" s="47"/>
      <c r="C28" s="56"/>
      <c r="D28" s="56"/>
      <c r="E28" s="70"/>
      <c r="F28" s="29"/>
      <c r="G28" s="29"/>
      <c r="H28" s="67"/>
      <c r="I28" s="69"/>
      <c r="J28" s="67"/>
      <c r="K28" s="68"/>
      <c r="L28" s="67"/>
      <c r="M28" s="68"/>
      <c r="N28" s="67"/>
      <c r="O28" s="68"/>
      <c r="P28" s="67"/>
      <c r="Q28" s="68"/>
      <c r="R28" s="67"/>
      <c r="S28" s="66"/>
      <c r="T28" s="21"/>
    </row>
    <row r="29" spans="1:21" ht="39.950000000000003" customHeight="1" thickBot="1" x14ac:dyDescent="0.3">
      <c r="A29" s="24"/>
      <c r="B29" s="774" t="s">
        <v>13</v>
      </c>
      <c r="C29" s="774"/>
      <c r="D29" s="774"/>
      <c r="E29" s="3"/>
      <c r="F29" s="13" t="s">
        <v>12</v>
      </c>
      <c r="G29" s="12"/>
      <c r="H29" s="62">
        <v>1.03</v>
      </c>
      <c r="I29" s="65"/>
      <c r="J29" s="64">
        <v>0.93</v>
      </c>
      <c r="K29" s="63"/>
      <c r="L29" s="62">
        <v>1</v>
      </c>
      <c r="M29" s="63"/>
      <c r="N29" s="62">
        <v>1</v>
      </c>
      <c r="O29" s="53"/>
      <c r="P29" s="81" t="s">
        <v>40</v>
      </c>
      <c r="Q29" s="53"/>
      <c r="R29" s="51" t="s">
        <v>41</v>
      </c>
      <c r="S29" s="56"/>
      <c r="T29" s="5">
        <v>9</v>
      </c>
    </row>
    <row r="30" spans="1:21" ht="3.95" customHeight="1" thickBot="1" x14ac:dyDescent="0.3">
      <c r="A30" s="24"/>
      <c r="B30" s="61"/>
      <c r="C30" s="30"/>
      <c r="D30" s="30"/>
      <c r="E30" s="30"/>
      <c r="F30" s="48"/>
      <c r="G30" s="42"/>
      <c r="H30" s="60"/>
      <c r="I30" s="55"/>
      <c r="J30" s="59"/>
      <c r="K30" s="58"/>
      <c r="L30" s="59"/>
      <c r="M30" s="58"/>
      <c r="N30" s="59"/>
      <c r="O30" s="58"/>
      <c r="P30" s="57"/>
      <c r="Q30" s="58"/>
      <c r="R30" s="57"/>
      <c r="S30" s="56"/>
      <c r="T30" s="5"/>
    </row>
    <row r="31" spans="1:21" ht="50.1" customHeight="1" thickBot="1" x14ac:dyDescent="0.3">
      <c r="A31" s="24"/>
      <c r="B31" s="774" t="s">
        <v>48</v>
      </c>
      <c r="C31" s="774"/>
      <c r="D31" s="774"/>
      <c r="E31" s="30"/>
      <c r="F31" s="48" t="s">
        <v>11</v>
      </c>
      <c r="G31" s="42"/>
      <c r="H31" s="52">
        <v>0.94</v>
      </c>
      <c r="I31" s="55"/>
      <c r="J31" s="54">
        <v>0.94799999999999995</v>
      </c>
      <c r="K31" s="53"/>
      <c r="L31" s="52">
        <v>0.95</v>
      </c>
      <c r="M31" s="53"/>
      <c r="N31" s="52">
        <v>0.95</v>
      </c>
      <c r="O31" s="50"/>
      <c r="P31" s="81" t="s">
        <v>40</v>
      </c>
      <c r="Q31" s="50"/>
      <c r="R31" s="49" t="s">
        <v>41</v>
      </c>
      <c r="S31" s="48"/>
      <c r="T31" s="48">
        <v>10</v>
      </c>
    </row>
    <row r="32" spans="1:21" ht="3.95" customHeight="1" x14ac:dyDescent="0.25">
      <c r="A32" s="24"/>
      <c r="B32" s="47"/>
      <c r="C32" s="30"/>
      <c r="D32" s="30"/>
      <c r="E32" s="30"/>
      <c r="F32" s="46"/>
      <c r="G32" s="46"/>
      <c r="H32" s="45"/>
      <c r="I32" s="43"/>
      <c r="J32" s="44"/>
      <c r="K32" s="43"/>
      <c r="L32" s="42"/>
      <c r="M32" s="43"/>
      <c r="N32" s="42"/>
      <c r="O32" s="43"/>
      <c r="P32" s="42"/>
      <c r="Q32" s="43"/>
      <c r="R32" s="42"/>
      <c r="S32" s="41"/>
      <c r="T32" s="41"/>
    </row>
    <row r="33" spans="1:20" ht="3.95" customHeight="1" x14ac:dyDescent="0.25">
      <c r="A33" s="24"/>
      <c r="B33" s="47"/>
      <c r="C33" s="30"/>
      <c r="D33" s="30"/>
      <c r="E33" s="30"/>
      <c r="F33" s="46"/>
      <c r="G33" s="46"/>
      <c r="H33" s="45"/>
      <c r="I33" s="43"/>
      <c r="J33" s="44"/>
      <c r="K33" s="43"/>
      <c r="L33" s="42"/>
      <c r="M33" s="43"/>
      <c r="N33" s="42"/>
      <c r="O33" s="43"/>
      <c r="P33" s="42"/>
      <c r="Q33" s="43"/>
      <c r="R33" s="42"/>
      <c r="S33" s="41"/>
      <c r="T33" s="41"/>
    </row>
    <row r="34" spans="1:20" ht="36" customHeight="1" x14ac:dyDescent="0.2">
      <c r="A34" s="24"/>
      <c r="B34" s="768" t="s">
        <v>10</v>
      </c>
      <c r="C34" s="768"/>
      <c r="D34" s="768"/>
      <c r="E34" s="768"/>
      <c r="F34" s="768"/>
      <c r="G34" s="768"/>
      <c r="H34" s="768"/>
      <c r="I34" s="768"/>
      <c r="J34" s="768"/>
      <c r="K34" s="768"/>
      <c r="L34" s="768"/>
      <c r="M34" s="768"/>
      <c r="N34" s="768"/>
      <c r="O34" s="768"/>
      <c r="P34" s="768"/>
      <c r="Q34" s="768"/>
      <c r="R34" s="768"/>
      <c r="S34" s="768"/>
      <c r="T34" s="768"/>
    </row>
    <row r="35" spans="1:20" ht="4.5" customHeight="1" thickBot="1" x14ac:dyDescent="0.25">
      <c r="A35" s="24"/>
      <c r="B35" s="33"/>
      <c r="C35" s="33"/>
      <c r="D35" s="33"/>
      <c r="E35" s="33"/>
      <c r="F35" s="33"/>
      <c r="G35" s="33"/>
      <c r="H35" s="33"/>
      <c r="I35" s="33"/>
      <c r="J35" s="33"/>
      <c r="K35" s="33"/>
      <c r="L35" s="32"/>
      <c r="M35" s="33"/>
      <c r="N35" s="32"/>
      <c r="O35" s="33"/>
      <c r="P35" s="32"/>
      <c r="Q35" s="33"/>
      <c r="R35" s="32"/>
      <c r="S35" s="32"/>
      <c r="T35" s="32"/>
    </row>
    <row r="36" spans="1:20" ht="39.950000000000003" customHeight="1" thickBot="1" x14ac:dyDescent="0.3">
      <c r="A36" s="24"/>
      <c r="B36" s="770" t="s">
        <v>9</v>
      </c>
      <c r="C36" s="770"/>
      <c r="D36" s="770"/>
      <c r="E36" s="14"/>
      <c r="F36" s="13" t="s">
        <v>8</v>
      </c>
      <c r="G36" s="12"/>
      <c r="H36" s="40">
        <v>1932</v>
      </c>
      <c r="I36" s="11"/>
      <c r="J36" s="39">
        <v>20176</v>
      </c>
      <c r="K36" s="10"/>
      <c r="L36" s="38">
        <v>22339</v>
      </c>
      <c r="M36" s="10"/>
      <c r="N36" s="38">
        <v>34520</v>
      </c>
      <c r="O36" s="10"/>
      <c r="P36" s="37" t="s">
        <v>41</v>
      </c>
      <c r="Q36" s="10"/>
      <c r="R36" s="37" t="s">
        <v>41</v>
      </c>
      <c r="S36" s="5"/>
      <c r="T36" s="5">
        <v>11</v>
      </c>
    </row>
    <row r="37" spans="1:20" ht="3.95" customHeight="1" x14ac:dyDescent="0.2">
      <c r="A37" s="24"/>
      <c r="B37" s="36"/>
      <c r="C37" s="35"/>
      <c r="D37" s="35"/>
      <c r="E37" s="34"/>
      <c r="F37" s="776"/>
      <c r="G37" s="776"/>
      <c r="H37" s="776"/>
      <c r="I37" s="776"/>
      <c r="J37" s="776"/>
      <c r="K37" s="776"/>
      <c r="L37" s="776"/>
      <c r="M37" s="776"/>
      <c r="N37" s="776"/>
      <c r="O37" s="776"/>
      <c r="P37" s="776"/>
      <c r="Q37" s="776"/>
      <c r="R37" s="776"/>
      <c r="S37" s="33"/>
      <c r="T37" s="32"/>
    </row>
    <row r="38" spans="1:20" ht="2.25" customHeight="1" x14ac:dyDescent="0.3">
      <c r="A38" s="24"/>
      <c r="B38" s="31"/>
      <c r="C38" s="30"/>
      <c r="D38" s="30"/>
      <c r="E38" s="30"/>
      <c r="F38" s="29"/>
      <c r="G38" s="29"/>
      <c r="H38" s="29"/>
      <c r="I38" s="28"/>
      <c r="J38" s="26"/>
      <c r="K38" s="27"/>
      <c r="L38" s="26"/>
      <c r="M38" s="27"/>
      <c r="N38" s="26"/>
      <c r="O38" s="27"/>
      <c r="P38" s="26"/>
      <c r="Q38" s="27"/>
      <c r="R38" s="26"/>
      <c r="S38" s="25"/>
      <c r="T38" s="21"/>
    </row>
    <row r="39" spans="1:20" ht="3.95" customHeight="1" x14ac:dyDescent="0.2">
      <c r="B39" s="777"/>
      <c r="C39" s="777"/>
      <c r="D39" s="777"/>
      <c r="E39" s="777"/>
      <c r="F39" s="777"/>
      <c r="G39" s="777"/>
      <c r="H39" s="777"/>
      <c r="I39" s="777"/>
      <c r="J39" s="777"/>
      <c r="K39" s="777"/>
      <c r="L39" s="777"/>
      <c r="M39" s="777"/>
      <c r="N39" s="777"/>
      <c r="O39" s="777"/>
      <c r="P39" s="777"/>
      <c r="Q39" s="777"/>
      <c r="R39" s="777"/>
      <c r="S39" s="777"/>
      <c r="T39" s="777"/>
    </row>
    <row r="40" spans="1:20" ht="50.25" customHeight="1" x14ac:dyDescent="0.2">
      <c r="A40" s="24"/>
      <c r="B40" s="778" t="s">
        <v>7</v>
      </c>
      <c r="C40" s="778"/>
      <c r="D40" s="778"/>
      <c r="E40" s="778"/>
      <c r="F40" s="778"/>
      <c r="G40" s="778"/>
      <c r="H40" s="778"/>
      <c r="I40" s="778"/>
      <c r="J40" s="778"/>
      <c r="K40" s="778"/>
      <c r="L40" s="778"/>
      <c r="M40" s="778"/>
      <c r="N40" s="778"/>
      <c r="O40" s="778"/>
      <c r="P40" s="778"/>
      <c r="Q40" s="778"/>
      <c r="R40" s="778"/>
      <c r="S40" s="778"/>
      <c r="T40" s="778"/>
    </row>
    <row r="41" spans="1:20" ht="5.25" customHeight="1" x14ac:dyDescent="0.2">
      <c r="A41" s="24"/>
      <c r="B41" s="779"/>
      <c r="C41" s="779"/>
      <c r="D41" s="779"/>
      <c r="E41" s="779"/>
      <c r="F41" s="779"/>
      <c r="G41" s="779"/>
      <c r="H41" s="779"/>
      <c r="I41" s="779"/>
      <c r="J41" s="779"/>
      <c r="K41" s="779"/>
      <c r="L41" s="779"/>
      <c r="M41" s="779"/>
      <c r="N41" s="779"/>
      <c r="O41" s="779"/>
      <c r="P41" s="779"/>
      <c r="Q41" s="779"/>
      <c r="R41" s="779"/>
      <c r="S41" s="779"/>
      <c r="T41" s="779"/>
    </row>
    <row r="42" spans="1:20" ht="24.6" customHeight="1" thickBot="1" x14ac:dyDescent="0.3">
      <c r="B42" s="775" t="s">
        <v>6</v>
      </c>
      <c r="C42" s="775"/>
      <c r="D42" s="775"/>
      <c r="E42" s="14"/>
      <c r="F42" s="12"/>
      <c r="G42" s="12"/>
      <c r="H42" s="23"/>
      <c r="I42" s="18"/>
      <c r="J42" s="23"/>
      <c r="K42" s="18"/>
      <c r="L42" s="23"/>
      <c r="M42" s="18"/>
      <c r="N42" s="23"/>
      <c r="O42" s="11"/>
      <c r="P42" s="22"/>
      <c r="Q42" s="11"/>
      <c r="R42" s="22"/>
      <c r="S42" s="3"/>
      <c r="T42" s="21"/>
    </row>
    <row r="43" spans="1:20" ht="3.6" hidden="1" customHeight="1" x14ac:dyDescent="0.2">
      <c r="B43" s="15"/>
      <c r="C43" s="3"/>
      <c r="D43" s="3"/>
      <c r="E43" s="3"/>
      <c r="F43" s="3"/>
      <c r="G43" s="3"/>
      <c r="H43" s="3"/>
      <c r="I43" s="3"/>
      <c r="J43" s="3"/>
      <c r="K43" s="3"/>
      <c r="L43" s="3"/>
      <c r="M43" s="3"/>
      <c r="N43" s="3"/>
      <c r="O43" s="3"/>
      <c r="P43" s="3"/>
      <c r="Q43" s="3"/>
      <c r="R43" s="3"/>
      <c r="S43" s="3"/>
      <c r="T43" s="3"/>
    </row>
    <row r="44" spans="1:20" ht="46.5" customHeight="1" thickBot="1" x14ac:dyDescent="0.3">
      <c r="B44" s="775" t="s">
        <v>5</v>
      </c>
      <c r="C44" s="775"/>
      <c r="D44" s="775"/>
      <c r="E44" s="14"/>
      <c r="F44" s="13" t="s">
        <v>4</v>
      </c>
      <c r="G44" s="12"/>
      <c r="H44" s="20">
        <v>3.5999999999999997E-2</v>
      </c>
      <c r="I44" s="18"/>
      <c r="J44" s="20">
        <v>3.7999999999999999E-2</v>
      </c>
      <c r="K44" s="8"/>
      <c r="L44" s="20">
        <v>0.14000000000000001</v>
      </c>
      <c r="M44" s="8"/>
      <c r="N44" s="20">
        <v>0.14000000000000001</v>
      </c>
      <c r="O44" s="10"/>
      <c r="P44" s="19" t="s">
        <v>36</v>
      </c>
      <c r="Q44" s="10"/>
      <c r="R44" s="19" t="s">
        <v>36</v>
      </c>
      <c r="S44" s="6"/>
      <c r="T44" s="5">
        <v>12</v>
      </c>
    </row>
    <row r="45" spans="1:20" ht="3.95" customHeight="1" thickBot="1" x14ac:dyDescent="0.25">
      <c r="B45" s="15"/>
      <c r="C45" s="3"/>
      <c r="D45" s="3"/>
      <c r="E45" s="3"/>
      <c r="F45" s="6"/>
      <c r="G45" s="3"/>
      <c r="H45" s="3"/>
      <c r="I45" s="3"/>
      <c r="J45" s="6"/>
      <c r="K45" s="6"/>
      <c r="L45" s="6"/>
      <c r="M45" s="6"/>
      <c r="N45" s="6"/>
      <c r="O45" s="6"/>
      <c r="P45" s="6"/>
      <c r="Q45" s="6"/>
      <c r="R45" s="6"/>
      <c r="S45" s="6"/>
      <c r="T45" s="6"/>
    </row>
    <row r="46" spans="1:20" ht="44.45" customHeight="1" thickBot="1" x14ac:dyDescent="0.3">
      <c r="B46" s="775" t="s">
        <v>3</v>
      </c>
      <c r="C46" s="775"/>
      <c r="D46" s="775"/>
      <c r="E46" s="14"/>
      <c r="F46" s="13" t="s">
        <v>2</v>
      </c>
      <c r="G46" s="12"/>
      <c r="H46" s="17">
        <v>0.35</v>
      </c>
      <c r="I46" s="18"/>
      <c r="J46" s="17">
        <v>0.35</v>
      </c>
      <c r="K46" s="8"/>
      <c r="L46" s="17">
        <v>0.5</v>
      </c>
      <c r="M46" s="8"/>
      <c r="N46" s="17">
        <v>0.5</v>
      </c>
      <c r="O46" s="8"/>
      <c r="P46" s="16" t="s">
        <v>36</v>
      </c>
      <c r="Q46" s="8"/>
      <c r="R46" s="16" t="s">
        <v>36</v>
      </c>
      <c r="S46" s="6"/>
      <c r="T46" s="5">
        <v>12</v>
      </c>
    </row>
    <row r="47" spans="1:20" ht="3.95" customHeight="1" thickBot="1" x14ac:dyDescent="0.25">
      <c r="B47" s="15"/>
      <c r="C47" s="3"/>
      <c r="D47" s="3"/>
      <c r="E47" s="3"/>
      <c r="F47" s="6"/>
      <c r="G47" s="3"/>
      <c r="H47" s="3"/>
      <c r="I47" s="3"/>
      <c r="J47" s="6"/>
      <c r="K47" s="6"/>
      <c r="L47" s="6"/>
      <c r="M47" s="6"/>
      <c r="N47" s="6"/>
      <c r="O47" s="6"/>
      <c r="P47" s="6"/>
      <c r="Q47" s="6"/>
      <c r="R47" s="6"/>
      <c r="S47" s="6"/>
      <c r="T47" s="6"/>
    </row>
    <row r="48" spans="1:20" ht="48.75" customHeight="1" thickBot="1" x14ac:dyDescent="0.3">
      <c r="B48" s="775" t="s">
        <v>1</v>
      </c>
      <c r="C48" s="775"/>
      <c r="D48" s="775"/>
      <c r="E48" s="14"/>
      <c r="F48" s="13" t="s">
        <v>0</v>
      </c>
      <c r="G48" s="12"/>
      <c r="H48" s="9">
        <v>0.16</v>
      </c>
      <c r="I48" s="11"/>
      <c r="J48" s="9">
        <v>0.14000000000000001</v>
      </c>
      <c r="K48" s="10"/>
      <c r="L48" s="9">
        <v>0.11</v>
      </c>
      <c r="M48" s="10"/>
      <c r="N48" s="9">
        <v>0.11</v>
      </c>
      <c r="O48" s="8"/>
      <c r="P48" s="16" t="s">
        <v>36</v>
      </c>
      <c r="Q48" s="8"/>
      <c r="R48" s="7" t="s">
        <v>41</v>
      </c>
      <c r="S48" s="6"/>
      <c r="T48" s="5">
        <v>13</v>
      </c>
    </row>
    <row r="49" spans="1:20" ht="36.75" customHeight="1" x14ac:dyDescent="0.25">
      <c r="A49" s="141"/>
      <c r="B49" s="4"/>
      <c r="C49" s="4"/>
      <c r="D49" s="4"/>
      <c r="E49" s="4"/>
      <c r="F49" s="4"/>
      <c r="G49" s="4"/>
      <c r="H49" s="4"/>
      <c r="I49" s="4"/>
      <c r="J49" s="4"/>
      <c r="K49" s="4"/>
      <c r="L49" s="3"/>
      <c r="M49" s="4"/>
      <c r="N49" s="3"/>
      <c r="O49" s="4"/>
      <c r="P49" s="3"/>
      <c r="Q49" s="4"/>
      <c r="R49" s="3"/>
      <c r="S49" s="3"/>
      <c r="T49" s="3"/>
    </row>
  </sheetData>
  <sheetProtection password="BBC7" sheet="1" objects="1" scenarios="1" selectLockedCells="1" selectUnlockedCells="1"/>
  <mergeCells count="27">
    <mergeCell ref="B44:D44"/>
    <mergeCell ref="B46:D46"/>
    <mergeCell ref="B48:D48"/>
    <mergeCell ref="B36:D36"/>
    <mergeCell ref="F37:R37"/>
    <mergeCell ref="B39:T39"/>
    <mergeCell ref="B40:T40"/>
    <mergeCell ref="B41:T41"/>
    <mergeCell ref="B42:D42"/>
    <mergeCell ref="B34:T34"/>
    <mergeCell ref="B13:D13"/>
    <mergeCell ref="B15:T15"/>
    <mergeCell ref="B17:D17"/>
    <mergeCell ref="B19:D19"/>
    <mergeCell ref="B21:D21"/>
    <mergeCell ref="C22:D22"/>
    <mergeCell ref="B23:D23"/>
    <mergeCell ref="B25:D25"/>
    <mergeCell ref="B27:T27"/>
    <mergeCell ref="B29:D29"/>
    <mergeCell ref="B31:D31"/>
    <mergeCell ref="B11:D11"/>
    <mergeCell ref="B2:R2"/>
    <mergeCell ref="B4:D4"/>
    <mergeCell ref="B5:T5"/>
    <mergeCell ref="B7:D7"/>
    <mergeCell ref="B9:D9"/>
  </mergeCells>
  <dataValidations count="1">
    <dataValidation type="list" allowBlank="1" showInputMessage="1" showErrorMessage="1" sqref="P48 R46 R48 P7 R7 P9 R9 P11 R11 P13:P14 R13:R14 P17 R17 P19 R19 P42 P29 R29 P31 R31 P36 R36 R44 T38 P44 P46 P23:P25 R42 R23:R25">
      <formula1>RAG_EA1</formula1>
    </dataValidation>
  </dataValidations>
  <printOptions horizontalCentered="1" verticalCentered="1"/>
  <pageMargins left="0.27559055118110237" right="0.23622047244094491" top="0.39370078740157483" bottom="0.27559055118110237" header="0.19685039370078741" footer="0.19685039370078741"/>
  <pageSetup paperSize="9" scale="55" fitToHeight="0" orientation="portrait" verticalDpi="12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L51"/>
  <sheetViews>
    <sheetView showGridLines="0" workbookViewId="0">
      <selection activeCell="G12" sqref="G12:I44"/>
    </sheetView>
  </sheetViews>
  <sheetFormatPr defaultColWidth="8.77734375" defaultRowHeight="15" x14ac:dyDescent="0.2"/>
  <cols>
    <col min="2" max="2" width="10.44140625" customWidth="1"/>
    <col min="4" max="4" width="9.21875" bestFit="1" customWidth="1"/>
    <col min="5" max="5" width="10.44140625" bestFit="1" customWidth="1"/>
    <col min="6" max="6" width="8.5546875" customWidth="1"/>
    <col min="7" max="7" width="6.44140625" customWidth="1"/>
    <col min="8" max="8" width="10.77734375" customWidth="1"/>
    <col min="9" max="9" width="8.77734375" customWidth="1"/>
  </cols>
  <sheetData>
    <row r="1" spans="1:12" x14ac:dyDescent="0.2">
      <c r="A1" s="448"/>
      <c r="B1" s="448"/>
      <c r="C1" s="448"/>
      <c r="D1" s="448"/>
      <c r="E1" s="448"/>
      <c r="F1" s="448"/>
      <c r="G1" s="448"/>
      <c r="H1" s="448"/>
      <c r="I1" s="448"/>
    </row>
    <row r="2" spans="1:12" x14ac:dyDescent="0.2">
      <c r="A2" s="448"/>
      <c r="B2" s="448"/>
      <c r="C2" s="448"/>
      <c r="D2" s="448"/>
      <c r="E2" s="448"/>
      <c r="F2" s="448"/>
      <c r="G2" s="448"/>
      <c r="H2" s="448"/>
      <c r="I2" s="448"/>
    </row>
    <row r="3" spans="1:12" x14ac:dyDescent="0.2">
      <c r="A3" s="448"/>
      <c r="B3" s="448"/>
      <c r="C3" s="448"/>
      <c r="D3" s="448"/>
      <c r="E3" s="448"/>
      <c r="F3" s="448"/>
      <c r="G3" s="448"/>
      <c r="H3" s="448"/>
      <c r="I3" s="448"/>
    </row>
    <row r="4" spans="1:12" x14ac:dyDescent="0.2">
      <c r="A4" s="448"/>
      <c r="B4" s="448"/>
      <c r="C4" s="448"/>
      <c r="D4" s="448"/>
      <c r="E4" s="448"/>
      <c r="F4" s="448"/>
      <c r="G4" s="448"/>
      <c r="H4" s="448"/>
      <c r="I4" s="448"/>
    </row>
    <row r="5" spans="1:12" ht="24" customHeight="1" x14ac:dyDescent="0.2">
      <c r="A5" s="448"/>
      <c r="B5" s="448"/>
      <c r="C5" s="448"/>
      <c r="D5" s="448"/>
      <c r="E5" s="448"/>
      <c r="F5" s="448"/>
      <c r="G5" s="448"/>
      <c r="H5" s="448"/>
      <c r="I5" s="448"/>
    </row>
    <row r="6" spans="1:12" ht="19.5" thickBot="1" x14ac:dyDescent="0.35">
      <c r="A6" s="949" t="s">
        <v>18</v>
      </c>
      <c r="B6" s="949"/>
      <c r="C6" s="368" t="s">
        <v>416</v>
      </c>
      <c r="D6" s="368" t="s">
        <v>73</v>
      </c>
      <c r="E6" s="368" t="s">
        <v>74</v>
      </c>
      <c r="F6" s="536" t="s">
        <v>122</v>
      </c>
      <c r="G6" s="536"/>
      <c r="H6" s="944" t="s">
        <v>33</v>
      </c>
      <c r="I6" s="944"/>
    </row>
    <row r="7" spans="1:12" ht="28.15" customHeight="1" thickBot="1" x14ac:dyDescent="0.25">
      <c r="A7" s="949"/>
      <c r="B7" s="949"/>
      <c r="C7" s="537" t="str">
        <f>'4 EA 7 Data Sheet'!B16</f>
        <v>Green</v>
      </c>
      <c r="D7" s="538">
        <f>'4 EA 7 Data Sheet'!B14</f>
        <v>6626</v>
      </c>
      <c r="E7" s="538">
        <f>'4 EA 7 Data Sheet'!B15</f>
        <v>6500</v>
      </c>
      <c r="F7" s="539" t="s">
        <v>41</v>
      </c>
      <c r="G7" s="540"/>
      <c r="H7" s="950">
        <f>'4 EA 7 Data Sheet'!B15</f>
        <v>6500</v>
      </c>
      <c r="I7" s="950"/>
    </row>
    <row r="8" spans="1:12" s="430" customFormat="1" ht="4.1500000000000004" customHeight="1" x14ac:dyDescent="0.2">
      <c r="A8" s="541"/>
      <c r="B8" s="541"/>
      <c r="C8" s="542"/>
      <c r="D8" s="538"/>
      <c r="E8" s="538"/>
      <c r="F8" s="540"/>
      <c r="G8" s="543"/>
      <c r="H8" s="544"/>
      <c r="I8" s="544"/>
    </row>
    <row r="9" spans="1:12" ht="23.65" customHeight="1" thickBot="1" x14ac:dyDescent="0.35">
      <c r="A9" s="951" t="s">
        <v>16</v>
      </c>
      <c r="B9" s="951"/>
      <c r="C9" s="545" t="s">
        <v>416</v>
      </c>
      <c r="D9" s="545" t="s">
        <v>73</v>
      </c>
      <c r="E9" s="545" t="s">
        <v>74</v>
      </c>
      <c r="F9" s="546" t="s">
        <v>122</v>
      </c>
      <c r="G9" s="536"/>
      <c r="H9" s="944" t="s">
        <v>33</v>
      </c>
      <c r="I9" s="944"/>
    </row>
    <row r="10" spans="1:12" ht="20.65" customHeight="1" thickBot="1" x14ac:dyDescent="0.25">
      <c r="A10" s="952"/>
      <c r="B10" s="952"/>
      <c r="C10" s="547" t="str">
        <f>'4 EA 7 Data Sheet'!D39</f>
        <v>Red</v>
      </c>
      <c r="D10" s="548">
        <f>'4 EA 7 Data Sheet'!B39</f>
        <v>0.69</v>
      </c>
      <c r="E10" s="548">
        <f>'4 EA 7 Data Sheet'!C39</f>
        <v>0.74</v>
      </c>
      <c r="F10" s="549" t="str">
        <f>'4 EA 7 Data Sheet'!E39</f>
        <v>Amber</v>
      </c>
      <c r="G10" s="540"/>
      <c r="H10" s="953">
        <v>0.8</v>
      </c>
      <c r="I10" s="953"/>
    </row>
    <row r="11" spans="1:12" s="430" customFormat="1" ht="3.75" customHeight="1" x14ac:dyDescent="0.2">
      <c r="A11" s="550"/>
      <c r="B11" s="550"/>
      <c r="C11" s="551"/>
      <c r="D11" s="542"/>
      <c r="E11" s="542"/>
      <c r="F11" s="540"/>
      <c r="G11" s="540"/>
      <c r="H11" s="552"/>
      <c r="I11" s="552"/>
    </row>
    <row r="12" spans="1:12" ht="15.75" x14ac:dyDescent="0.2">
      <c r="A12" s="889" t="s">
        <v>417</v>
      </c>
      <c r="B12" s="890"/>
      <c r="C12" s="890"/>
      <c r="D12" s="890"/>
      <c r="E12" s="890"/>
      <c r="F12" s="890"/>
      <c r="G12" s="855" t="str">
        <f>'4 EA 7 Data Sheet'!A63</f>
        <v>We continue to embed new incident response capability standards for Environment Agency staff since they were introduced in quarter 1. Numbers have increased further during this quarter as expected now that the standards have been embedded, consistently.  We expect this trend to continue as more staff complete their training. The number of fully trained staff ready to respond to incidents is now 6,626. Figures show 2,026 are in training, not all in addition to the 6,626 because some will be people training for secondary and tertiary roles. We expect figures to increase slightly in quarter 4 but are mindful that there may be some reduction from changes to corporate services staff and response roles that have transitioned to Defra (e.g. Corporate Information Services and facilities roles).
The next employee survey is in quarter 4, so there is no reported change in the numbers feeling confident to respond to incidents or the percentage of staff who have been involved in responding to an incident. The incident management survey in quarter 4 will explore capability and confidence questions in more depth.</v>
      </c>
      <c r="H12" s="856"/>
      <c r="I12" s="856"/>
    </row>
    <row r="13" spans="1:12" ht="15.75" x14ac:dyDescent="0.2">
      <c r="D13" s="151"/>
      <c r="E13" s="152"/>
      <c r="F13" s="152"/>
      <c r="G13" s="857"/>
      <c r="H13" s="856"/>
      <c r="I13" s="856"/>
    </row>
    <row r="14" spans="1:12" x14ac:dyDescent="0.2">
      <c r="D14" s="151"/>
      <c r="E14" s="153"/>
      <c r="F14" s="153"/>
      <c r="G14" s="857"/>
      <c r="H14" s="856"/>
      <c r="I14" s="856"/>
    </row>
    <row r="15" spans="1:12" x14ac:dyDescent="0.2">
      <c r="D15" s="151"/>
      <c r="E15" s="153"/>
      <c r="F15" s="153"/>
      <c r="G15" s="857"/>
      <c r="H15" s="856"/>
      <c r="I15" s="856"/>
      <c r="L15" t="s">
        <v>384</v>
      </c>
    </row>
    <row r="16" spans="1:12" x14ac:dyDescent="0.2">
      <c r="D16" s="151"/>
      <c r="E16" s="153"/>
      <c r="F16" s="153"/>
      <c r="G16" s="857"/>
      <c r="H16" s="856"/>
      <c r="I16" s="856"/>
    </row>
    <row r="17" spans="1:9" x14ac:dyDescent="0.2">
      <c r="D17" s="151"/>
      <c r="E17" s="153"/>
      <c r="F17" s="153"/>
      <c r="G17" s="857"/>
      <c r="H17" s="856"/>
      <c r="I17" s="856"/>
    </row>
    <row r="18" spans="1:9" x14ac:dyDescent="0.2">
      <c r="D18" s="151"/>
      <c r="E18" s="153"/>
      <c r="F18" s="153"/>
      <c r="G18" s="857"/>
      <c r="H18" s="856"/>
      <c r="I18" s="856"/>
    </row>
    <row r="19" spans="1:9" x14ac:dyDescent="0.2">
      <c r="D19" s="151"/>
      <c r="E19" s="153"/>
      <c r="F19" s="153"/>
      <c r="G19" s="857"/>
      <c r="H19" s="856"/>
      <c r="I19" s="856"/>
    </row>
    <row r="20" spans="1:9" x14ac:dyDescent="0.2">
      <c r="D20" s="151"/>
      <c r="E20" s="153"/>
      <c r="F20" s="153"/>
      <c r="G20" s="857"/>
      <c r="H20" s="856"/>
      <c r="I20" s="856"/>
    </row>
    <row r="21" spans="1:9" x14ac:dyDescent="0.2">
      <c r="D21" s="151"/>
      <c r="E21" s="153"/>
      <c r="F21" s="153"/>
      <c r="G21" s="857"/>
      <c r="H21" s="856"/>
      <c r="I21" s="856"/>
    </row>
    <row r="22" spans="1:9" x14ac:dyDescent="0.2">
      <c r="D22" s="151"/>
      <c r="E22" s="153"/>
      <c r="F22" s="153"/>
      <c r="G22" s="857"/>
      <c r="H22" s="856"/>
      <c r="I22" s="856"/>
    </row>
    <row r="23" spans="1:9" x14ac:dyDescent="0.2">
      <c r="D23" s="151"/>
      <c r="E23" s="153"/>
      <c r="F23" s="153"/>
      <c r="G23" s="857"/>
      <c r="H23" s="856"/>
      <c r="I23" s="856"/>
    </row>
    <row r="24" spans="1:9" x14ac:dyDescent="0.2">
      <c r="D24" s="151"/>
      <c r="E24" s="153"/>
      <c r="F24" s="153"/>
      <c r="G24" s="857"/>
      <c r="H24" s="856"/>
      <c r="I24" s="856"/>
    </row>
    <row r="25" spans="1:9" x14ac:dyDescent="0.2">
      <c r="D25" s="151"/>
      <c r="E25" s="153"/>
      <c r="F25" s="153"/>
      <c r="G25" s="857"/>
      <c r="H25" s="856"/>
      <c r="I25" s="856"/>
    </row>
    <row r="26" spans="1:9" x14ac:dyDescent="0.2">
      <c r="D26" s="151"/>
      <c r="E26" s="153"/>
      <c r="F26" s="153"/>
      <c r="G26" s="857"/>
      <c r="H26" s="856"/>
      <c r="I26" s="856"/>
    </row>
    <row r="27" spans="1:9" ht="5.65" customHeight="1" x14ac:dyDescent="0.2">
      <c r="D27" s="151"/>
      <c r="E27" s="153"/>
      <c r="F27" s="153"/>
      <c r="G27" s="857"/>
      <c r="H27" s="856"/>
      <c r="I27" s="856"/>
    </row>
    <row r="28" spans="1:9" ht="4.1500000000000004" hidden="1" customHeight="1" x14ac:dyDescent="0.2">
      <c r="G28" s="857"/>
      <c r="H28" s="856"/>
      <c r="I28" s="856"/>
    </row>
    <row r="29" spans="1:9" x14ac:dyDescent="0.2">
      <c r="A29" s="954" t="s">
        <v>418</v>
      </c>
      <c r="B29" s="890"/>
      <c r="C29" s="890"/>
      <c r="D29" s="890"/>
      <c r="E29" s="890"/>
      <c r="F29" s="890"/>
      <c r="G29" s="857"/>
      <c r="H29" s="856"/>
      <c r="I29" s="856"/>
    </row>
    <row r="30" spans="1:9" ht="15.75" x14ac:dyDescent="0.2">
      <c r="D30" s="151"/>
      <c r="E30" s="152"/>
      <c r="F30" s="152"/>
      <c r="G30" s="857"/>
      <c r="H30" s="856"/>
      <c r="I30" s="856"/>
    </row>
    <row r="31" spans="1:9" x14ac:dyDescent="0.2">
      <c r="D31" s="151"/>
      <c r="E31" s="153"/>
      <c r="F31" s="153"/>
      <c r="G31" s="857"/>
      <c r="H31" s="856"/>
      <c r="I31" s="856"/>
    </row>
    <row r="32" spans="1:9" x14ac:dyDescent="0.2">
      <c r="D32" s="151"/>
      <c r="E32" s="153"/>
      <c r="F32" s="153"/>
      <c r="G32" s="857"/>
      <c r="H32" s="856"/>
      <c r="I32" s="856"/>
    </row>
    <row r="33" spans="1:9" x14ac:dyDescent="0.2">
      <c r="D33" s="151"/>
      <c r="E33" s="153"/>
      <c r="F33" s="153"/>
      <c r="G33" s="857"/>
      <c r="H33" s="856"/>
      <c r="I33" s="856"/>
    </row>
    <row r="34" spans="1:9" x14ac:dyDescent="0.2">
      <c r="D34" s="151"/>
      <c r="E34" s="153"/>
      <c r="F34" s="153"/>
      <c r="G34" s="857"/>
      <c r="H34" s="856"/>
      <c r="I34" s="856"/>
    </row>
    <row r="35" spans="1:9" x14ac:dyDescent="0.2">
      <c r="D35" s="151"/>
      <c r="E35" s="153"/>
      <c r="F35" s="153"/>
      <c r="G35" s="857"/>
      <c r="H35" s="856"/>
      <c r="I35" s="856"/>
    </row>
    <row r="36" spans="1:9" x14ac:dyDescent="0.2">
      <c r="D36" s="151"/>
      <c r="E36" s="153"/>
      <c r="F36" s="153"/>
      <c r="G36" s="857"/>
      <c r="H36" s="856"/>
      <c r="I36" s="856"/>
    </row>
    <row r="37" spans="1:9" x14ac:dyDescent="0.2">
      <c r="D37" s="151"/>
      <c r="E37" s="153"/>
      <c r="F37" s="153"/>
      <c r="G37" s="857"/>
      <c r="H37" s="856"/>
      <c r="I37" s="856"/>
    </row>
    <row r="38" spans="1:9" x14ac:dyDescent="0.2">
      <c r="D38" s="151"/>
      <c r="E38" s="153"/>
      <c r="F38" s="153"/>
      <c r="G38" s="857"/>
      <c r="H38" s="856"/>
      <c r="I38" s="856"/>
    </row>
    <row r="39" spans="1:9" x14ac:dyDescent="0.2">
      <c r="D39" s="151"/>
      <c r="E39" s="153"/>
      <c r="F39" s="153"/>
      <c r="G39" s="857"/>
      <c r="H39" s="856"/>
      <c r="I39" s="856"/>
    </row>
    <row r="40" spans="1:9" x14ac:dyDescent="0.2">
      <c r="D40" s="151"/>
      <c r="E40" s="153"/>
      <c r="F40" s="153"/>
      <c r="G40" s="857"/>
      <c r="H40" s="856"/>
      <c r="I40" s="856"/>
    </row>
    <row r="41" spans="1:9" x14ac:dyDescent="0.2">
      <c r="D41" s="151"/>
      <c r="E41" s="153"/>
      <c r="F41" s="153"/>
      <c r="G41" s="857"/>
      <c r="H41" s="856"/>
      <c r="I41" s="856"/>
    </row>
    <row r="42" spans="1:9" x14ac:dyDescent="0.2">
      <c r="D42" s="151"/>
      <c r="E42" s="153"/>
      <c r="F42" s="153"/>
      <c r="G42" s="857"/>
      <c r="H42" s="856"/>
      <c r="I42" s="856"/>
    </row>
    <row r="43" spans="1:9" x14ac:dyDescent="0.2">
      <c r="D43" s="151"/>
      <c r="E43" s="153"/>
      <c r="F43" s="153"/>
      <c r="G43" s="857"/>
      <c r="H43" s="856"/>
      <c r="I43" s="856"/>
    </row>
    <row r="44" spans="1:9" ht="21.75" customHeight="1" x14ac:dyDescent="0.2">
      <c r="D44" s="151"/>
      <c r="E44" s="153"/>
      <c r="F44" s="153"/>
      <c r="G44" s="857"/>
      <c r="H44" s="856"/>
      <c r="I44" s="856"/>
    </row>
    <row r="45" spans="1:9" s="153" customFormat="1" ht="1.9" customHeight="1" x14ac:dyDescent="0.2">
      <c r="D45" s="553"/>
      <c r="G45" s="149"/>
      <c r="H45" s="149"/>
      <c r="I45" s="149"/>
    </row>
    <row r="46" spans="1:9" ht="15.75" x14ac:dyDescent="0.2">
      <c r="A46" s="955" t="s">
        <v>56</v>
      </c>
      <c r="B46" s="956"/>
      <c r="C46" s="956"/>
      <c r="D46" s="956"/>
      <c r="E46" s="956"/>
      <c r="F46" s="956"/>
      <c r="G46" s="957"/>
      <c r="H46" s="956"/>
      <c r="I46" s="958"/>
    </row>
    <row r="47" spans="1:9" ht="15.75" x14ac:dyDescent="0.25">
      <c r="A47" s="554" t="s">
        <v>57</v>
      </c>
      <c r="B47" s="554"/>
      <c r="C47" s="554"/>
      <c r="D47" s="554"/>
      <c r="E47" s="554"/>
      <c r="F47" s="555"/>
      <c r="G47" s="556" t="s">
        <v>58</v>
      </c>
      <c r="H47" s="554"/>
      <c r="I47" s="556" t="s">
        <v>59</v>
      </c>
    </row>
    <row r="48" spans="1:9" ht="27" customHeight="1" x14ac:dyDescent="0.2">
      <c r="A48" s="947" t="str">
        <f>IF('4 EA 7 Data Sheet'!A77=0,"",'4 EA 7 Data Sheet'!A77)</f>
        <v>We continue to embed capability assessments through our work on the Major Incident Ready programme, to show staff  are trained and have sufficient experience to respond.</v>
      </c>
      <c r="B48" s="947"/>
      <c r="C48" s="947"/>
      <c r="D48" s="947"/>
      <c r="E48" s="947"/>
      <c r="F48" s="948"/>
      <c r="G48" s="942" t="str">
        <f>IF('4 EA 7 Data Sheet'!E77=0,"",'4 EA 7 Data Sheet'!E77)</f>
        <v>Deputy Director Incident Management &amp; Resilience</v>
      </c>
      <c r="H48" s="943"/>
      <c r="I48" s="557">
        <f>IF('4 EA 7 Data Sheet'!H77=0,"",'4 EA 7 Data Sheet'!H77)</f>
        <v>43220</v>
      </c>
    </row>
    <row r="49" spans="1:9" ht="28.9" customHeight="1" x14ac:dyDescent="0.2">
      <c r="A49" s="929" t="str">
        <f>IF('4 EA 7 Data Sheet'!A79=0,"",'4 EA 7 Data Sheet'!A79)</f>
        <v>Prioritisation of training and exercising by Areas and National directorates to maintain capability and confidence.</v>
      </c>
      <c r="B49" s="929"/>
      <c r="C49" s="929"/>
      <c r="D49" s="929"/>
      <c r="E49" s="929"/>
      <c r="F49" s="930"/>
      <c r="G49" s="931" t="str">
        <f>IF('4 EA 7 Data Sheet'!E79=0,"",'4 EA 7 Data Sheet'!E79)</f>
        <v>Deputy Director Incident Management &amp; Resilience</v>
      </c>
      <c r="H49" s="932"/>
      <c r="I49" s="558">
        <f>IF('4 EA 7 Data Sheet'!H79=0,"",'4 EA 7 Data Sheet'!H79)</f>
        <v>43220</v>
      </c>
    </row>
    <row r="50" spans="1:9" ht="32.65" customHeight="1" x14ac:dyDescent="0.2">
      <c r="A50" s="929" t="str">
        <f>IF('4 EA 7 Data Sheet'!A81=0,"",'4 EA 7 Data Sheet'!A81)</f>
        <v>We will use the results from the 2018 Incident Management survey to  understand impacts of changes to ways of working.</v>
      </c>
      <c r="B50" s="929"/>
      <c r="C50" s="929"/>
      <c r="D50" s="929"/>
      <c r="E50" s="929"/>
      <c r="F50" s="930"/>
      <c r="G50" s="931" t="str">
        <f>IF('4 EA 7 Data Sheet'!E81=0,"",'4 EA 7 Data Sheet'!E81)</f>
        <v>Deputy Director Incident Management &amp; Resilience</v>
      </c>
      <c r="H50" s="932"/>
      <c r="I50" s="558">
        <f>IF('4 EA 7 Data Sheet'!H81=0,"",'4 EA 7 Data Sheet'!H81)</f>
        <v>43220</v>
      </c>
    </row>
    <row r="51" spans="1:9" ht="45.4" customHeight="1" x14ac:dyDescent="0.2">
      <c r="A51" s="929" t="str">
        <f>IF('4 EA 7 Data Sheet'!A83=0,"",'4 EA 7 Data Sheet'!A83)</f>
        <v>Future changes to our response model - begin implementing in 2018/19 - will impact on these figures. Measure will be reviewed to accommodate these changes in 2018/19.</v>
      </c>
      <c r="B51" s="929"/>
      <c r="C51" s="929"/>
      <c r="D51" s="929"/>
      <c r="E51" s="929"/>
      <c r="F51" s="930"/>
      <c r="G51" s="931" t="str">
        <f>IF('4 EA 7 Data Sheet'!E83=0,"",'4 EA 7 Data Sheet'!E83)</f>
        <v>Deputy Director Corporate Incident Management</v>
      </c>
      <c r="H51" s="932"/>
      <c r="I51" s="558" t="str">
        <f>IF('4 EA 7 Data Sheet'!H83=0,"",'4 EA 7 Data Sheet'!H83)</f>
        <v>31/04/2019</v>
      </c>
    </row>
  </sheetData>
  <sheetProtection password="BBC7" sheet="1" objects="1" scenarios="1" selectLockedCells="1" selectUnlockedCells="1"/>
  <mergeCells count="19">
    <mergeCell ref="A48:F48"/>
    <mergeCell ref="G48:H48"/>
    <mergeCell ref="A6:B7"/>
    <mergeCell ref="H6:I6"/>
    <mergeCell ref="H7:I7"/>
    <mergeCell ref="A9:B10"/>
    <mergeCell ref="H9:I9"/>
    <mergeCell ref="H10:I10"/>
    <mergeCell ref="A12:F12"/>
    <mergeCell ref="G12:I44"/>
    <mergeCell ref="A29:F29"/>
    <mergeCell ref="A46:F46"/>
    <mergeCell ref="G46:I46"/>
    <mergeCell ref="A49:F49"/>
    <mergeCell ref="G49:H49"/>
    <mergeCell ref="A50:F50"/>
    <mergeCell ref="G50:H50"/>
    <mergeCell ref="A51:F51"/>
    <mergeCell ref="G51:H51"/>
  </mergeCells>
  <printOptions horizontalCentered="1" verticalCentered="1"/>
  <pageMargins left="0.23622047244094491" right="0.23622047244094491" top="0.59055118110236227" bottom="0.59055118110236227" header="0.31496062992125984" footer="0.31496062992125984"/>
  <pageSetup paperSize="9" scale="87" orientation="portrait" verticalDpi="1200"/>
  <headerFooter>
    <oddFooter>&amp;R&amp;"-,Regular"&amp;10Page 8</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54"/>
  <sheetViews>
    <sheetView showGridLines="0" showRuler="0" topLeftCell="A29" zoomScale="90" zoomScaleNormal="90" zoomScaleSheetLayoutView="100" zoomScalePageLayoutView="110" workbookViewId="0">
      <selection activeCell="A52" sqref="A52:F52"/>
    </sheetView>
  </sheetViews>
  <sheetFormatPr defaultRowHeight="15" x14ac:dyDescent="0.2"/>
  <cols>
    <col min="3" max="3" width="9.21875" customWidth="1"/>
    <col min="5" max="5" width="8.77734375" customWidth="1"/>
    <col min="6" max="6" width="7.88671875" customWidth="1"/>
    <col min="8" max="8" width="10.44140625" customWidth="1"/>
    <col min="9" max="9" width="11.21875" customWidth="1"/>
  </cols>
  <sheetData>
    <row r="1" spans="1:9" x14ac:dyDescent="0.2">
      <c r="A1" s="584"/>
      <c r="B1" s="584"/>
      <c r="C1" s="584"/>
      <c r="D1" s="584"/>
      <c r="E1" s="584"/>
      <c r="F1" s="584"/>
      <c r="G1" s="584"/>
      <c r="H1" s="584"/>
      <c r="I1" s="584"/>
    </row>
    <row r="2" spans="1:9" x14ac:dyDescent="0.2">
      <c r="A2" s="584"/>
      <c r="B2" s="584"/>
      <c r="C2" s="584"/>
      <c r="D2" s="584"/>
      <c r="E2" s="584"/>
      <c r="F2" s="584"/>
      <c r="G2" s="584"/>
      <c r="H2" s="584"/>
      <c r="I2" s="584"/>
    </row>
    <row r="3" spans="1:9" x14ac:dyDescent="0.2">
      <c r="A3" s="584"/>
      <c r="B3" s="584"/>
      <c r="C3" s="584"/>
      <c r="D3" s="584"/>
      <c r="E3" s="584"/>
      <c r="F3" s="584"/>
      <c r="G3" s="584"/>
      <c r="H3" s="584"/>
      <c r="I3" s="584"/>
    </row>
    <row r="4" spans="1:9" x14ac:dyDescent="0.2">
      <c r="A4" s="584"/>
      <c r="B4" s="584"/>
      <c r="C4" s="584"/>
      <c r="D4" s="584"/>
      <c r="E4" s="584"/>
      <c r="F4" s="584"/>
      <c r="G4" s="584"/>
      <c r="H4" s="584"/>
      <c r="I4" s="584"/>
    </row>
    <row r="5" spans="1:9" x14ac:dyDescent="0.2">
      <c r="A5" s="584"/>
      <c r="B5" s="584"/>
      <c r="C5" s="584"/>
      <c r="D5" s="584"/>
      <c r="E5" s="584"/>
      <c r="F5" s="584"/>
      <c r="G5" s="584"/>
      <c r="H5" s="584"/>
      <c r="I5" s="584"/>
    </row>
    <row r="6" spans="1:9" x14ac:dyDescent="0.2">
      <c r="A6" s="584"/>
      <c r="B6" s="584"/>
      <c r="C6" s="584"/>
      <c r="D6" s="584"/>
      <c r="E6" s="584"/>
      <c r="F6" s="584"/>
      <c r="G6" s="584"/>
      <c r="H6" s="584"/>
      <c r="I6" s="584"/>
    </row>
    <row r="7" spans="1:9" ht="19.5" thickBot="1" x14ac:dyDescent="0.35">
      <c r="A7" s="368" t="s">
        <v>49</v>
      </c>
      <c r="B7" s="368"/>
      <c r="C7" s="368" t="s">
        <v>441</v>
      </c>
      <c r="D7" s="368"/>
      <c r="E7" s="368" t="s">
        <v>442</v>
      </c>
      <c r="F7" s="368"/>
      <c r="G7" s="368" t="s">
        <v>122</v>
      </c>
      <c r="H7" s="944" t="s">
        <v>33</v>
      </c>
      <c r="I7" s="944"/>
    </row>
    <row r="8" spans="1:9" ht="19.5" thickBot="1" x14ac:dyDescent="0.25">
      <c r="A8" s="585" t="str">
        <f>'5 EA 8 Data Sheet'!B16</f>
        <v>Amber</v>
      </c>
      <c r="B8" s="586"/>
      <c r="C8" s="587">
        <f>'5 EA 8 Data Sheet'!B14</f>
        <v>795</v>
      </c>
      <c r="D8" s="587"/>
      <c r="E8" s="588">
        <f>'5 EA 8 Data Sheet'!B15</f>
        <v>854</v>
      </c>
      <c r="F8" s="588"/>
      <c r="G8" s="589" t="str">
        <f>'5 EA 8 Data Sheet'!B18</f>
        <v>Green</v>
      </c>
      <c r="H8" s="966">
        <v>1</v>
      </c>
      <c r="I8" s="966"/>
    </row>
    <row r="9" spans="1:9" ht="3" customHeight="1" x14ac:dyDescent="0.25">
      <c r="A9" s="149"/>
      <c r="B9" s="150"/>
      <c r="C9" s="150"/>
      <c r="D9" s="150"/>
      <c r="E9" s="150" t="str">
        <f>'5 EA 8 Data Sheet'!B18</f>
        <v>Green</v>
      </c>
      <c r="F9" s="150"/>
      <c r="G9" s="150"/>
      <c r="H9" s="150"/>
      <c r="I9" s="149"/>
    </row>
    <row r="10" spans="1:9" ht="15.6" customHeight="1" x14ac:dyDescent="0.2">
      <c r="A10" s="967" t="s">
        <v>443</v>
      </c>
      <c r="B10" s="968"/>
      <c r="C10" s="968"/>
      <c r="D10" s="968"/>
      <c r="E10" s="968"/>
      <c r="F10" s="968"/>
      <c r="G10" s="969" t="str">
        <f>'5 EA 8 Data Sheet'!A49</f>
        <v xml:space="preserve">The measure is used to report on effective management of our money to achieve our outcomes, and is based on the percentage of our full year budget that we have invested. The Environment Agency has a major capital and revenue programme of investment projects and conducts a very detailed planning process in order to ensure appropriate prioritisation of these investments. We are subject to a series of strong financial and governance controls that both protect this investment and provide a logistical challenge in delivering the programme of expenditure.  This is considered an appropriate measure, with expenditure being a proxy for delivery of environmental outcomes and this measure is therefore inextricably linked to most of the other scorecard measures.
The Environment Agency has invested 68% of full year budget in the first 3 quarters of 2017/18, a slightly higher proportion than achieved at this point last year (66%). Following on from a mid year financial review presented to Executive Directors in October, the Environment Agency and Defra have agreed a reprofiling of the Flood and Coastal Erosion Risk Management (FCERM) six year capital programme budget with HM Treasury. This represents a more appropriate funding profile to meet the target of better protecting 300,000 households in that period. 
During quarter 4, budget managers, Business Boards and the Executive Directors Team will continue to review our forecasts, and we are confident of full investment of our full year funding. 
                                                                                                                                                                                                                                                                                                  </v>
      </c>
      <c r="H10" s="891"/>
      <c r="I10" s="891"/>
    </row>
    <row r="11" spans="1:9" ht="15.75" x14ac:dyDescent="0.2">
      <c r="D11" s="151"/>
      <c r="E11" s="152"/>
      <c r="F11" s="152"/>
      <c r="G11" s="892"/>
      <c r="H11" s="891"/>
      <c r="I11" s="891"/>
    </row>
    <row r="12" spans="1:9" x14ac:dyDescent="0.2">
      <c r="D12" s="151"/>
      <c r="E12" s="153"/>
      <c r="F12" s="153"/>
      <c r="G12" s="892"/>
      <c r="H12" s="891"/>
      <c r="I12" s="891"/>
    </row>
    <row r="13" spans="1:9" x14ac:dyDescent="0.2">
      <c r="D13" s="151"/>
      <c r="E13" s="153"/>
      <c r="F13" s="153"/>
      <c r="G13" s="892"/>
      <c r="H13" s="891"/>
      <c r="I13" s="891"/>
    </row>
    <row r="14" spans="1:9" x14ac:dyDescent="0.2">
      <c r="D14" s="151"/>
      <c r="E14" s="153"/>
      <c r="F14" s="153"/>
      <c r="G14" s="892"/>
      <c r="H14" s="891"/>
      <c r="I14" s="891"/>
    </row>
    <row r="15" spans="1:9" x14ac:dyDescent="0.2">
      <c r="D15" s="151"/>
      <c r="E15" s="153"/>
      <c r="F15" s="153"/>
      <c r="G15" s="892"/>
      <c r="H15" s="891"/>
      <c r="I15" s="891"/>
    </row>
    <row r="16" spans="1:9" x14ac:dyDescent="0.2">
      <c r="D16" s="151"/>
      <c r="E16" s="153"/>
      <c r="F16" s="153"/>
      <c r="G16" s="892"/>
      <c r="H16" s="891"/>
      <c r="I16" s="891"/>
    </row>
    <row r="17" spans="1:9" x14ac:dyDescent="0.2">
      <c r="D17" s="151"/>
      <c r="E17" s="153"/>
      <c r="F17" s="153"/>
      <c r="G17" s="892"/>
      <c r="H17" s="891"/>
      <c r="I17" s="891"/>
    </row>
    <row r="18" spans="1:9" x14ac:dyDescent="0.2">
      <c r="D18" s="151"/>
      <c r="E18" s="153"/>
      <c r="F18" s="153"/>
      <c r="G18" s="892"/>
      <c r="H18" s="891"/>
      <c r="I18" s="891"/>
    </row>
    <row r="19" spans="1:9" x14ac:dyDescent="0.2">
      <c r="D19" s="151"/>
      <c r="E19" s="153"/>
      <c r="F19" s="153"/>
      <c r="G19" s="892"/>
      <c r="H19" s="891"/>
      <c r="I19" s="891"/>
    </row>
    <row r="20" spans="1:9" x14ac:dyDescent="0.2">
      <c r="D20" s="151"/>
      <c r="E20" s="153"/>
      <c r="F20" s="153"/>
      <c r="G20" s="892"/>
      <c r="H20" s="891"/>
      <c r="I20" s="891"/>
    </row>
    <row r="21" spans="1:9" x14ac:dyDescent="0.2">
      <c r="D21" s="151"/>
      <c r="E21" s="153"/>
      <c r="F21" s="153"/>
      <c r="G21" s="892"/>
      <c r="H21" s="891"/>
      <c r="I21" s="891"/>
    </row>
    <row r="22" spans="1:9" x14ac:dyDescent="0.2">
      <c r="D22" s="151"/>
      <c r="E22" s="153"/>
      <c r="F22" s="153"/>
      <c r="G22" s="892"/>
      <c r="H22" s="891"/>
      <c r="I22" s="891"/>
    </row>
    <row r="23" spans="1:9" x14ac:dyDescent="0.2">
      <c r="D23" s="151"/>
      <c r="E23" s="153"/>
      <c r="F23" s="153"/>
      <c r="G23" s="892"/>
      <c r="H23" s="891"/>
      <c r="I23" s="891"/>
    </row>
    <row r="24" spans="1:9" x14ac:dyDescent="0.2">
      <c r="D24" s="151"/>
      <c r="E24" s="153"/>
      <c r="F24" s="153"/>
      <c r="G24" s="892"/>
      <c r="H24" s="891"/>
      <c r="I24" s="891"/>
    </row>
    <row r="25" spans="1:9" x14ac:dyDescent="0.2">
      <c r="D25" s="151"/>
      <c r="E25" s="153"/>
      <c r="F25" s="153"/>
      <c r="G25" s="892"/>
      <c r="H25" s="891"/>
      <c r="I25" s="891"/>
    </row>
    <row r="26" spans="1:9" ht="10.15" customHeight="1" x14ac:dyDescent="0.2">
      <c r="D26" s="151"/>
      <c r="E26" s="153"/>
      <c r="F26" s="153"/>
      <c r="G26" s="892"/>
      <c r="H26" s="891"/>
      <c r="I26" s="891"/>
    </row>
    <row r="27" spans="1:9" x14ac:dyDescent="0.2">
      <c r="D27" s="151"/>
      <c r="E27" s="153"/>
      <c r="F27" s="153"/>
      <c r="G27" s="892"/>
      <c r="H27" s="891"/>
      <c r="I27" s="891"/>
    </row>
    <row r="28" spans="1:9" ht="15.75" x14ac:dyDescent="0.2">
      <c r="A28" s="967" t="s">
        <v>444</v>
      </c>
      <c r="B28" s="968"/>
      <c r="C28" s="968"/>
      <c r="D28" s="968"/>
      <c r="E28" s="968"/>
      <c r="F28" s="968"/>
      <c r="G28" s="892"/>
      <c r="H28" s="891"/>
      <c r="I28" s="891"/>
    </row>
    <row r="29" spans="1:9" ht="10.9" customHeight="1" x14ac:dyDescent="0.2">
      <c r="D29" s="151"/>
      <c r="E29" s="152"/>
      <c r="F29" s="152"/>
      <c r="G29" s="892"/>
      <c r="H29" s="891"/>
      <c r="I29" s="891"/>
    </row>
    <row r="30" spans="1:9" x14ac:dyDescent="0.2">
      <c r="D30" s="151"/>
      <c r="E30" s="153"/>
      <c r="F30" s="153"/>
      <c r="G30" s="892"/>
      <c r="H30" s="891"/>
      <c r="I30" s="891"/>
    </row>
    <row r="31" spans="1:9" x14ac:dyDescent="0.2">
      <c r="D31" s="151"/>
      <c r="E31" s="153"/>
      <c r="F31" s="153"/>
      <c r="G31" s="892"/>
      <c r="H31" s="891"/>
      <c r="I31" s="891"/>
    </row>
    <row r="32" spans="1:9" x14ac:dyDescent="0.2">
      <c r="D32" s="151"/>
      <c r="E32" s="153"/>
      <c r="F32" s="153"/>
      <c r="G32" s="892"/>
      <c r="H32" s="891"/>
      <c r="I32" s="891"/>
    </row>
    <row r="33" spans="4:9" x14ac:dyDescent="0.2">
      <c r="D33" s="151"/>
      <c r="E33" s="153"/>
      <c r="F33" s="153"/>
      <c r="G33" s="892"/>
      <c r="H33" s="891"/>
      <c r="I33" s="891"/>
    </row>
    <row r="34" spans="4:9" x14ac:dyDescent="0.2">
      <c r="D34" s="151"/>
      <c r="E34" s="153"/>
      <c r="F34" s="153"/>
      <c r="G34" s="892"/>
      <c r="H34" s="891"/>
      <c r="I34" s="891"/>
    </row>
    <row r="35" spans="4:9" x14ac:dyDescent="0.2">
      <c r="D35" s="151"/>
      <c r="E35" s="153"/>
      <c r="F35" s="153"/>
      <c r="G35" s="892"/>
      <c r="H35" s="891"/>
      <c r="I35" s="891"/>
    </row>
    <row r="36" spans="4:9" x14ac:dyDescent="0.2">
      <c r="D36" s="151"/>
      <c r="E36" s="153"/>
      <c r="F36" s="153"/>
      <c r="G36" s="892"/>
      <c r="H36" s="891"/>
      <c r="I36" s="891"/>
    </row>
    <row r="37" spans="4:9" x14ac:dyDescent="0.2">
      <c r="D37" s="151"/>
      <c r="E37" s="153"/>
      <c r="F37" s="153"/>
      <c r="G37" s="892"/>
      <c r="H37" s="891"/>
      <c r="I37" s="891"/>
    </row>
    <row r="38" spans="4:9" x14ac:dyDescent="0.2">
      <c r="D38" s="151"/>
      <c r="E38" s="153"/>
      <c r="F38" s="153"/>
      <c r="G38" s="892"/>
      <c r="H38" s="891"/>
      <c r="I38" s="891"/>
    </row>
    <row r="39" spans="4:9" x14ac:dyDescent="0.2">
      <c r="D39" s="151"/>
      <c r="E39" s="153"/>
      <c r="F39" s="153"/>
      <c r="G39" s="892"/>
      <c r="H39" s="891"/>
      <c r="I39" s="891"/>
    </row>
    <row r="40" spans="4:9" x14ac:dyDescent="0.2">
      <c r="D40" s="151"/>
      <c r="E40" s="153"/>
      <c r="F40" s="153"/>
      <c r="G40" s="892"/>
      <c r="H40" s="891"/>
      <c r="I40" s="891"/>
    </row>
    <row r="41" spans="4:9" x14ac:dyDescent="0.2">
      <c r="D41" s="151"/>
      <c r="E41" s="153"/>
      <c r="F41" s="153"/>
      <c r="G41" s="892"/>
      <c r="H41" s="891"/>
      <c r="I41" s="891"/>
    </row>
    <row r="42" spans="4:9" x14ac:dyDescent="0.2">
      <c r="D42" s="151"/>
      <c r="E42" s="153"/>
      <c r="F42" s="153"/>
      <c r="G42" s="892"/>
      <c r="H42" s="891"/>
      <c r="I42" s="891"/>
    </row>
    <row r="43" spans="4:9" x14ac:dyDescent="0.2">
      <c r="D43" s="151"/>
      <c r="E43" s="153"/>
      <c r="F43" s="153"/>
      <c r="G43" s="892"/>
      <c r="H43" s="891"/>
      <c r="I43" s="891"/>
    </row>
    <row r="44" spans="4:9" x14ac:dyDescent="0.2">
      <c r="D44" s="151"/>
      <c r="E44" s="153"/>
      <c r="F44" s="153"/>
      <c r="G44" s="892"/>
      <c r="H44" s="891"/>
      <c r="I44" s="891"/>
    </row>
    <row r="45" spans="4:9" x14ac:dyDescent="0.2">
      <c r="D45" s="151"/>
      <c r="E45" s="153"/>
      <c r="F45" s="153"/>
      <c r="G45" s="892"/>
      <c r="H45" s="891"/>
      <c r="I45" s="891"/>
    </row>
    <row r="46" spans="4:9" x14ac:dyDescent="0.2">
      <c r="D46" s="151"/>
      <c r="E46" s="153"/>
      <c r="F46" s="153"/>
      <c r="G46" s="892"/>
      <c r="H46" s="891"/>
      <c r="I46" s="891"/>
    </row>
    <row r="47" spans="4:9" x14ac:dyDescent="0.2">
      <c r="D47" s="151"/>
      <c r="E47" s="153"/>
      <c r="F47" s="153"/>
      <c r="G47" s="892"/>
      <c r="H47" s="891"/>
      <c r="I47" s="891"/>
    </row>
    <row r="48" spans="4:9" ht="22.5" customHeight="1" x14ac:dyDescent="0.2">
      <c r="D48" s="151"/>
      <c r="E48" s="153"/>
      <c r="F48" s="153"/>
      <c r="G48" s="970"/>
      <c r="H48" s="971"/>
      <c r="I48" s="971"/>
    </row>
    <row r="49" spans="1:9" ht="15.75" x14ac:dyDescent="0.2">
      <c r="A49" s="965" t="s">
        <v>56</v>
      </c>
      <c r="B49" s="965"/>
      <c r="C49" s="965"/>
      <c r="D49" s="965"/>
      <c r="E49" s="965"/>
      <c r="F49" s="965"/>
      <c r="G49" s="965"/>
      <c r="H49" s="965"/>
      <c r="I49" s="965"/>
    </row>
    <row r="50" spans="1:9" x14ac:dyDescent="0.2">
      <c r="A50" s="590" t="s">
        <v>57</v>
      </c>
      <c r="B50" s="590"/>
      <c r="C50" s="590"/>
      <c r="D50" s="590"/>
      <c r="E50" s="590"/>
      <c r="F50" s="591"/>
      <c r="G50" s="590" t="s">
        <v>58</v>
      </c>
      <c r="H50" s="591"/>
      <c r="I50" s="590" t="s">
        <v>59</v>
      </c>
    </row>
    <row r="51" spans="1:9" ht="39.6" customHeight="1" x14ac:dyDescent="0.2">
      <c r="A51" s="959" t="str">
        <f>IF('5 EA 8 Data Sheet'!A64=0,"",'5 EA 8 Data Sheet'!A64)</f>
        <v>Highlight any risks and issues affecting ability to deliver within available funding to Executive Directors and Defra and support the organisation to make best use of funding.</v>
      </c>
      <c r="B51" s="960"/>
      <c r="C51" s="960"/>
      <c r="D51" s="960"/>
      <c r="E51" s="960"/>
      <c r="F51" s="960"/>
      <c r="G51" s="963" t="str">
        <f>IF('5 EA 8 Data Sheet'!F64=0,"",'5 EA 8 Data Sheet'!F64)</f>
        <v>Director of Finance</v>
      </c>
      <c r="H51" s="964"/>
      <c r="I51" s="592">
        <f>IF('5 EA 8 Data Sheet'!I64=0,"",'5 EA 8 Data Sheet'!I64)</f>
        <v>43190</v>
      </c>
    </row>
    <row r="52" spans="1:9" x14ac:dyDescent="0.2">
      <c r="A52" s="959" t="str">
        <f>IF('5 EA 8 Data Sheet'!A66=0,"",'5 EA 8 Data Sheet'!A66)</f>
        <v/>
      </c>
      <c r="B52" s="960"/>
      <c r="C52" s="960"/>
      <c r="D52" s="960"/>
      <c r="E52" s="960"/>
      <c r="F52" s="960"/>
      <c r="G52" s="961" t="str">
        <f>IF('5 EA 8 Data Sheet'!F66=0,"",'5 EA 8 Data Sheet'!F66)</f>
        <v/>
      </c>
      <c r="H52" s="962"/>
      <c r="I52" s="592" t="str">
        <f>IF('5 EA 8 Data Sheet'!I66=0,"",'5 EA 8 Data Sheet'!I66)</f>
        <v/>
      </c>
    </row>
    <row r="53" spans="1:9" x14ac:dyDescent="0.2">
      <c r="A53" s="959" t="str">
        <f>IF('5 EA 8 Data Sheet'!A68=0,"",'5 EA 8 Data Sheet'!A68)</f>
        <v/>
      </c>
      <c r="B53" s="960"/>
      <c r="C53" s="960"/>
      <c r="D53" s="960"/>
      <c r="E53" s="960"/>
      <c r="F53" s="960"/>
      <c r="G53" s="961" t="str">
        <f>IF('5 EA 8 Data Sheet'!F68=0,"",'5 EA 8 Data Sheet'!F68)</f>
        <v/>
      </c>
      <c r="H53" s="962"/>
      <c r="I53" s="592" t="str">
        <f>IF('5 EA 8 Data Sheet'!I68=0,"",'5 EA 8 Data Sheet'!I68)</f>
        <v/>
      </c>
    </row>
    <row r="54" spans="1:9" x14ac:dyDescent="0.2">
      <c r="A54" s="959" t="str">
        <f>IF('5 EA 8 Data Sheet'!A70=0,"",'5 EA 8 Data Sheet'!A70)</f>
        <v/>
      </c>
      <c r="B54" s="960"/>
      <c r="C54" s="960"/>
      <c r="D54" s="960"/>
      <c r="E54" s="960"/>
      <c r="F54" s="960"/>
      <c r="G54" s="961" t="str">
        <f>IF('5 EA 8 Data Sheet'!F70=0,"",'5 EA 8 Data Sheet'!F70)</f>
        <v/>
      </c>
      <c r="H54" s="962"/>
      <c r="I54" s="592" t="str">
        <f>IF('5 EA 8 Data Sheet'!I70=0,"",'5 EA 8 Data Sheet'!I70)</f>
        <v/>
      </c>
    </row>
  </sheetData>
  <sheetProtection password="BBC7" sheet="1" objects="1" scenarios="1" selectLockedCells="1" selectUnlockedCells="1"/>
  <mergeCells count="14">
    <mergeCell ref="A49:I49"/>
    <mergeCell ref="H7:I7"/>
    <mergeCell ref="H8:I8"/>
    <mergeCell ref="A10:F10"/>
    <mergeCell ref="G10:I48"/>
    <mergeCell ref="A28:F28"/>
    <mergeCell ref="A54:F54"/>
    <mergeCell ref="G54:H54"/>
    <mergeCell ref="A51:F51"/>
    <mergeCell ref="G51:H51"/>
    <mergeCell ref="A52:F52"/>
    <mergeCell ref="G52:H52"/>
    <mergeCell ref="A53:F53"/>
    <mergeCell ref="G53:H53"/>
  </mergeCells>
  <pageMargins left="0.23622047244094491" right="0.23622047244094491" top="0.23622047244094491" bottom="0.27559055118110237" header="0.31496062992125984" footer="0.31496062992125984"/>
  <pageSetup paperSize="9" scale="97" orientation="portrait"/>
  <headerFooter>
    <oddFooter>&amp;R&amp;"Calibri,Regular"&amp;10Page 9</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49"/>
  <sheetViews>
    <sheetView showGridLines="0" topLeftCell="A30" zoomScaleNormal="100" workbookViewId="0">
      <selection activeCell="G46" sqref="G46:H46"/>
    </sheetView>
  </sheetViews>
  <sheetFormatPr defaultRowHeight="15" x14ac:dyDescent="0.2"/>
  <cols>
    <col min="5" max="5" width="10.109375" customWidth="1"/>
  </cols>
  <sheetData>
    <row r="1" spans="1:9" x14ac:dyDescent="0.2">
      <c r="A1" s="584"/>
      <c r="B1" s="584"/>
      <c r="C1" s="584"/>
      <c r="D1" s="584"/>
      <c r="E1" s="584"/>
      <c r="F1" s="584"/>
      <c r="G1" s="584"/>
      <c r="H1" s="584"/>
      <c r="I1" s="584"/>
    </row>
    <row r="2" spans="1:9" x14ac:dyDescent="0.2">
      <c r="A2" s="584"/>
      <c r="B2" s="584"/>
      <c r="C2" s="584"/>
      <c r="D2" s="584"/>
      <c r="E2" s="584"/>
      <c r="F2" s="584"/>
      <c r="G2" s="584"/>
      <c r="H2" s="584"/>
      <c r="I2" s="584"/>
    </row>
    <row r="3" spans="1:9" x14ac:dyDescent="0.2">
      <c r="A3" s="584"/>
      <c r="B3" s="584"/>
      <c r="C3" s="584"/>
      <c r="D3" s="584"/>
      <c r="E3" s="584"/>
      <c r="F3" s="584"/>
      <c r="G3" s="584"/>
      <c r="H3" s="584"/>
      <c r="I3" s="584"/>
    </row>
    <row r="4" spans="1:9" x14ac:dyDescent="0.2">
      <c r="A4" s="584"/>
      <c r="B4" s="584"/>
      <c r="C4" s="584"/>
      <c r="D4" s="584"/>
      <c r="E4" s="584"/>
      <c r="F4" s="584"/>
      <c r="G4" s="584"/>
      <c r="H4" s="584"/>
      <c r="I4" s="584"/>
    </row>
    <row r="5" spans="1:9" x14ac:dyDescent="0.2">
      <c r="A5" s="584"/>
      <c r="B5" s="584"/>
      <c r="C5" s="584"/>
      <c r="D5" s="584"/>
      <c r="E5" s="584"/>
      <c r="F5" s="584"/>
      <c r="G5" s="584"/>
      <c r="H5" s="584"/>
      <c r="I5" s="584"/>
    </row>
    <row r="6" spans="1:9" ht="4.9000000000000004" customHeight="1" x14ac:dyDescent="0.2">
      <c r="A6" s="584"/>
      <c r="B6" s="584"/>
      <c r="C6" s="584"/>
      <c r="D6" s="584"/>
      <c r="E6" s="584"/>
      <c r="F6" s="584"/>
      <c r="G6" s="584"/>
      <c r="H6" s="584"/>
      <c r="I6" s="584"/>
    </row>
    <row r="7" spans="1:9" ht="19.5" thickBot="1" x14ac:dyDescent="0.35">
      <c r="A7" s="368" t="s">
        <v>49</v>
      </c>
      <c r="B7" s="368"/>
      <c r="C7" s="368" t="s">
        <v>277</v>
      </c>
      <c r="D7" s="368"/>
      <c r="E7" s="368" t="s">
        <v>51</v>
      </c>
      <c r="F7" s="824" t="s">
        <v>122</v>
      </c>
      <c r="G7" s="824"/>
      <c r="H7" s="944" t="s">
        <v>33</v>
      </c>
      <c r="I7" s="944"/>
    </row>
    <row r="8" spans="1:9" ht="19.5" thickBot="1" x14ac:dyDescent="0.25">
      <c r="A8" s="585" t="str">
        <f>'5 EA 9 Data Sheet'!B16</f>
        <v>Amber</v>
      </c>
      <c r="B8" s="617"/>
      <c r="C8" s="618">
        <f>'5 EA 9 Data Sheet'!B14</f>
        <v>0.94814936938422223</v>
      </c>
      <c r="D8" s="619"/>
      <c r="E8" s="619">
        <f>'5 EA 9 Data Sheet'!B15</f>
        <v>0.95</v>
      </c>
      <c r="F8" s="147" t="str">
        <f>'5 EA 9 Data Sheet'!B18</f>
        <v>Green</v>
      </c>
      <c r="G8" s="148"/>
      <c r="H8" s="966">
        <v>0.95</v>
      </c>
      <c r="I8" s="966"/>
    </row>
    <row r="9" spans="1:9" ht="3.6" customHeight="1" x14ac:dyDescent="0.25">
      <c r="A9" s="149"/>
      <c r="B9" s="150"/>
      <c r="C9" s="150"/>
      <c r="D9" s="150"/>
      <c r="E9" s="150"/>
      <c r="F9" s="150"/>
      <c r="G9" s="150"/>
      <c r="H9" s="150"/>
      <c r="I9" s="149"/>
    </row>
    <row r="10" spans="1:9" ht="15.75" x14ac:dyDescent="0.2">
      <c r="A10" s="967" t="s">
        <v>471</v>
      </c>
      <c r="B10" s="968"/>
      <c r="C10" s="968"/>
      <c r="D10" s="968"/>
      <c r="E10" s="968"/>
      <c r="F10" s="968"/>
      <c r="G10" s="977" t="str">
        <f>'5 EA 9 Data Sheet'!A40</f>
        <v xml:space="preserve">Areas remain focused on maintaining performance at or above target. During quarter 3 we have seen increased turnover in experienced staff, which has resulted in a slight dip in performance. To get back to green we will discuss performance with Area team leaders and work together to identify solutions, escalating issues where necessary. 
We are embedding tools and ways of working and continue to share good practice between Area teams as part of our continuous improvement of our service delivery.  Focus remains on strong local leadership and clear accountabilities for ensuring responses are made within agreed timescales, as well as applying our One Business approach to managing planning consultations to facilitate cross-area resourcing.
Our interventions in responding to planning applications have helped to consolidate a risk based approach, streamlined our engagement, increased the relevance of consultations and allowed more time to engage early and strategically. 
All improvement and consistency work is overseen by the Evolving Sustainable Places (SP) Programme Board. </v>
      </c>
      <c r="H10" s="856"/>
      <c r="I10" s="856"/>
    </row>
    <row r="11" spans="1:9" ht="15.75" x14ac:dyDescent="0.2">
      <c r="D11" s="151"/>
      <c r="E11" s="152"/>
      <c r="F11" s="152"/>
      <c r="G11" s="856"/>
      <c r="H11" s="856"/>
      <c r="I11" s="856"/>
    </row>
    <row r="12" spans="1:9" x14ac:dyDescent="0.2">
      <c r="D12" s="151"/>
      <c r="E12" s="153"/>
      <c r="F12" s="153"/>
      <c r="G12" s="856"/>
      <c r="H12" s="856"/>
      <c r="I12" s="856"/>
    </row>
    <row r="13" spans="1:9" x14ac:dyDescent="0.2">
      <c r="D13" s="151"/>
      <c r="E13" s="153"/>
      <c r="F13" s="153"/>
      <c r="G13" s="856"/>
      <c r="H13" s="856"/>
      <c r="I13" s="856"/>
    </row>
    <row r="14" spans="1:9" x14ac:dyDescent="0.2">
      <c r="D14" s="151"/>
      <c r="E14" s="153"/>
      <c r="F14" s="153"/>
      <c r="G14" s="856"/>
      <c r="H14" s="856"/>
      <c r="I14" s="856"/>
    </row>
    <row r="15" spans="1:9" x14ac:dyDescent="0.2">
      <c r="D15" s="151"/>
      <c r="E15" s="153"/>
      <c r="F15" s="153"/>
      <c r="G15" s="856"/>
      <c r="H15" s="856"/>
      <c r="I15" s="856"/>
    </row>
    <row r="16" spans="1:9" x14ac:dyDescent="0.2">
      <c r="D16" s="151"/>
      <c r="E16" s="153"/>
      <c r="F16" s="153"/>
      <c r="G16" s="856"/>
      <c r="H16" s="856"/>
      <c r="I16" s="856"/>
    </row>
    <row r="17" spans="1:9" x14ac:dyDescent="0.2">
      <c r="D17" s="151"/>
      <c r="E17" s="153"/>
      <c r="F17" s="153"/>
      <c r="G17" s="856"/>
      <c r="H17" s="856"/>
      <c r="I17" s="856"/>
    </row>
    <row r="18" spans="1:9" x14ac:dyDescent="0.2">
      <c r="D18" s="151"/>
      <c r="E18" s="153"/>
      <c r="F18" s="153"/>
      <c r="G18" s="856"/>
      <c r="H18" s="856"/>
      <c r="I18" s="856"/>
    </row>
    <row r="19" spans="1:9" x14ac:dyDescent="0.2">
      <c r="D19" s="151"/>
      <c r="E19" s="153"/>
      <c r="F19" s="153"/>
      <c r="G19" s="856"/>
      <c r="H19" s="856"/>
      <c r="I19" s="856"/>
    </row>
    <row r="20" spans="1:9" x14ac:dyDescent="0.2">
      <c r="D20" s="151"/>
      <c r="E20" s="153"/>
      <c r="F20" s="153"/>
      <c r="G20" s="856"/>
      <c r="H20" s="856"/>
      <c r="I20" s="856"/>
    </row>
    <row r="21" spans="1:9" x14ac:dyDescent="0.2">
      <c r="D21" s="151"/>
      <c r="E21" s="153"/>
      <c r="F21" s="153"/>
      <c r="G21" s="856"/>
      <c r="H21" s="856"/>
      <c r="I21" s="856"/>
    </row>
    <row r="22" spans="1:9" x14ac:dyDescent="0.2">
      <c r="D22" s="151"/>
      <c r="E22" s="153"/>
      <c r="F22" s="153"/>
      <c r="G22" s="856"/>
      <c r="H22" s="856"/>
      <c r="I22" s="856"/>
    </row>
    <row r="23" spans="1:9" x14ac:dyDescent="0.2">
      <c r="D23" s="151"/>
      <c r="E23" s="153"/>
      <c r="F23" s="153"/>
      <c r="G23" s="856"/>
      <c r="H23" s="856"/>
      <c r="I23" s="856"/>
    </row>
    <row r="24" spans="1:9" x14ac:dyDescent="0.2">
      <c r="D24" s="151"/>
      <c r="E24" s="153"/>
      <c r="F24" s="153"/>
      <c r="G24" s="856"/>
      <c r="H24" s="856"/>
      <c r="I24" s="856"/>
    </row>
    <row r="25" spans="1:9" x14ac:dyDescent="0.2">
      <c r="D25" s="151"/>
      <c r="E25" s="153"/>
      <c r="F25" s="153"/>
      <c r="G25" s="856"/>
      <c r="H25" s="856"/>
      <c r="I25" s="856"/>
    </row>
    <row r="26" spans="1:9" ht="15.75" x14ac:dyDescent="0.2">
      <c r="A26" s="967" t="s">
        <v>472</v>
      </c>
      <c r="B26" s="968"/>
      <c r="C26" s="968"/>
      <c r="D26" s="968"/>
      <c r="E26" s="968"/>
      <c r="F26" s="968"/>
      <c r="G26" s="856"/>
      <c r="H26" s="856"/>
      <c r="I26" s="856"/>
    </row>
    <row r="27" spans="1:9" x14ac:dyDescent="0.2">
      <c r="D27" s="151"/>
      <c r="G27" s="856"/>
      <c r="H27" s="856"/>
      <c r="I27" s="856"/>
    </row>
    <row r="28" spans="1:9" x14ac:dyDescent="0.2">
      <c r="A28" s="875"/>
      <c r="B28" s="876"/>
      <c r="C28" s="876"/>
      <c r="D28" s="875"/>
      <c r="E28" s="875"/>
      <c r="F28" s="875"/>
      <c r="G28" s="856"/>
      <c r="H28" s="856"/>
      <c r="I28" s="856"/>
    </row>
    <row r="29" spans="1:9" x14ac:dyDescent="0.2">
      <c r="A29" s="877"/>
      <c r="B29" s="877"/>
      <c r="C29" s="877"/>
      <c r="D29" s="877"/>
      <c r="E29" s="877"/>
      <c r="F29" s="877"/>
      <c r="G29" s="856"/>
      <c r="H29" s="856"/>
      <c r="I29" s="856"/>
    </row>
    <row r="30" spans="1:9" x14ac:dyDescent="0.2">
      <c r="A30" s="868"/>
      <c r="B30" s="869"/>
      <c r="C30" s="869"/>
      <c r="D30" s="870"/>
      <c r="E30" s="871"/>
      <c r="F30" s="868"/>
      <c r="G30" s="856"/>
      <c r="H30" s="856"/>
      <c r="I30" s="856"/>
    </row>
    <row r="31" spans="1:9" x14ac:dyDescent="0.2">
      <c r="A31" s="869"/>
      <c r="B31" s="869"/>
      <c r="C31" s="869"/>
      <c r="D31" s="870"/>
      <c r="E31" s="871"/>
      <c r="F31" s="868"/>
      <c r="G31" s="856"/>
      <c r="H31" s="856"/>
      <c r="I31" s="856"/>
    </row>
    <row r="32" spans="1:9" x14ac:dyDescent="0.2">
      <c r="A32" s="868"/>
      <c r="B32" s="869"/>
      <c r="C32" s="869"/>
      <c r="D32" s="870"/>
      <c r="E32" s="871"/>
      <c r="F32" s="868"/>
      <c r="G32" s="856"/>
      <c r="H32" s="856"/>
      <c r="I32" s="856"/>
    </row>
    <row r="33" spans="1:9" x14ac:dyDescent="0.2">
      <c r="A33" s="869"/>
      <c r="B33" s="869"/>
      <c r="C33" s="869"/>
      <c r="D33" s="870"/>
      <c r="E33" s="871"/>
      <c r="F33" s="868"/>
      <c r="G33" s="856"/>
      <c r="H33" s="856"/>
      <c r="I33" s="856"/>
    </row>
    <row r="34" spans="1:9" x14ac:dyDescent="0.2">
      <c r="A34" s="868"/>
      <c r="B34" s="869"/>
      <c r="C34" s="869"/>
      <c r="D34" s="870"/>
      <c r="E34" s="871"/>
      <c r="F34" s="868"/>
      <c r="G34" s="856"/>
      <c r="H34" s="856"/>
      <c r="I34" s="856"/>
    </row>
    <row r="35" spans="1:9" x14ac:dyDescent="0.2">
      <c r="A35" s="868"/>
      <c r="B35" s="869"/>
      <c r="C35" s="869"/>
      <c r="D35" s="870"/>
      <c r="E35" s="871"/>
      <c r="F35" s="868"/>
      <c r="G35" s="856"/>
      <c r="H35" s="856"/>
      <c r="I35" s="856"/>
    </row>
    <row r="36" spans="1:9" x14ac:dyDescent="0.2">
      <c r="A36" s="869"/>
      <c r="B36" s="869"/>
      <c r="C36" s="869"/>
      <c r="D36" s="870"/>
      <c r="E36" s="871"/>
      <c r="F36" s="868"/>
      <c r="G36" s="856"/>
      <c r="H36" s="856"/>
      <c r="I36" s="856"/>
    </row>
    <row r="37" spans="1:9" x14ac:dyDescent="0.2">
      <c r="A37" s="868"/>
      <c r="B37" s="869"/>
      <c r="C37" s="869"/>
      <c r="D37" s="870"/>
      <c r="E37" s="871"/>
      <c r="F37" s="868"/>
      <c r="G37" s="856"/>
      <c r="H37" s="856"/>
      <c r="I37" s="856"/>
    </row>
    <row r="38" spans="1:9" x14ac:dyDescent="0.2">
      <c r="A38" s="869"/>
      <c r="B38" s="869"/>
      <c r="C38" s="869"/>
      <c r="D38" s="870"/>
      <c r="E38" s="871"/>
      <c r="F38" s="868"/>
      <c r="G38" s="856"/>
      <c r="H38" s="856"/>
      <c r="I38" s="856"/>
    </row>
    <row r="39" spans="1:9" x14ac:dyDescent="0.2">
      <c r="A39" s="868"/>
      <c r="B39" s="869"/>
      <c r="C39" s="869"/>
      <c r="D39" s="870"/>
      <c r="E39" s="871"/>
      <c r="F39" s="868"/>
      <c r="G39" s="856"/>
      <c r="H39" s="856"/>
      <c r="I39" s="856"/>
    </row>
    <row r="40" spans="1:9" x14ac:dyDescent="0.2">
      <c r="A40" s="869"/>
      <c r="B40" s="869"/>
      <c r="C40" s="869"/>
      <c r="D40" s="870"/>
      <c r="E40" s="871"/>
      <c r="F40" s="868"/>
      <c r="G40" s="856"/>
      <c r="H40" s="856"/>
      <c r="I40" s="856"/>
    </row>
    <row r="41" spans="1:9" x14ac:dyDescent="0.2">
      <c r="A41" s="868"/>
      <c r="B41" s="869"/>
      <c r="C41" s="869"/>
      <c r="D41" s="870"/>
      <c r="E41" s="871"/>
      <c r="F41" s="868"/>
      <c r="G41" s="856"/>
      <c r="H41" s="856"/>
      <c r="I41" s="856"/>
    </row>
    <row r="42" spans="1:9" x14ac:dyDescent="0.2">
      <c r="A42" s="869"/>
      <c r="B42" s="869"/>
      <c r="C42" s="869"/>
      <c r="D42" s="870"/>
      <c r="E42" s="871"/>
      <c r="F42" s="868"/>
      <c r="G42" s="856"/>
      <c r="H42" s="856"/>
      <c r="I42" s="856"/>
    </row>
    <row r="43" spans="1:9" ht="75" customHeight="1" x14ac:dyDescent="0.2">
      <c r="D43" s="151"/>
      <c r="E43" s="153"/>
      <c r="F43" s="153"/>
      <c r="G43" s="971"/>
      <c r="H43" s="971"/>
      <c r="I43" s="971"/>
    </row>
    <row r="44" spans="1:9" ht="15.75" x14ac:dyDescent="0.2">
      <c r="A44" s="965" t="s">
        <v>56</v>
      </c>
      <c r="B44" s="965"/>
      <c r="C44" s="965"/>
      <c r="D44" s="965"/>
      <c r="E44" s="965"/>
      <c r="F44" s="965"/>
      <c r="G44" s="965"/>
      <c r="H44" s="965"/>
      <c r="I44" s="965"/>
    </row>
    <row r="45" spans="1:9" ht="15.75" x14ac:dyDescent="0.25">
      <c r="A45" s="620" t="s">
        <v>57</v>
      </c>
      <c r="B45" s="620"/>
      <c r="C45" s="620"/>
      <c r="D45" s="620"/>
      <c r="E45" s="620"/>
      <c r="F45" s="621"/>
      <c r="G45" s="620" t="s">
        <v>58</v>
      </c>
      <c r="H45" s="620"/>
      <c r="I45" s="622" t="s">
        <v>59</v>
      </c>
    </row>
    <row r="46" spans="1:9" s="487" customFormat="1" ht="42.6" customHeight="1" x14ac:dyDescent="0.25">
      <c r="A46" s="865" t="str">
        <f>IF('5 EA 9 Data Sheet'!A53=0,"",'5 EA 9 Data Sheet'!A53)</f>
        <v>Continue to implement performance improvement action plan, monitor &amp; review.</v>
      </c>
      <c r="B46" s="974"/>
      <c r="C46" s="974"/>
      <c r="D46" s="974"/>
      <c r="E46" s="974"/>
      <c r="F46" s="974"/>
      <c r="G46" s="975" t="str">
        <f>IF('5 EA 9 Data Sheet'!F53=0,"",'5 EA 9 Data Sheet'!F53)</f>
        <v>Executive Director, E&amp;B &amp; Executive Director, Operations</v>
      </c>
      <c r="H46" s="976"/>
      <c r="I46" s="623" t="str">
        <f>IF('5 EA 9 Data Sheet'!I53=0,"",'5 EA 9 Data Sheet'!I53)</f>
        <v>Ongoing</v>
      </c>
    </row>
    <row r="47" spans="1:9" x14ac:dyDescent="0.2">
      <c r="A47" s="865" t="str">
        <f>IF('5 EA 9 Data Sheet'!A55=0,"",'5 EA 9 Data Sheet'!A55)</f>
        <v/>
      </c>
      <c r="B47" s="974"/>
      <c r="C47" s="974"/>
      <c r="D47" s="974"/>
      <c r="E47" s="974"/>
      <c r="F47" s="974"/>
      <c r="G47" s="972" t="str">
        <f>IF('5 EA 9 Data Sheet'!F55=0,"",'5 EA 9 Data Sheet'!F55)</f>
        <v/>
      </c>
      <c r="H47" s="973"/>
      <c r="I47" s="624" t="str">
        <f>IF('5 EA 9 Data Sheet'!I55=0,"",'5 EA 9 Data Sheet'!I55)</f>
        <v/>
      </c>
    </row>
    <row r="48" spans="1:9" x14ac:dyDescent="0.2">
      <c r="A48" s="865" t="str">
        <f>IF('5 EA 9 Data Sheet'!A57=0,"",'5 EA 9 Data Sheet'!A57)</f>
        <v/>
      </c>
      <c r="B48" s="974"/>
      <c r="C48" s="974"/>
      <c r="D48" s="974"/>
      <c r="E48" s="974"/>
      <c r="F48" s="974"/>
      <c r="G48" s="972" t="str">
        <f>IF('5 EA 9 Data Sheet'!F57=0,"",'5 EA 9 Data Sheet'!F57)</f>
        <v/>
      </c>
      <c r="H48" s="973"/>
      <c r="I48" s="624" t="str">
        <f>IF('5 EA 9 Data Sheet'!I57=0,"",'5 EA 9 Data Sheet'!I57)</f>
        <v/>
      </c>
    </row>
    <row r="49" spans="1:9" x14ac:dyDescent="0.2">
      <c r="A49" s="865" t="str">
        <f>IF('5 EA 9 Data Sheet'!A59=0,"",'5 EA 9 Data Sheet'!A59)</f>
        <v/>
      </c>
      <c r="B49" s="974"/>
      <c r="C49" s="974"/>
      <c r="D49" s="974"/>
      <c r="E49" s="974"/>
      <c r="F49" s="974"/>
      <c r="G49" s="972" t="str">
        <f>IF('5 EA 9 Data Sheet'!F59=0,"",'5 EA 9 Data Sheet'!F59)</f>
        <v/>
      </c>
      <c r="H49" s="973"/>
      <c r="I49" s="624" t="str">
        <f>IF('5 EA 9 Data Sheet'!I59=0,"",'5 EA 9 Data Sheet'!I59)</f>
        <v/>
      </c>
    </row>
  </sheetData>
  <sheetProtection password="BBC7" sheet="1" objects="1" scenarios="1" selectLockedCells="1" selectUnlockedCells="1"/>
  <mergeCells count="43">
    <mergeCell ref="F7:G7"/>
    <mergeCell ref="H7:I7"/>
    <mergeCell ref="H8:I8"/>
    <mergeCell ref="A10:F10"/>
    <mergeCell ref="G10:I43"/>
    <mergeCell ref="A26:F26"/>
    <mergeCell ref="A28:C29"/>
    <mergeCell ref="D28:D29"/>
    <mergeCell ref="E28:E29"/>
    <mergeCell ref="F28:F29"/>
    <mergeCell ref="A30:C31"/>
    <mergeCell ref="D30:D31"/>
    <mergeCell ref="E30:E31"/>
    <mergeCell ref="F30:F31"/>
    <mergeCell ref="A32:C33"/>
    <mergeCell ref="D32:D33"/>
    <mergeCell ref="E32:E33"/>
    <mergeCell ref="F32:F33"/>
    <mergeCell ref="A34:C36"/>
    <mergeCell ref="D34:D36"/>
    <mergeCell ref="E34:E36"/>
    <mergeCell ref="F34:F36"/>
    <mergeCell ref="A37:C38"/>
    <mergeCell ref="D37:D38"/>
    <mergeCell ref="E37:E38"/>
    <mergeCell ref="F37:F38"/>
    <mergeCell ref="A39:C40"/>
    <mergeCell ref="D39:D40"/>
    <mergeCell ref="E39:E40"/>
    <mergeCell ref="F39:F40"/>
    <mergeCell ref="A41:C42"/>
    <mergeCell ref="D41:D42"/>
    <mergeCell ref="E41:E42"/>
    <mergeCell ref="F41:F42"/>
    <mergeCell ref="A49:F49"/>
    <mergeCell ref="G49:H49"/>
    <mergeCell ref="A44:I44"/>
    <mergeCell ref="A46:F46"/>
    <mergeCell ref="G46:H46"/>
    <mergeCell ref="A47:F47"/>
    <mergeCell ref="G47:H47"/>
    <mergeCell ref="A48:F48"/>
    <mergeCell ref="G48:H48"/>
  </mergeCells>
  <conditionalFormatting sqref="B8 F30:F42">
    <cfRule type="containsText" dxfId="29" priority="1" operator="containsText" text="RED">
      <formula>NOT(ISERROR(SEARCH("RED",B8)))</formula>
    </cfRule>
    <cfRule type="containsText" dxfId="28" priority="2" operator="containsText" text="AMBER">
      <formula>NOT(ISERROR(SEARCH("AMBER",B8)))</formula>
    </cfRule>
    <cfRule type="containsText" dxfId="27" priority="3" operator="containsText" text="GREEN">
      <formula>NOT(ISERROR(SEARCH("GREEN",B8)))</formula>
    </cfRule>
  </conditionalFormatting>
  <dataValidations count="1">
    <dataValidation allowBlank="1" showErrorMessage="1" prompt="Select from drop down menu" sqref="D30:F42"/>
  </dataValidations>
  <pageMargins left="0.23622047244094491" right="0.23622047244094491" top="0.74803149606299213" bottom="0.74803149606299213" header="0.31496062992125984" footer="0.31496062992125984"/>
  <pageSetup paperSize="9" scale="91" orientation="portrait"/>
  <headerFooter>
    <oddFooter>&amp;R&amp;"Calibri,Regular"&amp;10Page 10</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47"/>
  <sheetViews>
    <sheetView showGridLines="0" zoomScaleNormal="100" zoomScaleSheetLayoutView="90" workbookViewId="0">
      <selection activeCell="C9" sqref="C9"/>
    </sheetView>
  </sheetViews>
  <sheetFormatPr defaultRowHeight="15" x14ac:dyDescent="0.2"/>
  <cols>
    <col min="1" max="1" width="8.88671875" customWidth="1"/>
    <col min="2" max="2" width="8.109375" customWidth="1"/>
    <col min="3" max="4" width="8.33203125" customWidth="1"/>
    <col min="5" max="5" width="8.109375" customWidth="1"/>
    <col min="6" max="6" width="10.33203125" customWidth="1"/>
    <col min="7" max="7" width="8.88671875" customWidth="1"/>
    <col min="8" max="8" width="15.77734375" customWidth="1"/>
    <col min="9" max="9" width="12.21875" customWidth="1"/>
  </cols>
  <sheetData>
    <row r="1" spans="1:10" x14ac:dyDescent="0.2">
      <c r="A1" s="636"/>
      <c r="B1" s="636"/>
      <c r="C1" s="636"/>
      <c r="D1" s="636"/>
      <c r="E1" s="636"/>
      <c r="F1" s="636"/>
      <c r="G1" s="636"/>
      <c r="H1" s="636"/>
      <c r="I1" s="636"/>
    </row>
    <row r="2" spans="1:10" x14ac:dyDescent="0.2">
      <c r="A2" s="636"/>
      <c r="B2" s="636"/>
      <c r="C2" s="636"/>
      <c r="D2" s="636"/>
      <c r="E2" s="636"/>
      <c r="F2" s="636"/>
      <c r="G2" s="636"/>
      <c r="H2" s="636"/>
      <c r="I2" s="636"/>
    </row>
    <row r="3" spans="1:10" ht="11.25" customHeight="1" x14ac:dyDescent="0.2">
      <c r="A3" s="636"/>
      <c r="B3" s="636"/>
      <c r="C3" s="636"/>
      <c r="D3" s="636"/>
      <c r="E3" s="636"/>
      <c r="F3" s="636"/>
      <c r="G3" s="636"/>
      <c r="H3" s="636"/>
      <c r="I3" s="636"/>
    </row>
    <row r="4" spans="1:10" ht="20.25" customHeight="1" x14ac:dyDescent="0.2">
      <c r="A4" s="636"/>
      <c r="B4" s="636"/>
      <c r="C4" s="636"/>
      <c r="D4" s="636"/>
      <c r="E4" s="636"/>
      <c r="F4" s="636"/>
      <c r="G4" s="636"/>
      <c r="H4" s="636"/>
      <c r="I4" s="636"/>
    </row>
    <row r="5" spans="1:10" ht="14.25" customHeight="1" x14ac:dyDescent="0.2">
      <c r="A5" s="636"/>
      <c r="B5" s="636"/>
      <c r="C5" s="636"/>
      <c r="D5" s="636"/>
      <c r="E5" s="636"/>
      <c r="F5" s="636"/>
      <c r="G5" s="636"/>
      <c r="H5" s="636"/>
      <c r="I5" s="636"/>
    </row>
    <row r="6" spans="1:10" s="430" customFormat="1" ht="3" customHeight="1" x14ac:dyDescent="0.2">
      <c r="A6" s="149"/>
      <c r="B6" s="149"/>
      <c r="C6" s="149"/>
      <c r="D6" s="149"/>
      <c r="E6" s="149"/>
      <c r="F6" s="149"/>
      <c r="G6" s="149"/>
      <c r="H6" s="149"/>
      <c r="I6" s="149"/>
    </row>
    <row r="7" spans="1:10" ht="16.5" customHeight="1" x14ac:dyDescent="0.2">
      <c r="A7" s="991" t="s">
        <v>508</v>
      </c>
      <c r="B7" s="992"/>
      <c r="C7" s="992"/>
      <c r="D7" s="992"/>
      <c r="E7" s="992"/>
      <c r="F7" s="992"/>
      <c r="G7" s="149"/>
      <c r="H7" s="149"/>
      <c r="I7" s="149"/>
    </row>
    <row r="8" spans="1:10" ht="19.5" thickBot="1" x14ac:dyDescent="0.25">
      <c r="A8" s="368" t="s">
        <v>416</v>
      </c>
      <c r="B8" s="368"/>
      <c r="C8" s="368" t="s">
        <v>73</v>
      </c>
      <c r="D8" s="824" t="s">
        <v>509</v>
      </c>
      <c r="E8" s="824"/>
      <c r="F8" s="824" t="s">
        <v>33</v>
      </c>
      <c r="G8" s="824"/>
      <c r="H8" s="824" t="s">
        <v>52</v>
      </c>
      <c r="I8" s="824"/>
    </row>
    <row r="9" spans="1:10" ht="15" customHeight="1" thickBot="1" x14ac:dyDescent="0.25">
      <c r="A9" s="449" t="str">
        <f>'6 EA 10 Data Sheet'!B16</f>
        <v>Green</v>
      </c>
      <c r="B9" s="368"/>
      <c r="C9" s="231">
        <f>'6 EA 10 Data Sheet'!B14</f>
        <v>20176</v>
      </c>
      <c r="D9" s="231">
        <f>'6 EA 10 Data Sheet'!B15</f>
        <v>22339</v>
      </c>
      <c r="F9" s="231">
        <v>34520</v>
      </c>
      <c r="H9" s="637" t="str">
        <f>'6 EA 10 Data Sheet'!B18</f>
        <v>Green</v>
      </c>
      <c r="I9" s="638"/>
    </row>
    <row r="10" spans="1:10" ht="7.5" customHeight="1" x14ac:dyDescent="0.25">
      <c r="A10" s="149"/>
      <c r="B10" s="150"/>
      <c r="C10" s="150"/>
      <c r="I10" s="149"/>
    </row>
    <row r="11" spans="1:10" ht="15.6" customHeight="1" x14ac:dyDescent="0.2">
      <c r="A11" s="991" t="s">
        <v>510</v>
      </c>
      <c r="B11" s="992"/>
      <c r="C11" s="992"/>
      <c r="D11" s="992"/>
      <c r="E11" s="992"/>
      <c r="F11" s="992"/>
      <c r="G11" s="855" t="str">
        <f>'6 EA 10 Data Sheet'!A59</f>
        <v xml:space="preserve">Performance is good at 90% of our profiled target at the end of quarter 3. 
We have seen a 20% reduction year to date in carbon emissions from our buildings compared to last year. A significant proportion of this is as a result of the additional renewable energy in the UK grid mix resulting in a change to the conversion factors being applied in quarter 3.  
Our underlying performance in terms of energy used in our buildings shows a 5% reduction in Kilowatt hours.  Continued investment in our buildings, such as boiler replacement, additional biomass boiler use, light emitting diode lighting at Ghyll Mount in the North West, and solar photo voltaic at Alverdiscott depot in the South West, is having a positive impact. 
Our carbon emissions from travel have increased by 6% compared to last year.  Leaders across the business are encouraging alternatives and leading by example on technology like video conferencing (VC). The new London Office, 2 Marsham Street, has half of its meeting rooms equipped with VC equipment.
Our operational carbon emissions have increased by almost a third compared to last year.  This is in response to the weather and the decision to use water resources pumps like the Ely Ouse and Shropshire ground water schemes, due to the prolonged dry weather conditions throughout most of this year.
</v>
      </c>
      <c r="H11" s="797"/>
      <c r="I11" s="797"/>
    </row>
    <row r="12" spans="1:10" ht="15.75" x14ac:dyDescent="0.25">
      <c r="A12" s="639"/>
      <c r="B12" s="639"/>
      <c r="C12" s="640" t="s">
        <v>416</v>
      </c>
      <c r="D12" s="639"/>
      <c r="E12" s="640" t="s">
        <v>73</v>
      </c>
      <c r="F12" s="641" t="s">
        <v>74</v>
      </c>
      <c r="G12" s="855"/>
      <c r="H12" s="797"/>
      <c r="I12" s="797"/>
    </row>
    <row r="13" spans="1:10" ht="15.75" x14ac:dyDescent="0.25">
      <c r="A13" s="642" t="s">
        <v>511</v>
      </c>
      <c r="B13" s="639"/>
      <c r="C13" s="643" t="str">
        <f>'6 EA 10 Data Sheet'!G45</f>
        <v>Green</v>
      </c>
      <c r="D13" s="644"/>
      <c r="E13" s="645">
        <f>'6 EA 10 Data Sheet'!D45</f>
        <v>20176</v>
      </c>
      <c r="F13" s="646">
        <f>'6 EA 10 Data Sheet'!E45</f>
        <v>22339</v>
      </c>
      <c r="G13" s="855"/>
      <c r="H13" s="797"/>
      <c r="I13" s="797"/>
      <c r="J13" s="647"/>
    </row>
    <row r="14" spans="1:10" ht="15.75" x14ac:dyDescent="0.25">
      <c r="A14" s="642" t="s">
        <v>512</v>
      </c>
      <c r="B14" s="639"/>
      <c r="C14" s="643" t="s">
        <v>41</v>
      </c>
      <c r="D14" s="644"/>
      <c r="E14" s="645">
        <f>'6 EA 10 Data Sheet'!T52</f>
        <v>1765</v>
      </c>
      <c r="F14" s="645">
        <v>2107.6599999999985</v>
      </c>
      <c r="G14" s="855"/>
      <c r="H14" s="797"/>
      <c r="I14" s="797"/>
      <c r="J14" s="647"/>
    </row>
    <row r="15" spans="1:10" ht="15.75" x14ac:dyDescent="0.25">
      <c r="A15" s="642" t="s">
        <v>513</v>
      </c>
      <c r="B15" s="639"/>
      <c r="C15" s="648" t="s">
        <v>40</v>
      </c>
      <c r="D15" s="644"/>
      <c r="E15" s="645">
        <f>'6 EA 10 Data Sheet'!T53</f>
        <v>6706</v>
      </c>
      <c r="F15" s="645">
        <v>6477.84</v>
      </c>
      <c r="G15" s="855"/>
      <c r="H15" s="797"/>
      <c r="I15" s="797"/>
      <c r="J15" s="647"/>
    </row>
    <row r="16" spans="1:10" ht="15.75" x14ac:dyDescent="0.25">
      <c r="A16" s="642" t="s">
        <v>514</v>
      </c>
      <c r="B16" s="639"/>
      <c r="C16" s="643" t="s">
        <v>41</v>
      </c>
      <c r="D16" s="644"/>
      <c r="E16" s="645">
        <f>'6 EA 10 Data Sheet'!T54</f>
        <v>3603</v>
      </c>
      <c r="F16" s="645">
        <v>4818</v>
      </c>
      <c r="G16" s="855"/>
      <c r="H16" s="797"/>
      <c r="I16" s="797"/>
      <c r="J16" s="647"/>
    </row>
    <row r="17" spans="1:10" ht="15.75" x14ac:dyDescent="0.25">
      <c r="A17" s="642" t="s">
        <v>515</v>
      </c>
      <c r="B17" s="639"/>
      <c r="C17" s="643" t="s">
        <v>41</v>
      </c>
      <c r="D17" s="649"/>
      <c r="E17" s="645">
        <f>'6 EA 10 Data Sheet'!T55</f>
        <v>8102</v>
      </c>
      <c r="F17" s="645">
        <v>8935.4000000000015</v>
      </c>
      <c r="G17" s="855"/>
      <c r="H17" s="797"/>
      <c r="I17" s="797"/>
      <c r="J17" s="647"/>
    </row>
    <row r="18" spans="1:10" ht="12" customHeight="1" x14ac:dyDescent="0.2">
      <c r="A18" s="650"/>
      <c r="C18" s="153"/>
      <c r="G18" s="855"/>
      <c r="H18" s="797"/>
      <c r="I18" s="797"/>
    </row>
    <row r="19" spans="1:10" ht="15.75" x14ac:dyDescent="0.2">
      <c r="A19" s="991" t="s">
        <v>516</v>
      </c>
      <c r="B19" s="992"/>
      <c r="C19" s="992"/>
      <c r="D19" s="992"/>
      <c r="E19" s="992"/>
      <c r="F19" s="992"/>
      <c r="G19" s="855"/>
      <c r="H19" s="797"/>
      <c r="I19" s="797"/>
    </row>
    <row r="20" spans="1:10" x14ac:dyDescent="0.2">
      <c r="D20" s="151"/>
      <c r="E20" s="153"/>
      <c r="F20" s="153"/>
      <c r="G20" s="855"/>
      <c r="H20" s="797"/>
      <c r="I20" s="797"/>
    </row>
    <row r="21" spans="1:10" x14ac:dyDescent="0.2">
      <c r="D21" s="151"/>
      <c r="E21" s="153"/>
      <c r="F21" s="153"/>
      <c r="G21" s="855"/>
      <c r="H21" s="797"/>
      <c r="I21" s="797"/>
    </row>
    <row r="22" spans="1:10" x14ac:dyDescent="0.2">
      <c r="D22" s="151"/>
      <c r="E22" s="153"/>
      <c r="F22" s="153"/>
      <c r="G22" s="855"/>
      <c r="H22" s="797"/>
      <c r="I22" s="797"/>
    </row>
    <row r="23" spans="1:10" x14ac:dyDescent="0.2">
      <c r="D23" s="151"/>
      <c r="E23" s="153"/>
      <c r="F23" s="153"/>
      <c r="G23" s="855"/>
      <c r="H23" s="797"/>
      <c r="I23" s="797"/>
    </row>
    <row r="24" spans="1:10" x14ac:dyDescent="0.2">
      <c r="D24" s="151"/>
      <c r="E24" s="153"/>
      <c r="F24" s="153"/>
      <c r="G24" s="855"/>
      <c r="H24" s="797"/>
      <c r="I24" s="797"/>
    </row>
    <row r="25" spans="1:10" x14ac:dyDescent="0.2">
      <c r="D25" s="151"/>
      <c r="E25" s="153"/>
      <c r="F25" s="153"/>
      <c r="G25" s="855"/>
      <c r="H25" s="797"/>
      <c r="I25" s="797"/>
    </row>
    <row r="26" spans="1:10" x14ac:dyDescent="0.2">
      <c r="D26" s="151"/>
      <c r="E26" s="153"/>
      <c r="F26" s="153"/>
      <c r="G26" s="855"/>
      <c r="H26" s="797"/>
      <c r="I26" s="797"/>
    </row>
    <row r="27" spans="1:10" x14ac:dyDescent="0.2">
      <c r="D27" s="151"/>
      <c r="E27" s="153"/>
      <c r="F27" s="153"/>
      <c r="G27" s="855"/>
      <c r="H27" s="797"/>
      <c r="I27" s="797"/>
    </row>
    <row r="28" spans="1:10" x14ac:dyDescent="0.2">
      <c r="D28" s="151"/>
      <c r="E28" s="153"/>
      <c r="F28" s="153"/>
      <c r="G28" s="855"/>
      <c r="H28" s="797"/>
      <c r="I28" s="797"/>
    </row>
    <row r="29" spans="1:10" x14ac:dyDescent="0.2">
      <c r="D29" s="151"/>
      <c r="E29" s="153"/>
      <c r="F29" s="153"/>
      <c r="G29" s="855"/>
      <c r="H29" s="797"/>
      <c r="I29" s="797"/>
    </row>
    <row r="30" spans="1:10" x14ac:dyDescent="0.2">
      <c r="D30" s="151"/>
      <c r="E30" s="153"/>
      <c r="F30" s="153"/>
      <c r="G30" s="855"/>
      <c r="H30" s="797"/>
      <c r="I30" s="797"/>
    </row>
    <row r="31" spans="1:10" x14ac:dyDescent="0.2">
      <c r="D31" s="151"/>
      <c r="E31" s="153"/>
      <c r="F31" s="153"/>
      <c r="G31" s="855"/>
      <c r="H31" s="797"/>
      <c r="I31" s="797"/>
    </row>
    <row r="32" spans="1:10" x14ac:dyDescent="0.2">
      <c r="D32" s="151"/>
      <c r="E32" s="153"/>
      <c r="F32" s="153"/>
      <c r="G32" s="855"/>
      <c r="H32" s="797"/>
      <c r="I32" s="797"/>
    </row>
    <row r="33" spans="1:19" x14ac:dyDescent="0.2">
      <c r="G33" s="855"/>
      <c r="H33" s="797"/>
      <c r="I33" s="797"/>
      <c r="S33" s="647"/>
    </row>
    <row r="34" spans="1:19" ht="15.75" x14ac:dyDescent="0.2">
      <c r="D34" s="151"/>
      <c r="E34" s="152"/>
      <c r="F34" s="152"/>
      <c r="G34" s="855"/>
      <c r="H34" s="797"/>
      <c r="I34" s="797"/>
    </row>
    <row r="35" spans="1:19" x14ac:dyDescent="0.2">
      <c r="D35" s="151"/>
      <c r="E35" s="153"/>
      <c r="F35" s="153"/>
      <c r="G35" s="855"/>
      <c r="H35" s="797"/>
      <c r="I35" s="797"/>
    </row>
    <row r="36" spans="1:19" x14ac:dyDescent="0.2">
      <c r="D36" s="151"/>
      <c r="E36" s="153"/>
      <c r="F36" s="153"/>
      <c r="G36" s="855"/>
      <c r="H36" s="797"/>
      <c r="I36" s="797"/>
    </row>
    <row r="37" spans="1:19" ht="35.25" customHeight="1" x14ac:dyDescent="0.2">
      <c r="D37" s="151"/>
      <c r="E37" s="153"/>
      <c r="F37" s="153"/>
      <c r="G37" s="855"/>
      <c r="H37" s="797"/>
      <c r="I37" s="797"/>
    </row>
    <row r="38" spans="1:19" x14ac:dyDescent="0.2">
      <c r="D38" s="151"/>
      <c r="E38" s="153"/>
      <c r="F38" s="153"/>
      <c r="G38" s="855"/>
      <c r="H38" s="797"/>
      <c r="I38" s="797"/>
    </row>
    <row r="39" spans="1:19" ht="36" customHeight="1" x14ac:dyDescent="0.2">
      <c r="D39" s="151"/>
      <c r="E39" s="153"/>
      <c r="F39" s="153"/>
      <c r="G39" s="855"/>
      <c r="H39" s="797"/>
      <c r="I39" s="797"/>
    </row>
    <row r="40" spans="1:19" ht="29.25" customHeight="1" x14ac:dyDescent="0.2">
      <c r="D40" s="151"/>
      <c r="E40" s="153"/>
      <c r="F40" s="153"/>
      <c r="G40" s="855"/>
      <c r="H40" s="797"/>
      <c r="I40" s="797"/>
    </row>
    <row r="41" spans="1:19" ht="14.25" customHeight="1" x14ac:dyDescent="0.2">
      <c r="A41" s="982"/>
      <c r="B41" s="982"/>
      <c r="C41" s="982"/>
      <c r="D41" s="982"/>
      <c r="E41" s="982"/>
      <c r="F41" s="982"/>
      <c r="G41" s="982"/>
      <c r="H41" s="982"/>
      <c r="I41" s="982"/>
    </row>
    <row r="42" spans="1:19" ht="13.5" customHeight="1" x14ac:dyDescent="0.2">
      <c r="D42" s="151"/>
      <c r="E42" s="153"/>
      <c r="F42" s="153"/>
      <c r="G42" s="651"/>
      <c r="H42" s="652"/>
      <c r="I42" s="652"/>
    </row>
    <row r="43" spans="1:19" ht="18" customHeight="1" x14ac:dyDescent="0.2">
      <c r="A43" s="983" t="s">
        <v>56</v>
      </c>
      <c r="B43" s="984"/>
      <c r="C43" s="984"/>
      <c r="D43" s="984"/>
      <c r="E43" s="984"/>
      <c r="F43" s="985"/>
      <c r="G43" s="986" t="s">
        <v>58</v>
      </c>
      <c r="H43" s="987"/>
      <c r="I43" s="653" t="s">
        <v>517</v>
      </c>
    </row>
    <row r="44" spans="1:19" ht="31.5" customHeight="1" x14ac:dyDescent="0.2">
      <c r="A44" s="988" t="str">
        <f>IF('6 EA 10 Data Sheet'!A74=0,"",'6 EA 10 Data Sheet'!A74)</f>
        <v>Managers to emphasise the importance of the use of the travel hierarchy.</v>
      </c>
      <c r="B44" s="989"/>
      <c r="C44" s="989"/>
      <c r="D44" s="989"/>
      <c r="E44" s="989"/>
      <c r="F44" s="989"/>
      <c r="G44" s="990" t="str">
        <f>IF('6 EA 10 Data Sheet'!H74=0,"",'6 EA 10 Data Sheet'!H74)</f>
        <v>Executive Directors, Directors and Deputy Directors</v>
      </c>
      <c r="H44" s="989"/>
      <c r="I44" s="980" t="str">
        <f>IF('6 EA 10 Data Sheet'!K74=0,"",'6 EA 10 Data Sheet'!K74)</f>
        <v>Ongoing</v>
      </c>
      <c r="J44" s="979"/>
    </row>
    <row r="45" spans="1:19" ht="15" customHeight="1" x14ac:dyDescent="0.2">
      <c r="A45" s="978" t="str">
        <f>IF('6 EA 10 Data Sheet'!A76=0,"",'6 EA 10 Data Sheet'!A76)</f>
        <v>Maintain roll out of ultra low emission vehicles and charging points.</v>
      </c>
      <c r="B45" s="979"/>
      <c r="C45" s="979"/>
      <c r="D45" s="979"/>
      <c r="E45" s="979"/>
      <c r="F45" s="981"/>
      <c r="G45" s="980" t="str">
        <f>IF('6 EA 10 Data Sheet'!H76=0,"",'6 EA 10 Data Sheet'!H76)</f>
        <v>Executive Director of Operations</v>
      </c>
      <c r="H45" s="981"/>
      <c r="I45" s="980" t="str">
        <f>IF('6 EA 10 Data Sheet'!K76=0,"",'6 EA 10 Data Sheet'!K76)</f>
        <v>Ongoing</v>
      </c>
      <c r="J45" s="979"/>
    </row>
    <row r="46" spans="1:19" x14ac:dyDescent="0.2">
      <c r="A46" s="978" t="str">
        <f>IF('6 EA 10 Data Sheet'!A78=0,"",'6 EA 10 Data Sheet'!A78)</f>
        <v/>
      </c>
      <c r="B46" s="979"/>
      <c r="C46" s="979"/>
      <c r="D46" s="979"/>
      <c r="E46" s="979"/>
      <c r="F46" s="979"/>
      <c r="G46" s="980" t="str">
        <f>IF('6 EA 10 Data Sheet'!H78=0,"",'6 EA 10 Data Sheet'!H78)</f>
        <v/>
      </c>
      <c r="H46" s="981"/>
      <c r="I46" s="980" t="str">
        <f>IF('6 EA 10 Data Sheet'!K78=0,"",'6 EA 10 Data Sheet'!K78)</f>
        <v/>
      </c>
      <c r="J46" s="979"/>
    </row>
    <row r="47" spans="1:19" x14ac:dyDescent="0.2">
      <c r="A47" s="978" t="str">
        <f>IF('6 EA 10 Data Sheet'!A80=0,"",'6 EA 10 Data Sheet'!A80)</f>
        <v/>
      </c>
      <c r="B47" s="979"/>
      <c r="C47" s="979"/>
      <c r="D47" s="979"/>
      <c r="E47" s="979"/>
      <c r="F47" s="979"/>
      <c r="G47" s="980" t="str">
        <f>IF('6 EA 10 Data Sheet'!H80=0,"",'6 EA 10 Data Sheet'!H80)</f>
        <v/>
      </c>
      <c r="H47" s="981"/>
      <c r="I47" s="980" t="str">
        <f>IF('6 EA 10 Data Sheet'!K80=0,"",'6 EA 10 Data Sheet'!K80)</f>
        <v/>
      </c>
      <c r="J47" s="979"/>
    </row>
  </sheetData>
  <sheetProtection password="BBC7" sheet="1" objects="1" scenarios="1" selectLockedCells="1" selectUnlockedCells="1"/>
  <mergeCells count="22">
    <mergeCell ref="A7:F7"/>
    <mergeCell ref="D8:E8"/>
    <mergeCell ref="F8:G8"/>
    <mergeCell ref="H8:I8"/>
    <mergeCell ref="A11:F11"/>
    <mergeCell ref="G11:I40"/>
    <mergeCell ref="A19:F19"/>
    <mergeCell ref="A41:I41"/>
    <mergeCell ref="A43:F43"/>
    <mergeCell ref="G43:H43"/>
    <mergeCell ref="A44:F44"/>
    <mergeCell ref="G44:H44"/>
    <mergeCell ref="I44:J44"/>
    <mergeCell ref="A47:F47"/>
    <mergeCell ref="G47:H47"/>
    <mergeCell ref="I47:J47"/>
    <mergeCell ref="A45:F45"/>
    <mergeCell ref="G45:H45"/>
    <mergeCell ref="I45:J45"/>
    <mergeCell ref="A46:F46"/>
    <mergeCell ref="G46:H46"/>
    <mergeCell ref="I46:J46"/>
  </mergeCells>
  <conditionalFormatting sqref="B9">
    <cfRule type="containsText" dxfId="26" priority="1" operator="containsText" text="RED">
      <formula>NOT(ISERROR(SEARCH("RED",B9)))</formula>
    </cfRule>
    <cfRule type="containsText" dxfId="25" priority="2" operator="containsText" text="AMBER">
      <formula>NOT(ISERROR(SEARCH("AMBER",B9)))</formula>
    </cfRule>
    <cfRule type="containsText" dxfId="24" priority="3" operator="containsText" text="GREEN">
      <formula>NOT(ISERROR(SEARCH("GREEN",B9)))</formula>
    </cfRule>
  </conditionalFormatting>
  <dataValidations count="1">
    <dataValidation allowBlank="1" showInputMessage="1" showErrorMessage="1" prompt="Quarterly target only" sqref="F14:F17"/>
  </dataValidations>
  <printOptions horizontalCentered="1" verticalCentered="1"/>
  <pageMargins left="0.11811023622047245" right="0.11811023622047245" top="0" bottom="0" header="0.31496062992125984" footer="0.11811023622047245"/>
  <pageSetup paperSize="9" scale="85" orientation="portrait" verticalDpi="1200"/>
  <headerFooter>
    <oddFooter>&amp;R&amp;"Calibri,Regular"&amp;10Page 11</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3"/>
  <sheetViews>
    <sheetView showGridLines="0" zoomScaleNormal="100" zoomScaleSheetLayoutView="112" workbookViewId="0">
      <selection activeCell="G12" sqref="G12:I47"/>
    </sheetView>
  </sheetViews>
  <sheetFormatPr defaultRowHeight="15" x14ac:dyDescent="0.2"/>
  <cols>
    <col min="1" max="1" width="10" customWidth="1"/>
    <col min="2" max="2" width="10.77734375" customWidth="1"/>
    <col min="9" max="9" width="11.5546875" customWidth="1"/>
  </cols>
  <sheetData>
    <row r="1" spans="1:10" x14ac:dyDescent="0.2">
      <c r="A1" s="676"/>
      <c r="B1" s="676"/>
      <c r="C1" s="676"/>
      <c r="D1" s="676"/>
      <c r="E1" s="676"/>
      <c r="F1" s="676"/>
      <c r="G1" s="676"/>
      <c r="H1" s="676"/>
      <c r="I1" s="676"/>
    </row>
    <row r="2" spans="1:10" x14ac:dyDescent="0.2">
      <c r="A2" s="676"/>
      <c r="B2" s="676"/>
      <c r="C2" s="676"/>
      <c r="D2" s="676"/>
      <c r="E2" s="676"/>
      <c r="F2" s="676"/>
      <c r="G2" s="676"/>
      <c r="H2" s="676"/>
      <c r="I2" s="676"/>
    </row>
    <row r="3" spans="1:10" x14ac:dyDescent="0.2">
      <c r="A3" s="676"/>
      <c r="B3" s="676"/>
      <c r="C3" s="676"/>
      <c r="D3" s="676"/>
      <c r="E3" s="676"/>
      <c r="F3" s="676"/>
      <c r="G3" s="676"/>
      <c r="H3" s="676"/>
      <c r="I3" s="676"/>
    </row>
    <row r="4" spans="1:10" ht="9.75" customHeight="1" x14ac:dyDescent="0.2">
      <c r="A4" s="676"/>
      <c r="B4" s="676"/>
      <c r="C4" s="676"/>
      <c r="D4" s="676"/>
      <c r="E4" s="676"/>
      <c r="F4" s="676"/>
      <c r="G4" s="676"/>
      <c r="H4" s="676"/>
      <c r="I4" s="676"/>
    </row>
    <row r="5" spans="1:10" x14ac:dyDescent="0.2">
      <c r="A5" s="676"/>
      <c r="B5" s="676"/>
      <c r="C5" s="676"/>
      <c r="D5" s="676"/>
      <c r="E5" s="676"/>
      <c r="F5" s="676"/>
      <c r="G5" s="676"/>
      <c r="H5" s="676"/>
      <c r="I5" s="676"/>
    </row>
    <row r="6" spans="1:10" ht="6" customHeight="1" x14ac:dyDescent="0.2">
      <c r="A6" s="676"/>
      <c r="B6" s="676"/>
      <c r="C6" s="676"/>
      <c r="D6" s="676"/>
      <c r="E6" s="676"/>
      <c r="F6" s="676"/>
      <c r="G6" s="676"/>
      <c r="H6" s="676"/>
      <c r="I6" s="676"/>
    </row>
    <row r="7" spans="1:10" ht="33.75" customHeight="1" thickBot="1" x14ac:dyDescent="0.35">
      <c r="A7" s="1001" t="s">
        <v>553</v>
      </c>
      <c r="B7" s="1001"/>
      <c r="C7" s="536" t="s">
        <v>416</v>
      </c>
      <c r="D7" s="536" t="s">
        <v>73</v>
      </c>
      <c r="E7" s="536" t="s">
        <v>74</v>
      </c>
      <c r="F7" s="1003" t="s">
        <v>122</v>
      </c>
      <c r="G7" s="1003"/>
      <c r="H7" s="1004" t="s">
        <v>33</v>
      </c>
      <c r="I7" s="1004"/>
    </row>
    <row r="8" spans="1:10" ht="28.5" customHeight="1" thickBot="1" x14ac:dyDescent="0.25">
      <c r="A8" s="1002"/>
      <c r="B8" s="1002"/>
      <c r="C8" s="677" t="str">
        <f>'7 EA 11 Data Sheet - Bame'!B16</f>
        <v>Red</v>
      </c>
      <c r="D8" s="678">
        <f>'7 EA 11 Data Sheet - Bame'!B14</f>
        <v>3.8399999999999997E-2</v>
      </c>
      <c r="E8" s="678">
        <f>'7 EA 11 Data Sheet - Bame'!B15</f>
        <v>0.14000000000000001</v>
      </c>
      <c r="F8" s="679" t="str">
        <f>'7 EA 11 Data Sheet - Bame'!B18</f>
        <v>Red</v>
      </c>
      <c r="G8" s="680"/>
      <c r="H8" s="1005">
        <v>0.14000000000000001</v>
      </c>
      <c r="I8" s="1005"/>
    </row>
    <row r="9" spans="1:10" ht="21.75" customHeight="1" thickBot="1" x14ac:dyDescent="0.35">
      <c r="A9" s="1006" t="s">
        <v>554</v>
      </c>
      <c r="B9" s="1006"/>
      <c r="C9" s="536" t="s">
        <v>416</v>
      </c>
      <c r="D9" s="681" t="s">
        <v>73</v>
      </c>
      <c r="E9" s="681" t="s">
        <v>74</v>
      </c>
      <c r="F9" s="1003" t="s">
        <v>122</v>
      </c>
      <c r="G9" s="1008"/>
      <c r="H9" s="1004" t="s">
        <v>33</v>
      </c>
      <c r="I9" s="1004"/>
    </row>
    <row r="10" spans="1:10" ht="28.5" customHeight="1" thickBot="1" x14ac:dyDescent="0.25">
      <c r="A10" s="1007"/>
      <c r="B10" s="1007"/>
      <c r="C10" s="682" t="str">
        <f>'7 EA 11 Data Sheet Female Execs'!B16</f>
        <v>Red</v>
      </c>
      <c r="D10" s="683">
        <f>'7 EA 11 Data Sheet Female Execs'!B14</f>
        <v>0.3523</v>
      </c>
      <c r="E10" s="683">
        <f>'7 EA 11 Data Sheet Female Execs'!B15</f>
        <v>0.5</v>
      </c>
      <c r="F10" s="682" t="str">
        <f>'7 EA 11 Data Sheet Female Execs'!B18</f>
        <v>Red</v>
      </c>
      <c r="G10" s="684"/>
      <c r="H10" s="1009">
        <v>0.5</v>
      </c>
      <c r="I10" s="1009"/>
    </row>
    <row r="11" spans="1:10" ht="6.75" customHeight="1" x14ac:dyDescent="0.25">
      <c r="A11" s="685"/>
      <c r="B11" s="685"/>
      <c r="C11" s="150"/>
      <c r="D11" s="150"/>
      <c r="E11" s="150"/>
      <c r="F11" s="150"/>
      <c r="G11" s="150"/>
      <c r="H11" s="150"/>
      <c r="I11" s="149"/>
      <c r="J11" s="686"/>
    </row>
    <row r="12" spans="1:10" ht="15.75" customHeight="1" x14ac:dyDescent="0.2">
      <c r="A12" s="996" t="s">
        <v>555</v>
      </c>
      <c r="B12" s="997"/>
      <c r="C12" s="997"/>
      <c r="D12" s="997"/>
      <c r="E12" s="997"/>
      <c r="F12" s="997"/>
      <c r="G12" s="855" t="s">
        <v>556</v>
      </c>
      <c r="H12" s="891"/>
      <c r="I12" s="891"/>
    </row>
    <row r="13" spans="1:10" ht="15.75" x14ac:dyDescent="0.2">
      <c r="D13" s="151"/>
      <c r="E13" s="152"/>
      <c r="F13" s="152"/>
      <c r="G13" s="892"/>
      <c r="H13" s="891"/>
      <c r="I13" s="891"/>
    </row>
    <row r="14" spans="1:10" x14ac:dyDescent="0.2">
      <c r="D14" s="151"/>
      <c r="E14" s="153"/>
      <c r="F14" s="153"/>
      <c r="G14" s="892"/>
      <c r="H14" s="891"/>
      <c r="I14" s="891"/>
    </row>
    <row r="15" spans="1:10" x14ac:dyDescent="0.2">
      <c r="D15" s="151"/>
      <c r="E15" s="153"/>
      <c r="F15" s="153"/>
      <c r="G15" s="892"/>
      <c r="H15" s="891"/>
      <c r="I15" s="891"/>
    </row>
    <row r="16" spans="1:10" x14ac:dyDescent="0.2">
      <c r="D16" s="151"/>
      <c r="E16" s="153"/>
      <c r="F16" s="153"/>
      <c r="G16" s="892"/>
      <c r="H16" s="891"/>
      <c r="I16" s="891"/>
    </row>
    <row r="17" spans="1:9" x14ac:dyDescent="0.2">
      <c r="D17" s="151"/>
      <c r="E17" s="153"/>
      <c r="F17" s="153"/>
      <c r="G17" s="892"/>
      <c r="H17" s="891"/>
      <c r="I17" s="891"/>
    </row>
    <row r="18" spans="1:9" x14ac:dyDescent="0.2">
      <c r="D18" s="151"/>
      <c r="E18" s="153"/>
      <c r="F18" s="153"/>
      <c r="G18" s="892"/>
      <c r="H18" s="891"/>
      <c r="I18" s="891"/>
    </row>
    <row r="19" spans="1:9" x14ac:dyDescent="0.2">
      <c r="D19" s="151"/>
      <c r="E19" s="153"/>
      <c r="F19" s="153"/>
      <c r="G19" s="892"/>
      <c r="H19" s="891"/>
      <c r="I19" s="891"/>
    </row>
    <row r="20" spans="1:9" x14ac:dyDescent="0.2">
      <c r="D20" s="151"/>
      <c r="E20" s="153"/>
      <c r="F20" s="153"/>
      <c r="G20" s="892"/>
      <c r="H20" s="891"/>
      <c r="I20" s="891"/>
    </row>
    <row r="21" spans="1:9" x14ac:dyDescent="0.2">
      <c r="D21" s="151"/>
      <c r="E21" s="153"/>
      <c r="F21" s="153"/>
      <c r="G21" s="892"/>
      <c r="H21" s="891"/>
      <c r="I21" s="891"/>
    </row>
    <row r="22" spans="1:9" x14ac:dyDescent="0.2">
      <c r="D22" s="151"/>
      <c r="E22" s="153"/>
      <c r="F22" s="153"/>
      <c r="G22" s="892"/>
      <c r="H22" s="891"/>
      <c r="I22" s="891"/>
    </row>
    <row r="23" spans="1:9" x14ac:dyDescent="0.2">
      <c r="D23" s="151"/>
      <c r="E23" s="153"/>
      <c r="F23" s="153"/>
      <c r="G23" s="892"/>
      <c r="H23" s="891"/>
      <c r="I23" s="891"/>
    </row>
    <row r="24" spans="1:9" x14ac:dyDescent="0.2">
      <c r="D24" s="151"/>
      <c r="E24" s="153"/>
      <c r="F24" s="153"/>
      <c r="G24" s="892"/>
      <c r="H24" s="891"/>
      <c r="I24" s="891"/>
    </row>
    <row r="25" spans="1:9" x14ac:dyDescent="0.2">
      <c r="D25" s="151"/>
      <c r="E25" s="153"/>
      <c r="F25" s="153"/>
      <c r="G25" s="892"/>
      <c r="H25" s="891"/>
      <c r="I25" s="891"/>
    </row>
    <row r="26" spans="1:9" x14ac:dyDescent="0.2">
      <c r="D26" s="151"/>
      <c r="E26" s="153"/>
      <c r="F26" s="153"/>
      <c r="G26" s="892"/>
      <c r="H26" s="891"/>
      <c r="I26" s="891"/>
    </row>
    <row r="27" spans="1:9" x14ac:dyDescent="0.2">
      <c r="D27" s="151"/>
      <c r="E27" s="153"/>
      <c r="F27" s="153"/>
      <c r="G27" s="892"/>
      <c r="H27" s="891"/>
      <c r="I27" s="891"/>
    </row>
    <row r="28" spans="1:9" x14ac:dyDescent="0.2">
      <c r="D28" s="151"/>
      <c r="E28" s="153"/>
      <c r="F28" s="153"/>
      <c r="G28" s="892"/>
      <c r="H28" s="891"/>
      <c r="I28" s="891"/>
    </row>
    <row r="29" spans="1:9" ht="15.75" x14ac:dyDescent="0.2">
      <c r="A29" s="996" t="s">
        <v>557</v>
      </c>
      <c r="B29" s="997"/>
      <c r="C29" s="997"/>
      <c r="D29" s="997"/>
      <c r="E29" s="997"/>
      <c r="F29" s="997"/>
      <c r="G29" s="892"/>
      <c r="H29" s="891"/>
      <c r="I29" s="891"/>
    </row>
    <row r="30" spans="1:9" x14ac:dyDescent="0.2">
      <c r="D30" s="151"/>
      <c r="G30" s="892"/>
      <c r="H30" s="891"/>
      <c r="I30" s="891"/>
    </row>
    <row r="31" spans="1:9" ht="15.75" x14ac:dyDescent="0.2">
      <c r="D31" s="151"/>
      <c r="E31" s="152"/>
      <c r="F31" s="152"/>
      <c r="G31" s="892"/>
      <c r="H31" s="891"/>
      <c r="I31" s="891"/>
    </row>
    <row r="32" spans="1:9" x14ac:dyDescent="0.2">
      <c r="D32" s="151"/>
      <c r="E32" s="153"/>
      <c r="F32" s="153"/>
      <c r="G32" s="892"/>
      <c r="H32" s="891"/>
      <c r="I32" s="891"/>
    </row>
    <row r="33" spans="1:9" x14ac:dyDescent="0.2">
      <c r="D33" s="151"/>
      <c r="E33" s="153"/>
      <c r="F33" s="153"/>
      <c r="G33" s="892"/>
      <c r="H33" s="891"/>
      <c r="I33" s="891"/>
    </row>
    <row r="34" spans="1:9" x14ac:dyDescent="0.2">
      <c r="D34" s="151"/>
      <c r="E34" s="153"/>
      <c r="F34" s="153"/>
      <c r="G34" s="892"/>
      <c r="H34" s="891"/>
      <c r="I34" s="891"/>
    </row>
    <row r="35" spans="1:9" x14ac:dyDescent="0.2">
      <c r="D35" s="151"/>
      <c r="E35" s="153"/>
      <c r="F35" s="153"/>
      <c r="G35" s="892"/>
      <c r="H35" s="891"/>
      <c r="I35" s="891"/>
    </row>
    <row r="36" spans="1:9" x14ac:dyDescent="0.2">
      <c r="D36" s="151"/>
      <c r="E36" s="153"/>
      <c r="F36" s="153"/>
      <c r="G36" s="892"/>
      <c r="H36" s="891"/>
      <c r="I36" s="891"/>
    </row>
    <row r="37" spans="1:9" x14ac:dyDescent="0.2">
      <c r="D37" s="151"/>
      <c r="E37" s="153"/>
      <c r="F37" s="153"/>
      <c r="G37" s="892"/>
      <c r="H37" s="891"/>
      <c r="I37" s="891"/>
    </row>
    <row r="38" spans="1:9" x14ac:dyDescent="0.2">
      <c r="D38" s="151"/>
      <c r="E38" s="153"/>
      <c r="F38" s="153"/>
      <c r="G38" s="892"/>
      <c r="H38" s="891"/>
      <c r="I38" s="891"/>
    </row>
    <row r="39" spans="1:9" x14ac:dyDescent="0.2">
      <c r="D39" s="151"/>
      <c r="E39" s="153"/>
      <c r="F39" s="153"/>
      <c r="G39" s="892"/>
      <c r="H39" s="891"/>
      <c r="I39" s="891"/>
    </row>
    <row r="40" spans="1:9" x14ac:dyDescent="0.2">
      <c r="D40" s="151"/>
      <c r="E40" s="153"/>
      <c r="F40" s="153"/>
      <c r="G40" s="892"/>
      <c r="H40" s="891"/>
      <c r="I40" s="891"/>
    </row>
    <row r="41" spans="1:9" x14ac:dyDescent="0.2">
      <c r="D41" s="151"/>
      <c r="E41" s="153"/>
      <c r="F41" s="153"/>
      <c r="G41" s="892"/>
      <c r="H41" s="891"/>
      <c r="I41" s="891"/>
    </row>
    <row r="42" spans="1:9" x14ac:dyDescent="0.2">
      <c r="D42" s="151"/>
      <c r="E42" s="153"/>
      <c r="F42" s="153"/>
      <c r="G42" s="892"/>
      <c r="H42" s="891"/>
      <c r="I42" s="891"/>
    </row>
    <row r="43" spans="1:9" x14ac:dyDescent="0.2">
      <c r="D43" s="151"/>
      <c r="E43" s="153"/>
      <c r="F43" s="153"/>
      <c r="G43" s="892"/>
      <c r="H43" s="891"/>
      <c r="I43" s="891"/>
    </row>
    <row r="44" spans="1:9" x14ac:dyDescent="0.2">
      <c r="D44" s="151"/>
      <c r="E44" s="153"/>
      <c r="F44" s="153"/>
      <c r="G44" s="892"/>
      <c r="H44" s="891"/>
      <c r="I44" s="891"/>
    </row>
    <row r="45" spans="1:9" x14ac:dyDescent="0.2">
      <c r="D45" s="151"/>
      <c r="E45" s="153"/>
      <c r="F45" s="153"/>
      <c r="G45" s="892"/>
      <c r="H45" s="891"/>
      <c r="I45" s="891"/>
    </row>
    <row r="46" spans="1:9" x14ac:dyDescent="0.2">
      <c r="D46" s="151"/>
      <c r="E46" s="153"/>
      <c r="F46" s="153"/>
      <c r="G46" s="892"/>
      <c r="H46" s="891"/>
      <c r="I46" s="891"/>
    </row>
    <row r="47" spans="1:9" ht="98.45" customHeight="1" x14ac:dyDescent="0.2">
      <c r="D47" s="151"/>
      <c r="E47" s="153"/>
      <c r="F47" s="153"/>
      <c r="G47" s="970"/>
      <c r="H47" s="971"/>
      <c r="I47" s="971"/>
    </row>
    <row r="48" spans="1:9" ht="15.75" x14ac:dyDescent="0.2">
      <c r="A48" s="998" t="s">
        <v>56</v>
      </c>
      <c r="B48" s="998"/>
      <c r="C48" s="998"/>
      <c r="D48" s="998"/>
      <c r="E48" s="998"/>
      <c r="F48" s="998"/>
      <c r="G48" s="998"/>
      <c r="H48" s="998"/>
      <c r="I48" s="998"/>
    </row>
    <row r="49" spans="1:10" ht="15.75" x14ac:dyDescent="0.25">
      <c r="A49" s="687" t="s">
        <v>57</v>
      </c>
      <c r="B49" s="687"/>
      <c r="C49" s="687"/>
      <c r="D49" s="687"/>
      <c r="E49" s="687"/>
      <c r="F49" s="688"/>
      <c r="G49" s="687" t="s">
        <v>58</v>
      </c>
      <c r="H49" s="687"/>
      <c r="I49" s="689" t="s">
        <v>59</v>
      </c>
    </row>
    <row r="50" spans="1:10" ht="15.75" x14ac:dyDescent="0.25">
      <c r="A50" s="783" t="str">
        <f>IF('7 EA 11 Data Sheet Female Execs'!A59=0,"",'7 EA 11 Data Sheet Female Execs'!A59)</f>
        <v>Unconscious bias training for interviews</v>
      </c>
      <c r="B50" s="993"/>
      <c r="C50" s="993"/>
      <c r="D50" s="993"/>
      <c r="E50" s="993"/>
      <c r="F50" s="993"/>
      <c r="G50" s="999" t="str">
        <f>IF('7 EA 11 Data Sheet Female Execs'!F59=0,"",'7 EA 11 Data Sheet Female Execs'!F59)</f>
        <v>Exec. Director FCRM</v>
      </c>
      <c r="H50" s="1000"/>
      <c r="I50" s="690" t="str">
        <f>IF('7 EA 11 Data Sheet Female Execs'!I59=0,"",'7 EA 11 Data Sheet Female Execs'!I59)</f>
        <v xml:space="preserve">Ongoing </v>
      </c>
    </row>
    <row r="51" spans="1:10" ht="15.75" x14ac:dyDescent="0.25">
      <c r="A51" s="783" t="str">
        <f>IF('7 EA 11 Data Sheet Female Execs'!A61=0,"",'7 EA 11 Data Sheet Female Execs'!A61)</f>
        <v>Development programmes and coaching for BAME staff</v>
      </c>
      <c r="B51" s="993"/>
      <c r="C51" s="993"/>
      <c r="D51" s="993"/>
      <c r="E51" s="993"/>
      <c r="F51" s="993"/>
      <c r="G51" s="994" t="str">
        <f>IF('7 EA 11 Data Sheet Female Execs'!F61=0,"",'7 EA 11 Data Sheet Female Execs'!F61)</f>
        <v/>
      </c>
      <c r="H51" s="995"/>
      <c r="I51" s="691" t="str">
        <f>IF('7 EA 11 Data Sheet Female Execs'!I61=0,"",'7 EA 11 Data Sheet Female Execs'!I61)</f>
        <v>Ongoing</v>
      </c>
      <c r="J51" s="153"/>
    </row>
    <row r="52" spans="1:10" ht="15.75" x14ac:dyDescent="0.25">
      <c r="A52" s="783" t="str">
        <f>IF('7 EA 11 Data Sheet Female Execs'!A63=0,"",'7 EA 11 Data Sheet Female Execs'!A63)</f>
        <v>Development programmes and coaching for female staff</v>
      </c>
      <c r="B52" s="993"/>
      <c r="C52" s="993"/>
      <c r="D52" s="993"/>
      <c r="E52" s="993"/>
      <c r="F52" s="993"/>
      <c r="G52" s="994" t="str">
        <f>IF('7 EA 11 Data Sheet Female Execs'!F63=0,"",'7 EA 11 Data Sheet Female Execs'!F63)</f>
        <v/>
      </c>
      <c r="H52" s="995"/>
      <c r="I52" s="691" t="str">
        <f>IF('7 EA 11 Data Sheet Female Execs'!I63=0,"",'7 EA 11 Data Sheet Female Execs'!I63)</f>
        <v>Ongoing</v>
      </c>
    </row>
    <row r="53" spans="1:10" ht="15.75" x14ac:dyDescent="0.25">
      <c r="A53" s="783" t="str">
        <f>IF('7 EA 11 Data Sheet Female Execs'!A65=0,"",'7 EA 11 Data Sheet Female Execs'!A65)</f>
        <v>Active support for Brunel and associated engagement initiatives</v>
      </c>
      <c r="B53" s="993"/>
      <c r="C53" s="993"/>
      <c r="D53" s="993"/>
      <c r="E53" s="993"/>
      <c r="F53" s="993"/>
      <c r="G53" s="994" t="str">
        <f>IF('7 EA 11 Data Sheet Female Execs'!F65=0,"",'7 EA 11 Data Sheet Female Execs'!F65)</f>
        <v/>
      </c>
      <c r="H53" s="995"/>
      <c r="I53" s="691" t="str">
        <f>IF('7 EA 11 Data Sheet Female Execs'!I65=0,"",'7 EA 11 Data Sheet Female Execs'!I65)</f>
        <v>Ongoing</v>
      </c>
    </row>
  </sheetData>
  <sheetProtection password="BBC7" sheet="1" objects="1" scenarios="1" selectLockedCells="1" selectUnlockedCells="1"/>
  <mergeCells count="20">
    <mergeCell ref="A7:B8"/>
    <mergeCell ref="F7:G7"/>
    <mergeCell ref="H7:I7"/>
    <mergeCell ref="H8:I8"/>
    <mergeCell ref="A9:B10"/>
    <mergeCell ref="F9:G9"/>
    <mergeCell ref="H9:I9"/>
    <mergeCell ref="H10:I10"/>
    <mergeCell ref="A12:F12"/>
    <mergeCell ref="G12:I47"/>
    <mergeCell ref="A29:F29"/>
    <mergeCell ref="A48:I48"/>
    <mergeCell ref="A50:F50"/>
    <mergeCell ref="G50:H50"/>
    <mergeCell ref="A51:F51"/>
    <mergeCell ref="G51:H51"/>
    <mergeCell ref="A52:F52"/>
    <mergeCell ref="G52:H52"/>
    <mergeCell ref="A53:F53"/>
    <mergeCell ref="G53:H53"/>
  </mergeCells>
  <printOptions horizontalCentered="1" verticalCentered="1"/>
  <pageMargins left="0.23622047244094491" right="0.23622047244094491" top="0.27559055118110237" bottom="0.27559055118110237" header="0.19685039370078741" footer="0.23622047244094491"/>
  <pageSetup paperSize="9" scale="89" orientation="portrait"/>
  <headerFooter>
    <oddFooter>&amp;R&amp;"-,Regular"&amp;10Page 12</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44"/>
  <sheetViews>
    <sheetView showGridLines="0" tabSelected="1" showWhiteSpace="0" zoomScaleNormal="100" zoomScaleSheetLayoutView="100" zoomScalePageLayoutView="145" workbookViewId="0">
      <selection activeCell="G10" sqref="G10:I41"/>
    </sheetView>
  </sheetViews>
  <sheetFormatPr defaultRowHeight="15" x14ac:dyDescent="0.2"/>
  <sheetData>
    <row r="1" spans="1:9" x14ac:dyDescent="0.2">
      <c r="A1" s="676"/>
      <c r="B1" s="676"/>
      <c r="C1" s="676"/>
      <c r="D1" s="676"/>
      <c r="E1" s="676"/>
      <c r="F1" s="676"/>
      <c r="G1" s="676"/>
      <c r="H1" s="676"/>
      <c r="I1" s="676"/>
    </row>
    <row r="2" spans="1:9" x14ac:dyDescent="0.2">
      <c r="A2" s="676"/>
      <c r="B2" s="676"/>
      <c r="C2" s="676"/>
      <c r="D2" s="676"/>
      <c r="E2" s="676"/>
      <c r="F2" s="676"/>
      <c r="G2" s="676"/>
      <c r="H2" s="676"/>
      <c r="I2" s="676"/>
    </row>
    <row r="3" spans="1:9" x14ac:dyDescent="0.2">
      <c r="A3" s="676"/>
      <c r="B3" s="676"/>
      <c r="C3" s="676"/>
      <c r="D3" s="676"/>
      <c r="E3" s="676"/>
      <c r="F3" s="676"/>
      <c r="G3" s="676"/>
      <c r="H3" s="676"/>
      <c r="I3" s="676"/>
    </row>
    <row r="4" spans="1:9" x14ac:dyDescent="0.2">
      <c r="A4" s="676"/>
      <c r="B4" s="676"/>
      <c r="C4" s="676"/>
      <c r="D4" s="676"/>
      <c r="E4" s="676"/>
      <c r="F4" s="676"/>
      <c r="G4" s="676"/>
      <c r="H4" s="676"/>
      <c r="I4" s="676"/>
    </row>
    <row r="5" spans="1:9" x14ac:dyDescent="0.2">
      <c r="A5" s="676"/>
      <c r="B5" s="676"/>
      <c r="C5" s="676"/>
      <c r="D5" s="676"/>
      <c r="E5" s="676"/>
      <c r="F5" s="676"/>
      <c r="G5" s="676"/>
      <c r="H5" s="676"/>
      <c r="I5" s="676"/>
    </row>
    <row r="6" spans="1:9" x14ac:dyDescent="0.2">
      <c r="A6" s="676"/>
      <c r="B6" s="676"/>
      <c r="C6" s="676"/>
      <c r="D6" s="676"/>
      <c r="E6" s="676"/>
      <c r="F6" s="676"/>
      <c r="G6" s="676"/>
      <c r="H6" s="676"/>
      <c r="I6" s="676"/>
    </row>
    <row r="7" spans="1:9" ht="19.5" thickBot="1" x14ac:dyDescent="0.35">
      <c r="A7" s="368" t="s">
        <v>416</v>
      </c>
      <c r="B7" s="368" t="s">
        <v>73</v>
      </c>
      <c r="C7" s="368"/>
      <c r="D7" s="368" t="s">
        <v>580</v>
      </c>
      <c r="E7" s="368"/>
      <c r="F7" s="368" t="s">
        <v>122</v>
      </c>
      <c r="G7" s="368"/>
      <c r="H7" s="944" t="s">
        <v>33</v>
      </c>
      <c r="I7" s="944"/>
    </row>
    <row r="8" spans="1:9" ht="19.5" thickBot="1" x14ac:dyDescent="0.25">
      <c r="A8" s="718" t="str">
        <f>'7 EA 12 Data Sheet'!B16</f>
        <v>Red</v>
      </c>
      <c r="B8" s="719">
        <f>'7 EA 12 Data Sheet'!B14</f>
        <v>0.14000000000000001</v>
      </c>
      <c r="C8" s="719"/>
      <c r="D8" s="719">
        <f>'7 EA 12 Data Sheet'!B15</f>
        <v>0.11</v>
      </c>
      <c r="E8" s="145"/>
      <c r="F8" s="144" t="str">
        <f>'7 EA 12 Data Sheet'!B18</f>
        <v>Green</v>
      </c>
      <c r="G8" s="368"/>
      <c r="H8" s="1014">
        <v>0.11</v>
      </c>
      <c r="I8" s="1014"/>
    </row>
    <row r="9" spans="1:9" ht="5.45" customHeight="1" x14ac:dyDescent="0.25">
      <c r="A9" s="149"/>
      <c r="B9" s="150"/>
      <c r="C9" s="150"/>
      <c r="D9" s="150"/>
      <c r="E9" s="150"/>
      <c r="F9" s="150"/>
      <c r="G9" s="150"/>
      <c r="H9" s="150"/>
      <c r="I9" s="149"/>
    </row>
    <row r="10" spans="1:9" ht="15.75" x14ac:dyDescent="0.2">
      <c r="A10" s="996" t="s">
        <v>581</v>
      </c>
      <c r="B10" s="997"/>
      <c r="C10" s="997"/>
      <c r="D10" s="997"/>
      <c r="E10" s="997"/>
      <c r="F10" s="997"/>
      <c r="G10" s="855" t="str">
        <f>'7 EA 12 Data Sheet'!A121</f>
        <v xml:space="preserve">Our Lost Time Incident Frequency Rate (LTIFR) has remained close to historically low levels and, compared with similar organisations, this is class leading. Nonetheless, our ceiling of 0.11 is particularly low as it is based on our position at the end quarter 4 2016/17, when we had gone several months with very low numbers of LTIs. It therefore only requires a relatively small increase in injuries for this ceiling to be exceeded. It is to be expected that we will continue to move just above and below this ceiling for the foreseeable future, although this should not be viewed as complacency. We continue to improve our processes for learning from LTIs and Safety Critical Incidents (SCIs) and to refresh key aspects of our HSW risk management instructions, training and communications.  We have provided a new, compulsory  ‘Managing Health, Safety and Wellbeing’ course for all line managers. In the same period, if we had used the same definition of an LTI as the water companies used, we would have had a LTI frequency rate of 0.04. Our headcount has reduced by approximately 1,000 due to the movement of Corporate Services colleagues to Defra. This group historically reported few LTIs, and so the change will not influence the frequency rate. </v>
      </c>
      <c r="H10" s="856"/>
      <c r="I10" s="856"/>
    </row>
    <row r="11" spans="1:9" ht="15.75" x14ac:dyDescent="0.2">
      <c r="D11" s="151"/>
      <c r="E11" s="152"/>
      <c r="F11" s="152"/>
      <c r="G11" s="857"/>
      <c r="H11" s="856"/>
      <c r="I11" s="856"/>
    </row>
    <row r="12" spans="1:9" x14ac:dyDescent="0.2">
      <c r="D12" s="151"/>
      <c r="E12" s="153"/>
      <c r="F12" s="153"/>
      <c r="G12" s="857"/>
      <c r="H12" s="856"/>
      <c r="I12" s="856"/>
    </row>
    <row r="13" spans="1:9" x14ac:dyDescent="0.2">
      <c r="D13" s="151"/>
      <c r="E13" s="153"/>
      <c r="F13" s="153"/>
      <c r="G13" s="857"/>
      <c r="H13" s="856"/>
      <c r="I13" s="856"/>
    </row>
    <row r="14" spans="1:9" x14ac:dyDescent="0.2">
      <c r="D14" s="151"/>
      <c r="E14" s="153"/>
      <c r="F14" s="153"/>
      <c r="G14" s="857"/>
      <c r="H14" s="856"/>
      <c r="I14" s="856"/>
    </row>
    <row r="15" spans="1:9" x14ac:dyDescent="0.2">
      <c r="D15" s="151"/>
      <c r="E15" s="153"/>
      <c r="F15" s="153"/>
      <c r="G15" s="857"/>
      <c r="H15" s="856"/>
      <c r="I15" s="856"/>
    </row>
    <row r="16" spans="1:9" x14ac:dyDescent="0.2">
      <c r="D16" s="151"/>
      <c r="E16" s="153"/>
      <c r="F16" s="153"/>
      <c r="G16" s="857"/>
      <c r="H16" s="856"/>
      <c r="I16" s="856"/>
    </row>
    <row r="17" spans="1:9" x14ac:dyDescent="0.2">
      <c r="D17" s="151"/>
      <c r="E17" s="153"/>
      <c r="F17" s="153"/>
      <c r="G17" s="857"/>
      <c r="H17" s="856"/>
      <c r="I17" s="856"/>
    </row>
    <row r="18" spans="1:9" x14ac:dyDescent="0.2">
      <c r="D18" s="151"/>
      <c r="E18" s="153"/>
      <c r="F18" s="153"/>
      <c r="G18" s="857"/>
      <c r="H18" s="856"/>
      <c r="I18" s="856"/>
    </row>
    <row r="19" spans="1:9" x14ac:dyDescent="0.2">
      <c r="D19" s="151"/>
      <c r="E19" s="153"/>
      <c r="F19" s="153"/>
      <c r="G19" s="857"/>
      <c r="H19" s="856"/>
      <c r="I19" s="856"/>
    </row>
    <row r="20" spans="1:9" x14ac:dyDescent="0.2">
      <c r="D20" s="151"/>
      <c r="E20" s="153"/>
      <c r="F20" s="153"/>
      <c r="G20" s="857"/>
      <c r="H20" s="856"/>
      <c r="I20" s="856"/>
    </row>
    <row r="21" spans="1:9" x14ac:dyDescent="0.2">
      <c r="D21" s="151"/>
      <c r="E21" s="153"/>
      <c r="F21" s="153"/>
      <c r="G21" s="857"/>
      <c r="H21" s="856"/>
      <c r="I21" s="856"/>
    </row>
    <row r="22" spans="1:9" x14ac:dyDescent="0.2">
      <c r="D22" s="151"/>
      <c r="E22" s="153"/>
      <c r="F22" s="153"/>
      <c r="G22" s="857"/>
      <c r="H22" s="856"/>
      <c r="I22" s="856"/>
    </row>
    <row r="23" spans="1:9" x14ac:dyDescent="0.2">
      <c r="D23" s="151"/>
      <c r="E23" s="153"/>
      <c r="F23" s="153"/>
      <c r="G23" s="857"/>
      <c r="H23" s="856"/>
      <c r="I23" s="856"/>
    </row>
    <row r="24" spans="1:9" x14ac:dyDescent="0.2">
      <c r="D24" s="151"/>
      <c r="E24" s="153"/>
      <c r="F24" s="153"/>
      <c r="G24" s="857"/>
      <c r="H24" s="856"/>
      <c r="I24" s="856"/>
    </row>
    <row r="25" spans="1:9" x14ac:dyDescent="0.2">
      <c r="D25" s="151"/>
      <c r="E25" s="153"/>
      <c r="F25" s="153"/>
      <c r="G25" s="857"/>
      <c r="H25" s="856"/>
      <c r="I25" s="856"/>
    </row>
    <row r="26" spans="1:9" ht="15.75" x14ac:dyDescent="0.2">
      <c r="A26" s="996" t="s">
        <v>582</v>
      </c>
      <c r="B26" s="997"/>
      <c r="C26" s="997"/>
      <c r="D26" s="997"/>
      <c r="E26" s="997"/>
      <c r="F26" s="997"/>
      <c r="G26" s="857"/>
      <c r="H26" s="856"/>
      <c r="I26" s="856"/>
    </row>
    <row r="27" spans="1:9" x14ac:dyDescent="0.2">
      <c r="D27" s="151"/>
      <c r="G27" s="857"/>
      <c r="H27" s="856"/>
      <c r="I27" s="856"/>
    </row>
    <row r="28" spans="1:9" ht="15.75" x14ac:dyDescent="0.2">
      <c r="D28" s="151"/>
      <c r="E28" s="152"/>
      <c r="F28" s="152"/>
      <c r="G28" s="857"/>
      <c r="H28" s="856"/>
      <c r="I28" s="856"/>
    </row>
    <row r="29" spans="1:9" x14ac:dyDescent="0.2">
      <c r="D29" s="151"/>
      <c r="E29" s="153"/>
      <c r="F29" s="153"/>
      <c r="G29" s="857"/>
      <c r="H29" s="856"/>
      <c r="I29" s="856"/>
    </row>
    <row r="30" spans="1:9" x14ac:dyDescent="0.2">
      <c r="D30" s="151"/>
      <c r="E30" s="153"/>
      <c r="F30" s="153"/>
      <c r="G30" s="857"/>
      <c r="H30" s="856"/>
      <c r="I30" s="856"/>
    </row>
    <row r="31" spans="1:9" x14ac:dyDescent="0.2">
      <c r="D31" s="151"/>
      <c r="E31" s="153"/>
      <c r="F31" s="153"/>
      <c r="G31" s="857"/>
      <c r="H31" s="856"/>
      <c r="I31" s="856"/>
    </row>
    <row r="32" spans="1:9" x14ac:dyDescent="0.2">
      <c r="D32" s="151"/>
      <c r="E32" s="153"/>
      <c r="F32" s="153"/>
      <c r="G32" s="857"/>
      <c r="H32" s="856"/>
      <c r="I32" s="856"/>
    </row>
    <row r="33" spans="1:9" x14ac:dyDescent="0.2">
      <c r="D33" s="151"/>
      <c r="E33" s="153"/>
      <c r="F33" s="153"/>
      <c r="G33" s="857"/>
      <c r="H33" s="856"/>
      <c r="I33" s="856"/>
    </row>
    <row r="34" spans="1:9" x14ac:dyDescent="0.2">
      <c r="D34" s="151"/>
      <c r="E34" s="153"/>
      <c r="F34" s="153"/>
      <c r="G34" s="857"/>
      <c r="H34" s="856"/>
      <c r="I34" s="856"/>
    </row>
    <row r="35" spans="1:9" x14ac:dyDescent="0.2">
      <c r="D35" s="151"/>
      <c r="E35" s="153"/>
      <c r="F35" s="153"/>
      <c r="G35" s="857"/>
      <c r="H35" s="856"/>
      <c r="I35" s="856"/>
    </row>
    <row r="36" spans="1:9" x14ac:dyDescent="0.2">
      <c r="D36" s="151"/>
      <c r="E36" s="153"/>
      <c r="F36" s="153"/>
      <c r="G36" s="857"/>
      <c r="H36" s="856"/>
      <c r="I36" s="856"/>
    </row>
    <row r="37" spans="1:9" x14ac:dyDescent="0.2">
      <c r="D37" s="151"/>
      <c r="E37" s="153"/>
      <c r="F37" s="153"/>
      <c r="G37" s="857"/>
      <c r="H37" s="856"/>
      <c r="I37" s="856"/>
    </row>
    <row r="38" spans="1:9" x14ac:dyDescent="0.2">
      <c r="D38" s="151"/>
      <c r="E38" s="153"/>
      <c r="F38" s="153"/>
      <c r="G38" s="857"/>
      <c r="H38" s="856"/>
      <c r="I38" s="856"/>
    </row>
    <row r="39" spans="1:9" x14ac:dyDescent="0.2">
      <c r="D39" s="151"/>
      <c r="E39" s="153"/>
      <c r="F39" s="153"/>
      <c r="G39" s="857"/>
      <c r="H39" s="856"/>
      <c r="I39" s="856"/>
    </row>
    <row r="40" spans="1:9" x14ac:dyDescent="0.2">
      <c r="D40" s="151"/>
      <c r="E40" s="153"/>
      <c r="F40" s="153"/>
      <c r="G40" s="857"/>
      <c r="H40" s="856"/>
      <c r="I40" s="856"/>
    </row>
    <row r="41" spans="1:9" ht="70.900000000000006" customHeight="1" x14ac:dyDescent="0.2">
      <c r="D41" s="151"/>
      <c r="E41" s="153"/>
      <c r="F41" s="153"/>
      <c r="G41" s="857"/>
      <c r="H41" s="856"/>
      <c r="I41" s="856"/>
    </row>
    <row r="42" spans="1:9" ht="15.75" x14ac:dyDescent="0.2">
      <c r="A42" s="1015" t="s">
        <v>56</v>
      </c>
      <c r="B42" s="1016"/>
      <c r="C42" s="1016"/>
      <c r="D42" s="1016"/>
      <c r="E42" s="1016"/>
      <c r="F42" s="1016"/>
      <c r="G42" s="1016"/>
      <c r="H42" s="1016"/>
      <c r="I42" s="1017"/>
    </row>
    <row r="43" spans="1:9" ht="15.75" x14ac:dyDescent="0.25">
      <c r="A43" s="720" t="s">
        <v>57</v>
      </c>
      <c r="B43" s="720"/>
      <c r="C43" s="720"/>
      <c r="D43" s="720"/>
      <c r="E43" s="720"/>
      <c r="F43" s="721"/>
      <c r="G43" s="720" t="s">
        <v>58</v>
      </c>
      <c r="H43" s="720"/>
      <c r="I43" s="722" t="s">
        <v>59</v>
      </c>
    </row>
    <row r="44" spans="1:9" ht="30.6" customHeight="1" x14ac:dyDescent="0.2">
      <c r="A44" s="1010" t="str">
        <f>'7 EA 12 Data Sheet'!A136:D136</f>
        <v>Implement the Health, Safety and Wellbeing  plan for 2017/18</v>
      </c>
      <c r="B44" s="1011"/>
      <c r="C44" s="1011"/>
      <c r="D44" s="1011"/>
      <c r="E44" s="1011"/>
      <c r="F44" s="1012"/>
      <c r="G44" s="1013" t="str">
        <f>IF('7 EA 12 Data Sheet'!F136=0,"",'7 EA 12 Data Sheet'!F136)</f>
        <v>Executive Director of Operations</v>
      </c>
      <c r="H44" s="1013"/>
      <c r="I44" s="723" t="str">
        <f>IF('7 EA 12 Data Sheet'!I136=0,"",'7 EA 12 Data Sheet'!I136)</f>
        <v>Q4 17/18</v>
      </c>
    </row>
  </sheetData>
  <sheetProtection password="BBC7" sheet="1" objects="1" scenarios="1" selectLockedCells="1" selectUnlockedCells="1"/>
  <mergeCells count="8">
    <mergeCell ref="A44:F44"/>
    <mergeCell ref="G44:H44"/>
    <mergeCell ref="H7:I7"/>
    <mergeCell ref="H8:I8"/>
    <mergeCell ref="A10:F10"/>
    <mergeCell ref="G10:I41"/>
    <mergeCell ref="A26:F26"/>
    <mergeCell ref="A42:I42"/>
  </mergeCells>
  <pageMargins left="0.23622047244094491" right="0.23622047244094491" top="0.74803149606299213" bottom="0.74803149606299213" header="0.31496062992125984" footer="0.31496062992125984"/>
  <pageSetup paperSize="9" orientation="portrait"/>
  <headerFooter>
    <oddFooter>&amp;R&amp;"Calibri,Regular"&amp;10Page 13</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H159"/>
  <sheetViews>
    <sheetView showGridLines="0" zoomScale="70" zoomScaleNormal="70" workbookViewId="0">
      <selection activeCell="B18" sqref="B18"/>
    </sheetView>
  </sheetViews>
  <sheetFormatPr defaultColWidth="12.6640625" defaultRowHeight="15" x14ac:dyDescent="0.2"/>
  <cols>
    <col min="10" max="34" width="12.6640625" style="639"/>
  </cols>
  <sheetData>
    <row r="1" spans="1:10" ht="18.75" x14ac:dyDescent="0.3">
      <c r="A1" s="914" t="s">
        <v>583</v>
      </c>
      <c r="B1" s="915"/>
      <c r="C1" s="915"/>
      <c r="D1" s="915"/>
      <c r="E1" s="915"/>
      <c r="F1" s="915"/>
      <c r="G1" s="906"/>
      <c r="H1" s="906"/>
      <c r="I1" s="906"/>
    </row>
    <row r="2" spans="1:10" ht="15.75" x14ac:dyDescent="0.25">
      <c r="A2" s="916" t="s">
        <v>446</v>
      </c>
      <c r="B2" s="917"/>
      <c r="C2" s="917"/>
      <c r="D2" s="917"/>
      <c r="E2" s="917"/>
      <c r="F2" s="917"/>
      <c r="G2" s="917"/>
      <c r="H2" s="161"/>
      <c r="I2" s="161"/>
    </row>
    <row r="3" spans="1:10" x14ac:dyDescent="0.2">
      <c r="A3" s="1026" t="s">
        <v>584</v>
      </c>
      <c r="B3" s="906"/>
      <c r="C3" s="906"/>
      <c r="D3" s="906"/>
      <c r="E3" s="906"/>
      <c r="F3" s="151"/>
      <c r="G3" s="151"/>
      <c r="H3" s="151"/>
      <c r="I3" s="151"/>
      <c r="J3" s="724"/>
    </row>
    <row r="4" spans="1:10" x14ac:dyDescent="0.2">
      <c r="A4" s="906"/>
      <c r="B4" s="906"/>
      <c r="C4" s="906"/>
      <c r="D4" s="906"/>
      <c r="E4" s="906"/>
      <c r="F4" s="151"/>
      <c r="G4" s="151"/>
      <c r="H4" s="151"/>
      <c r="I4" s="151"/>
      <c r="J4" s="724"/>
    </row>
    <row r="5" spans="1:10" ht="15.75" x14ac:dyDescent="0.25">
      <c r="A5" s="162"/>
      <c r="B5" s="162"/>
      <c r="C5" s="161"/>
      <c r="D5" s="161"/>
      <c r="E5" s="161"/>
      <c r="F5" s="161"/>
      <c r="G5" s="161"/>
      <c r="H5" s="161"/>
      <c r="I5" s="161"/>
    </row>
    <row r="6" spans="1:10" ht="15.75" x14ac:dyDescent="0.25">
      <c r="A6" s="163" t="s">
        <v>63</v>
      </c>
      <c r="B6" s="164">
        <v>1</v>
      </c>
      <c r="C6" s="161"/>
      <c r="D6" s="165" t="s">
        <v>64</v>
      </c>
      <c r="E6" s="166"/>
      <c r="F6" s="167"/>
      <c r="G6" s="167"/>
      <c r="H6" s="167"/>
      <c r="I6" s="167"/>
    </row>
    <row r="7" spans="1:10" ht="15.75" x14ac:dyDescent="0.25">
      <c r="A7" s="168" t="s">
        <v>65</v>
      </c>
      <c r="B7" s="169">
        <v>0</v>
      </c>
      <c r="C7" s="161"/>
      <c r="D7" s="919" t="s">
        <v>66</v>
      </c>
      <c r="E7" s="920"/>
      <c r="F7" s="920"/>
      <c r="G7" s="920"/>
      <c r="H7" s="920"/>
      <c r="I7" s="921"/>
    </row>
    <row r="8" spans="1:10" ht="15.75" x14ac:dyDescent="0.25">
      <c r="A8" s="170" t="s">
        <v>67</v>
      </c>
      <c r="B8" s="171">
        <v>1.1000000000000001</v>
      </c>
      <c r="C8" s="161"/>
      <c r="D8" s="920"/>
      <c r="E8" s="920"/>
      <c r="F8" s="920"/>
      <c r="G8" s="920"/>
      <c r="H8" s="920"/>
      <c r="I8" s="921"/>
    </row>
    <row r="9" spans="1:10" ht="15.75" x14ac:dyDescent="0.25">
      <c r="A9" s="170" t="s">
        <v>68</v>
      </c>
      <c r="B9" s="171">
        <v>1</v>
      </c>
      <c r="C9" s="161"/>
      <c r="D9" s="920"/>
      <c r="E9" s="920"/>
      <c r="F9" s="920"/>
      <c r="G9" s="920"/>
      <c r="H9" s="920"/>
      <c r="I9" s="921"/>
    </row>
    <row r="10" spans="1:10" ht="15.75" x14ac:dyDescent="0.25">
      <c r="A10" s="172" t="s">
        <v>69</v>
      </c>
      <c r="B10" s="173">
        <v>10000000000</v>
      </c>
      <c r="C10" s="161"/>
      <c r="D10" s="920"/>
      <c r="E10" s="920"/>
      <c r="F10" s="920"/>
      <c r="G10" s="920"/>
      <c r="H10" s="920"/>
      <c r="I10" s="921"/>
    </row>
    <row r="11" spans="1:10" ht="15.75" x14ac:dyDescent="0.25">
      <c r="A11" s="174" t="s">
        <v>70</v>
      </c>
      <c r="B11" s="175">
        <v>1.1000000000000001</v>
      </c>
      <c r="C11" s="161"/>
      <c r="D11" s="922"/>
      <c r="E11" s="922"/>
      <c r="F11" s="922"/>
      <c r="G11" s="922"/>
      <c r="H11" s="922"/>
      <c r="I11" s="921"/>
    </row>
    <row r="12" spans="1:10" ht="15.75" x14ac:dyDescent="0.25">
      <c r="A12" s="162"/>
      <c r="B12" s="162"/>
      <c r="C12" s="161"/>
      <c r="D12" s="922"/>
      <c r="E12" s="922"/>
      <c r="F12" s="922"/>
      <c r="G12" s="922"/>
      <c r="H12" s="922"/>
      <c r="I12" s="921"/>
    </row>
    <row r="13" spans="1:10" ht="15.75" x14ac:dyDescent="0.25">
      <c r="A13" s="176" t="s">
        <v>71</v>
      </c>
      <c r="B13" s="725">
        <v>43070</v>
      </c>
      <c r="C13" s="161"/>
      <c r="D13" s="922"/>
      <c r="E13" s="922"/>
      <c r="F13" s="922"/>
      <c r="G13" s="922"/>
      <c r="H13" s="922"/>
      <c r="I13" s="921"/>
    </row>
    <row r="14" spans="1:10" ht="15.75" x14ac:dyDescent="0.25">
      <c r="A14" s="178" t="s">
        <v>73</v>
      </c>
      <c r="B14" s="726">
        <f>VLOOKUP($B$13,$A$52:$G$77,3,FALSE)</f>
        <v>0.14000000000000001</v>
      </c>
      <c r="C14" s="161"/>
      <c r="D14" s="922"/>
      <c r="E14" s="922"/>
      <c r="F14" s="922"/>
      <c r="G14" s="922"/>
      <c r="H14" s="922"/>
      <c r="I14" s="921"/>
    </row>
    <row r="15" spans="1:10" ht="15.75" x14ac:dyDescent="0.25">
      <c r="A15" s="178" t="s">
        <v>74</v>
      </c>
      <c r="B15" s="726">
        <f>VLOOKUP($B$13,$A$52:$G$77,4,FALSE)</f>
        <v>0.11</v>
      </c>
      <c r="C15" s="161"/>
      <c r="D15" s="922"/>
      <c r="E15" s="922"/>
      <c r="F15" s="922"/>
      <c r="G15" s="922"/>
      <c r="H15" s="922"/>
      <c r="I15" s="921"/>
    </row>
    <row r="16" spans="1:10" ht="15.75" x14ac:dyDescent="0.25">
      <c r="A16" s="178" t="s">
        <v>75</v>
      </c>
      <c r="B16" s="726" t="str">
        <f>VLOOKUP($B$13,$A$52:$G$77,6,FALSE)</f>
        <v>Red</v>
      </c>
      <c r="C16" s="161"/>
      <c r="D16" s="922"/>
      <c r="E16" s="922"/>
      <c r="F16" s="922"/>
      <c r="G16" s="922"/>
      <c r="H16" s="922"/>
      <c r="I16" s="921"/>
    </row>
    <row r="17" spans="1:9" ht="15.75" x14ac:dyDescent="0.25">
      <c r="A17" s="162"/>
      <c r="B17" s="182"/>
      <c r="C17" s="161"/>
      <c r="D17" s="922"/>
      <c r="E17" s="922"/>
      <c r="F17" s="922"/>
      <c r="G17" s="922"/>
      <c r="H17" s="922"/>
      <c r="I17" s="921"/>
    </row>
    <row r="18" spans="1:9" ht="15.75" x14ac:dyDescent="0.25">
      <c r="A18" s="183" t="s">
        <v>122</v>
      </c>
      <c r="B18" s="184" t="s">
        <v>41</v>
      </c>
      <c r="C18" s="161"/>
      <c r="D18" s="922"/>
      <c r="E18" s="922"/>
      <c r="F18" s="922"/>
      <c r="G18" s="922"/>
      <c r="H18" s="922"/>
      <c r="I18" s="921"/>
    </row>
    <row r="19" spans="1:9" ht="15.75" x14ac:dyDescent="0.25">
      <c r="B19" s="162"/>
      <c r="C19" s="161"/>
      <c r="D19" s="161"/>
      <c r="E19" s="161"/>
      <c r="F19" s="161"/>
      <c r="G19" s="161"/>
      <c r="H19" s="161"/>
      <c r="I19" s="161"/>
    </row>
    <row r="20" spans="1:9" ht="15.75" x14ac:dyDescent="0.25">
      <c r="A20" s="162"/>
      <c r="B20" s="162"/>
      <c r="C20" s="161"/>
      <c r="D20" s="599"/>
      <c r="E20" s="161"/>
      <c r="F20" s="161"/>
      <c r="G20" s="161"/>
      <c r="H20" s="161"/>
      <c r="I20" s="161"/>
    </row>
    <row r="21" spans="1:9" ht="15.75" x14ac:dyDescent="0.25">
      <c r="A21" s="188" t="s">
        <v>585</v>
      </c>
      <c r="B21" s="188"/>
      <c r="C21" s="162"/>
      <c r="D21" s="162"/>
      <c r="E21" s="162"/>
      <c r="F21" s="162"/>
      <c r="G21" s="162"/>
      <c r="H21" s="162"/>
      <c r="I21" s="161"/>
    </row>
    <row r="22" spans="1:9" ht="27" customHeight="1" x14ac:dyDescent="0.2">
      <c r="A22" s="727" t="s">
        <v>82</v>
      </c>
      <c r="B22" s="728" t="s">
        <v>586</v>
      </c>
      <c r="C22" s="728" t="s">
        <v>587</v>
      </c>
      <c r="D22" s="729" t="s">
        <v>588</v>
      </c>
      <c r="E22" s="730" t="s">
        <v>84</v>
      </c>
      <c r="F22" s="731" t="s">
        <v>75</v>
      </c>
      <c r="G22" s="729" t="s">
        <v>589</v>
      </c>
      <c r="H22" s="694"/>
    </row>
    <row r="23" spans="1:9" ht="18" hidden="1" customHeight="1" x14ac:dyDescent="0.2">
      <c r="A23" s="732">
        <v>41426</v>
      </c>
      <c r="B23" s="733">
        <v>0.16959400625317084</v>
      </c>
      <c r="C23" s="733">
        <v>0.2016280710633096</v>
      </c>
      <c r="D23" s="734">
        <v>0.19</v>
      </c>
      <c r="E23" s="196">
        <f t="shared" ref="E23:E77" si="0">C23/D23</f>
        <v>1.061200374017419</v>
      </c>
      <c r="F23" s="197" t="str">
        <f t="shared" ref="F23:F51" si="1">IF(E23=0,"",IF(E23&lt;=$B$6,"GREEN",IF(E23&lt;=$B$8, "AMBER",IF(E23&lt;=$B$10,"RED"))))</f>
        <v>AMBER</v>
      </c>
      <c r="G23" s="734">
        <v>0.23</v>
      </c>
    </row>
    <row r="24" spans="1:9" hidden="1" x14ac:dyDescent="0.2">
      <c r="A24" s="732">
        <v>41456</v>
      </c>
      <c r="B24" s="733">
        <v>0.17486054914064014</v>
      </c>
      <c r="C24" s="733">
        <v>0.21156551073148425</v>
      </c>
      <c r="D24" s="734">
        <v>0.19</v>
      </c>
      <c r="E24" s="196">
        <f t="shared" si="0"/>
        <v>1.1135026880604433</v>
      </c>
      <c r="F24" s="197" t="str">
        <f t="shared" si="1"/>
        <v>RED</v>
      </c>
      <c r="G24" s="734">
        <v>0.23</v>
      </c>
    </row>
    <row r="25" spans="1:9" hidden="1" x14ac:dyDescent="0.2">
      <c r="A25" s="732">
        <v>41487</v>
      </c>
      <c r="B25" s="733">
        <v>0.17153194515531928</v>
      </c>
      <c r="C25" s="733">
        <v>0.19621020739079326</v>
      </c>
      <c r="D25" s="734">
        <v>0.19</v>
      </c>
      <c r="E25" s="196">
        <f t="shared" si="0"/>
        <v>1.0326853020568065</v>
      </c>
      <c r="F25" s="197" t="str">
        <f t="shared" si="1"/>
        <v>AMBER</v>
      </c>
      <c r="G25" s="734">
        <v>0.23</v>
      </c>
    </row>
    <row r="26" spans="1:9" hidden="1" x14ac:dyDescent="0.2">
      <c r="A26" s="732">
        <v>41518</v>
      </c>
      <c r="B26" s="733">
        <v>0.17686744276701563</v>
      </c>
      <c r="C26" s="733">
        <v>0.23649868328729101</v>
      </c>
      <c r="D26" s="734">
        <v>0.19</v>
      </c>
      <c r="E26" s="196">
        <f t="shared" si="0"/>
        <v>1.2447299120383737</v>
      </c>
      <c r="F26" s="197" t="str">
        <f t="shared" si="1"/>
        <v>RED</v>
      </c>
      <c r="G26" s="734">
        <v>0.23</v>
      </c>
    </row>
    <row r="27" spans="1:9" hidden="1" x14ac:dyDescent="0.2">
      <c r="A27" s="732">
        <v>41548</v>
      </c>
      <c r="B27" s="733">
        <v>0.17534946277630681</v>
      </c>
      <c r="C27" s="733">
        <v>0.2164319707317536</v>
      </c>
      <c r="D27" s="734">
        <v>0.19</v>
      </c>
      <c r="E27" s="196">
        <f t="shared" si="0"/>
        <v>1.139115635430282</v>
      </c>
      <c r="F27" s="197" t="str">
        <f t="shared" si="1"/>
        <v>RED</v>
      </c>
      <c r="G27" s="734">
        <v>0.23</v>
      </c>
    </row>
    <row r="28" spans="1:9" hidden="1" x14ac:dyDescent="0.2">
      <c r="A28" s="732">
        <v>41579</v>
      </c>
      <c r="B28" s="733">
        <v>0.18060953188477669</v>
      </c>
      <c r="C28" s="733">
        <v>0.22112020046355338</v>
      </c>
      <c r="D28" s="734">
        <v>0.19</v>
      </c>
      <c r="E28" s="196">
        <f t="shared" si="0"/>
        <v>1.1637905287555441</v>
      </c>
      <c r="F28" s="197" t="str">
        <f t="shared" si="1"/>
        <v>RED</v>
      </c>
      <c r="G28" s="734">
        <v>0.23</v>
      </c>
    </row>
    <row r="29" spans="1:9" hidden="1" x14ac:dyDescent="0.2">
      <c r="A29" s="732">
        <v>41609</v>
      </c>
      <c r="B29" s="733">
        <v>0.18089998829577078</v>
      </c>
      <c r="C29" s="733">
        <v>0.22723175096127229</v>
      </c>
      <c r="D29" s="734">
        <v>0.19</v>
      </c>
      <c r="E29" s="196">
        <f t="shared" si="0"/>
        <v>1.1959565840066964</v>
      </c>
      <c r="F29" s="197" t="str">
        <f t="shared" si="1"/>
        <v>RED</v>
      </c>
      <c r="G29" s="734">
        <v>0.23</v>
      </c>
    </row>
    <row r="30" spans="1:9" hidden="1" x14ac:dyDescent="0.2">
      <c r="A30" s="732">
        <v>41640</v>
      </c>
      <c r="B30" s="733">
        <v>0.18121068671903856</v>
      </c>
      <c r="C30" s="733">
        <v>0.22672056251084555</v>
      </c>
      <c r="D30" s="734">
        <v>0.19</v>
      </c>
      <c r="E30" s="196">
        <f t="shared" si="0"/>
        <v>1.1932661184781344</v>
      </c>
      <c r="F30" s="197" t="str">
        <f t="shared" si="1"/>
        <v>RED</v>
      </c>
      <c r="G30" s="734">
        <v>0.23</v>
      </c>
    </row>
    <row r="31" spans="1:9" hidden="1" x14ac:dyDescent="0.2">
      <c r="A31" s="732">
        <v>41671</v>
      </c>
      <c r="B31" s="733">
        <v>0.18500353240039055</v>
      </c>
      <c r="C31" s="733">
        <v>0.23650699299599637</v>
      </c>
      <c r="D31" s="734">
        <v>0.19</v>
      </c>
      <c r="E31" s="196">
        <f t="shared" si="0"/>
        <v>1.2447736473473492</v>
      </c>
      <c r="F31" s="197" t="str">
        <f t="shared" si="1"/>
        <v>RED</v>
      </c>
      <c r="G31" s="734">
        <v>0.23</v>
      </c>
    </row>
    <row r="32" spans="1:9" hidden="1" x14ac:dyDescent="0.2">
      <c r="A32" s="732">
        <v>41699</v>
      </c>
      <c r="B32" s="733">
        <v>0.18712681682271126</v>
      </c>
      <c r="C32" s="733">
        <v>0.23151945640439564</v>
      </c>
      <c r="D32" s="734">
        <v>0.19</v>
      </c>
      <c r="E32" s="196">
        <f t="shared" si="0"/>
        <v>1.218523454759977</v>
      </c>
      <c r="F32" s="197" t="str">
        <f t="shared" si="1"/>
        <v>RED</v>
      </c>
      <c r="G32" s="734">
        <v>0.23</v>
      </c>
    </row>
    <row r="33" spans="1:9" hidden="1" x14ac:dyDescent="0.2">
      <c r="A33" s="732">
        <v>41730</v>
      </c>
      <c r="B33" s="733">
        <v>0.18866437779851261</v>
      </c>
      <c r="C33" s="733">
        <v>0.24228926099667983</v>
      </c>
      <c r="D33" s="733">
        <v>0.23</v>
      </c>
      <c r="E33" s="196">
        <f t="shared" si="0"/>
        <v>1.0534315695507819</v>
      </c>
      <c r="F33" s="197" t="str">
        <f t="shared" si="1"/>
        <v>AMBER</v>
      </c>
      <c r="G33" s="733">
        <v>0.23</v>
      </c>
    </row>
    <row r="34" spans="1:9" hidden="1" x14ac:dyDescent="0.2">
      <c r="A34" s="732">
        <v>41760</v>
      </c>
      <c r="B34" s="733">
        <v>0.19022245677611863</v>
      </c>
      <c r="C34" s="733">
        <v>0.24329812197039191</v>
      </c>
      <c r="D34" s="733">
        <v>0.23</v>
      </c>
      <c r="E34" s="196">
        <f t="shared" si="0"/>
        <v>1.0578179216103996</v>
      </c>
      <c r="F34" s="197" t="str">
        <f t="shared" si="1"/>
        <v>AMBER</v>
      </c>
      <c r="G34" s="733">
        <v>0.23</v>
      </c>
    </row>
    <row r="35" spans="1:9" hidden="1" x14ac:dyDescent="0.2">
      <c r="A35" s="732">
        <v>41791</v>
      </c>
      <c r="B35" s="733">
        <v>0.19870577743527429</v>
      </c>
      <c r="C35" s="733">
        <v>0.23950671401017959</v>
      </c>
      <c r="D35" s="733">
        <v>0.23</v>
      </c>
      <c r="E35" s="196">
        <f t="shared" si="0"/>
        <v>1.0413335391746938</v>
      </c>
      <c r="F35" s="197" t="str">
        <f t="shared" si="1"/>
        <v>AMBER</v>
      </c>
      <c r="G35" s="733">
        <v>0.23</v>
      </c>
    </row>
    <row r="36" spans="1:9" hidden="1" x14ac:dyDescent="0.2">
      <c r="A36" s="735">
        <v>41821</v>
      </c>
      <c r="B36" s="733">
        <v>0.20030798561543456</v>
      </c>
      <c r="C36" s="733">
        <v>0.22573216934540208</v>
      </c>
      <c r="D36" s="733">
        <v>0.23</v>
      </c>
      <c r="E36" s="196">
        <f t="shared" si="0"/>
        <v>0.98144421454522635</v>
      </c>
      <c r="F36" s="197" t="str">
        <f t="shared" si="1"/>
        <v>GREEN</v>
      </c>
      <c r="G36" s="733">
        <v>0.23</v>
      </c>
    </row>
    <row r="37" spans="1:9" hidden="1" x14ac:dyDescent="0.2">
      <c r="A37" s="735">
        <v>41852</v>
      </c>
      <c r="B37" s="733">
        <v>0.1947992748191881</v>
      </c>
      <c r="C37" s="733">
        <v>0.22665963695539598</v>
      </c>
      <c r="D37" s="733">
        <v>0.23</v>
      </c>
      <c r="E37" s="196">
        <f t="shared" si="0"/>
        <v>0.98547668241476505</v>
      </c>
      <c r="F37" s="197" t="str">
        <f t="shared" si="1"/>
        <v>GREEN</v>
      </c>
      <c r="G37" s="733">
        <v>0.23</v>
      </c>
    </row>
    <row r="38" spans="1:9" hidden="1" x14ac:dyDescent="0.2">
      <c r="A38" s="735">
        <v>41883</v>
      </c>
      <c r="B38" s="733">
        <v>0.19130253700857447</v>
      </c>
      <c r="C38" s="733">
        <v>0.19193146324566301</v>
      </c>
      <c r="D38" s="733">
        <v>0.23</v>
      </c>
      <c r="E38" s="196">
        <f t="shared" si="0"/>
        <v>0.83448462280723046</v>
      </c>
      <c r="F38" s="197" t="str">
        <f t="shared" si="1"/>
        <v>GREEN</v>
      </c>
      <c r="G38" s="733">
        <v>0.23</v>
      </c>
    </row>
    <row r="39" spans="1:9" hidden="1" x14ac:dyDescent="0.2">
      <c r="A39" s="735">
        <v>41913</v>
      </c>
      <c r="B39" s="736">
        <v>0.2</v>
      </c>
      <c r="C39" s="736">
        <v>0.2</v>
      </c>
      <c r="D39" s="733">
        <v>0.23</v>
      </c>
      <c r="E39" s="196">
        <f t="shared" si="0"/>
        <v>0.86956521739130432</v>
      </c>
      <c r="F39" s="197" t="str">
        <f t="shared" si="1"/>
        <v>GREEN</v>
      </c>
      <c r="G39" s="733">
        <v>0.23</v>
      </c>
    </row>
    <row r="40" spans="1:9" hidden="1" x14ac:dyDescent="0.2">
      <c r="A40" s="735">
        <v>41944</v>
      </c>
      <c r="B40" s="736">
        <v>0.2</v>
      </c>
      <c r="C40" s="736">
        <v>0.18</v>
      </c>
      <c r="D40" s="733">
        <v>0.23</v>
      </c>
      <c r="E40" s="196">
        <f t="shared" si="0"/>
        <v>0.78260869565217384</v>
      </c>
      <c r="F40" s="197" t="str">
        <f t="shared" si="1"/>
        <v>GREEN</v>
      </c>
      <c r="G40" s="733">
        <v>0.23</v>
      </c>
    </row>
    <row r="41" spans="1:9" ht="15.75" hidden="1" x14ac:dyDescent="0.25">
      <c r="A41" s="735">
        <v>41974</v>
      </c>
      <c r="B41" s="736">
        <v>0.2</v>
      </c>
      <c r="C41" s="736">
        <v>0.18</v>
      </c>
      <c r="D41" s="733">
        <v>0.23</v>
      </c>
      <c r="E41" s="196">
        <f t="shared" si="0"/>
        <v>0.78260869565217384</v>
      </c>
      <c r="F41" s="197" t="str">
        <f t="shared" si="1"/>
        <v>GREEN</v>
      </c>
      <c r="G41" s="733">
        <v>0.23</v>
      </c>
      <c r="H41" s="161"/>
      <c r="I41" s="161"/>
    </row>
    <row r="42" spans="1:9" ht="15.75" hidden="1" x14ac:dyDescent="0.25">
      <c r="A42" s="735">
        <v>42005</v>
      </c>
      <c r="B42" s="736">
        <v>0.19990254923054795</v>
      </c>
      <c r="C42" s="736">
        <v>0.17631104088588925</v>
      </c>
      <c r="D42" s="733">
        <v>0.23</v>
      </c>
      <c r="E42" s="196">
        <f t="shared" si="0"/>
        <v>0.7665697429821271</v>
      </c>
      <c r="F42" s="197" t="str">
        <f t="shared" si="1"/>
        <v>GREEN</v>
      </c>
      <c r="G42" s="733">
        <v>0.23</v>
      </c>
      <c r="H42" s="161"/>
      <c r="I42" s="161"/>
    </row>
    <row r="43" spans="1:9" ht="15.75" hidden="1" x14ac:dyDescent="0.25">
      <c r="A43" s="735">
        <v>42036</v>
      </c>
      <c r="B43" s="736">
        <v>0.20164781249566166</v>
      </c>
      <c r="C43" s="736">
        <v>0.17200170260185363</v>
      </c>
      <c r="D43" s="733">
        <v>0.23</v>
      </c>
      <c r="E43" s="196">
        <f t="shared" si="0"/>
        <v>0.74783348957327667</v>
      </c>
      <c r="F43" s="197" t="str">
        <f t="shared" si="1"/>
        <v>GREEN</v>
      </c>
      <c r="G43" s="733">
        <v>0.23</v>
      </c>
      <c r="H43" s="161"/>
      <c r="I43" s="161"/>
    </row>
    <row r="44" spans="1:9" ht="15.75" hidden="1" x14ac:dyDescent="0.25">
      <c r="A44" s="735">
        <v>42064</v>
      </c>
      <c r="B44" s="736">
        <v>0.2</v>
      </c>
      <c r="C44" s="736">
        <v>0.16217419811751432</v>
      </c>
      <c r="D44" s="733">
        <v>0.23</v>
      </c>
      <c r="E44" s="196">
        <f t="shared" si="0"/>
        <v>0.70510520920658404</v>
      </c>
      <c r="F44" s="197" t="str">
        <f t="shared" si="1"/>
        <v>GREEN</v>
      </c>
      <c r="G44" s="733">
        <v>0.23</v>
      </c>
      <c r="H44" s="161"/>
      <c r="I44" s="161"/>
    </row>
    <row r="45" spans="1:9" ht="15.75" hidden="1" x14ac:dyDescent="0.25">
      <c r="A45" s="735">
        <v>42095</v>
      </c>
      <c r="B45" s="736">
        <v>0.2</v>
      </c>
      <c r="C45" s="736">
        <v>0.16</v>
      </c>
      <c r="D45" s="733">
        <v>0.16</v>
      </c>
      <c r="E45" s="196">
        <f t="shared" si="0"/>
        <v>1</v>
      </c>
      <c r="F45" s="197" t="str">
        <f t="shared" si="1"/>
        <v>GREEN</v>
      </c>
      <c r="G45" s="733">
        <v>0.16</v>
      </c>
      <c r="H45" s="161"/>
      <c r="I45" s="161"/>
    </row>
    <row r="46" spans="1:9" ht="15.75" hidden="1" x14ac:dyDescent="0.25">
      <c r="A46" s="735">
        <v>42125</v>
      </c>
      <c r="B46" s="736">
        <v>0.19</v>
      </c>
      <c r="C46" s="736">
        <v>0.15</v>
      </c>
      <c r="D46" s="733">
        <v>0.16</v>
      </c>
      <c r="E46" s="196">
        <f t="shared" si="0"/>
        <v>0.9375</v>
      </c>
      <c r="F46" s="197" t="str">
        <f t="shared" si="1"/>
        <v>GREEN</v>
      </c>
      <c r="G46" s="733">
        <v>0.16</v>
      </c>
      <c r="H46" s="161"/>
      <c r="I46" s="161"/>
    </row>
    <row r="47" spans="1:9" ht="15.75" hidden="1" x14ac:dyDescent="0.25">
      <c r="A47" s="735">
        <v>42156</v>
      </c>
      <c r="B47" s="736">
        <v>0.19</v>
      </c>
      <c r="C47" s="736">
        <v>0.13</v>
      </c>
      <c r="D47" s="733">
        <v>0.16</v>
      </c>
      <c r="E47" s="196">
        <f t="shared" si="0"/>
        <v>0.8125</v>
      </c>
      <c r="F47" s="197" t="str">
        <f t="shared" si="1"/>
        <v>GREEN</v>
      </c>
      <c r="G47" s="733">
        <v>0.16</v>
      </c>
      <c r="H47" s="161"/>
      <c r="I47" s="161"/>
    </row>
    <row r="48" spans="1:9" ht="15.75" hidden="1" x14ac:dyDescent="0.25">
      <c r="A48" s="735">
        <v>42186</v>
      </c>
      <c r="B48" s="736">
        <v>0.2</v>
      </c>
      <c r="C48" s="736">
        <v>0.16</v>
      </c>
      <c r="D48" s="733">
        <v>0.16</v>
      </c>
      <c r="E48" s="196">
        <f t="shared" si="0"/>
        <v>1</v>
      </c>
      <c r="F48" s="197" t="str">
        <f t="shared" si="1"/>
        <v>GREEN</v>
      </c>
      <c r="G48" s="733">
        <v>0.16</v>
      </c>
      <c r="H48" s="161"/>
      <c r="I48" s="161"/>
    </row>
    <row r="49" spans="1:9" ht="15.75" hidden="1" x14ac:dyDescent="0.25">
      <c r="A49" s="735">
        <v>42217</v>
      </c>
      <c r="B49" s="736">
        <v>0.19</v>
      </c>
      <c r="C49" s="736">
        <v>0.15</v>
      </c>
      <c r="D49" s="733">
        <v>0.16</v>
      </c>
      <c r="E49" s="196">
        <f t="shared" si="0"/>
        <v>0.9375</v>
      </c>
      <c r="F49" s="197" t="str">
        <f t="shared" si="1"/>
        <v>GREEN</v>
      </c>
      <c r="G49" s="733">
        <v>0.16</v>
      </c>
      <c r="H49" s="161"/>
      <c r="I49" s="161"/>
    </row>
    <row r="50" spans="1:9" ht="15.75" hidden="1" x14ac:dyDescent="0.25">
      <c r="A50" s="735">
        <v>42248</v>
      </c>
      <c r="B50" s="736">
        <v>0.2</v>
      </c>
      <c r="C50" s="736">
        <v>0.15</v>
      </c>
      <c r="D50" s="733">
        <v>0.16</v>
      </c>
      <c r="E50" s="196">
        <f t="shared" si="0"/>
        <v>0.9375</v>
      </c>
      <c r="F50" s="197" t="str">
        <f t="shared" si="1"/>
        <v>GREEN</v>
      </c>
      <c r="G50" s="733">
        <v>0.16</v>
      </c>
      <c r="H50" s="161"/>
      <c r="I50" s="161"/>
    </row>
    <row r="51" spans="1:9" ht="15.75" hidden="1" x14ac:dyDescent="0.25">
      <c r="A51" s="735">
        <v>42278</v>
      </c>
      <c r="B51" s="736">
        <v>0.19</v>
      </c>
      <c r="C51" s="736">
        <v>0.15</v>
      </c>
      <c r="D51" s="733">
        <v>0.16</v>
      </c>
      <c r="E51" s="196">
        <f t="shared" si="0"/>
        <v>0.9375</v>
      </c>
      <c r="F51" s="197" t="str">
        <f t="shared" si="1"/>
        <v>GREEN</v>
      </c>
      <c r="G51" s="733">
        <v>0.16</v>
      </c>
      <c r="H51" s="161"/>
      <c r="I51" s="161"/>
    </row>
    <row r="52" spans="1:9" ht="15.75" x14ac:dyDescent="0.25">
      <c r="A52" s="737">
        <v>42309</v>
      </c>
      <c r="B52" s="738">
        <v>0.18</v>
      </c>
      <c r="C52" s="738">
        <v>0.15</v>
      </c>
      <c r="D52" s="733">
        <v>0.16</v>
      </c>
      <c r="E52" s="196">
        <f t="shared" si="0"/>
        <v>0.9375</v>
      </c>
      <c r="F52" s="197" t="str">
        <f>IF(E52=0,"",IF(E52&lt;=$B$6,"Green",IF(E52&lt;=$B$8, "Amber",IF(E52&lt;=$B$10,"Red"))))</f>
        <v>Green</v>
      </c>
      <c r="G52" s="733">
        <v>0.16</v>
      </c>
      <c r="H52" s="161"/>
      <c r="I52" s="161"/>
    </row>
    <row r="53" spans="1:9" ht="15.75" x14ac:dyDescent="0.25">
      <c r="A53" s="737">
        <v>42339</v>
      </c>
      <c r="B53" s="738">
        <v>0.18</v>
      </c>
      <c r="C53" s="738">
        <v>0.14000000000000001</v>
      </c>
      <c r="D53" s="733">
        <v>0.16</v>
      </c>
      <c r="E53" s="196">
        <f t="shared" si="0"/>
        <v>0.87500000000000011</v>
      </c>
      <c r="F53" s="197" t="str">
        <f t="shared" ref="F53:F77" si="2">IF(E53=0,"",IF(E53&lt;=$B$6,"Green",IF(E53&lt;=$B$8, "Amber",IF(E53&lt;=$B$10,"Red"))))</f>
        <v>Green</v>
      </c>
      <c r="G53" s="733">
        <v>0.16</v>
      </c>
      <c r="H53" s="161"/>
      <c r="I53" s="161"/>
    </row>
    <row r="54" spans="1:9" ht="15.75" x14ac:dyDescent="0.25">
      <c r="A54" s="737">
        <v>42370</v>
      </c>
      <c r="B54" s="738">
        <v>0.19</v>
      </c>
      <c r="C54" s="738">
        <v>0.15</v>
      </c>
      <c r="D54" s="733">
        <v>0.16</v>
      </c>
      <c r="E54" s="196">
        <f t="shared" si="0"/>
        <v>0.9375</v>
      </c>
      <c r="F54" s="197" t="str">
        <f t="shared" si="2"/>
        <v>Green</v>
      </c>
      <c r="G54" s="733">
        <v>0.16</v>
      </c>
      <c r="H54" s="161"/>
      <c r="I54" s="161"/>
    </row>
    <row r="55" spans="1:9" ht="15.75" x14ac:dyDescent="0.25">
      <c r="A55" s="737">
        <v>42401</v>
      </c>
      <c r="B55" s="738">
        <v>0.19</v>
      </c>
      <c r="C55" s="738">
        <v>0.16</v>
      </c>
      <c r="D55" s="733">
        <v>0.16</v>
      </c>
      <c r="E55" s="196">
        <f t="shared" si="0"/>
        <v>1</v>
      </c>
      <c r="F55" s="197" t="str">
        <f t="shared" si="2"/>
        <v>Green</v>
      </c>
      <c r="G55" s="733">
        <v>0.16</v>
      </c>
      <c r="H55" s="161"/>
      <c r="I55" s="161"/>
    </row>
    <row r="56" spans="1:9" ht="15.75" x14ac:dyDescent="0.25">
      <c r="A56" s="737">
        <v>42430</v>
      </c>
      <c r="B56" s="738">
        <v>0.19</v>
      </c>
      <c r="C56" s="738">
        <v>0.16</v>
      </c>
      <c r="D56" s="733">
        <v>0.16</v>
      </c>
      <c r="E56" s="196">
        <f t="shared" si="0"/>
        <v>1</v>
      </c>
      <c r="F56" s="197" t="str">
        <f t="shared" si="2"/>
        <v>Green</v>
      </c>
      <c r="G56" s="733">
        <v>0.16</v>
      </c>
      <c r="H56" s="161"/>
      <c r="I56" s="161"/>
    </row>
    <row r="57" spans="1:9" ht="15.75" x14ac:dyDescent="0.25">
      <c r="A57" s="737">
        <v>42461</v>
      </c>
      <c r="B57" s="738">
        <v>0.17</v>
      </c>
      <c r="C57" s="738">
        <v>0.16</v>
      </c>
      <c r="D57" s="739">
        <v>0.16</v>
      </c>
      <c r="E57" s="196">
        <f t="shared" si="0"/>
        <v>1</v>
      </c>
      <c r="F57" s="197" t="str">
        <f t="shared" si="2"/>
        <v>Green</v>
      </c>
      <c r="G57" s="739">
        <v>0.16</v>
      </c>
      <c r="H57" s="161"/>
      <c r="I57" s="161"/>
    </row>
    <row r="58" spans="1:9" ht="15.75" x14ac:dyDescent="0.25">
      <c r="A58" s="737">
        <v>42491</v>
      </c>
      <c r="B58" s="738">
        <v>0.17</v>
      </c>
      <c r="C58" s="738">
        <v>0.15</v>
      </c>
      <c r="D58" s="739">
        <v>0.16</v>
      </c>
      <c r="E58" s="196">
        <f t="shared" si="0"/>
        <v>0.9375</v>
      </c>
      <c r="F58" s="197" t="str">
        <f t="shared" si="2"/>
        <v>Green</v>
      </c>
      <c r="G58" s="739">
        <v>0.16</v>
      </c>
      <c r="H58" s="161"/>
      <c r="I58" s="161"/>
    </row>
    <row r="59" spans="1:9" ht="15.75" x14ac:dyDescent="0.25">
      <c r="A59" s="737">
        <v>42522</v>
      </c>
      <c r="B59" s="738">
        <v>0.17</v>
      </c>
      <c r="C59" s="738">
        <v>0.16</v>
      </c>
      <c r="D59" s="739">
        <v>0.16</v>
      </c>
      <c r="E59" s="196">
        <f t="shared" si="0"/>
        <v>1</v>
      </c>
      <c r="F59" s="197" t="str">
        <f t="shared" si="2"/>
        <v>Green</v>
      </c>
      <c r="G59" s="739">
        <v>0.16</v>
      </c>
      <c r="H59" s="161"/>
      <c r="I59" s="161"/>
    </row>
    <row r="60" spans="1:9" ht="15.75" x14ac:dyDescent="0.25">
      <c r="A60" s="737">
        <v>42552</v>
      </c>
      <c r="B60" s="738">
        <v>0.17</v>
      </c>
      <c r="C60" s="738">
        <v>0.14000000000000001</v>
      </c>
      <c r="D60" s="739">
        <v>0.16</v>
      </c>
      <c r="E60" s="196">
        <f t="shared" si="0"/>
        <v>0.87500000000000011</v>
      </c>
      <c r="F60" s="197" t="str">
        <f t="shared" si="2"/>
        <v>Green</v>
      </c>
      <c r="G60" s="739">
        <v>0.16</v>
      </c>
      <c r="H60" s="161"/>
      <c r="I60" s="161"/>
    </row>
    <row r="61" spans="1:9" ht="15.75" x14ac:dyDescent="0.25">
      <c r="A61" s="737">
        <v>42583</v>
      </c>
      <c r="B61" s="738">
        <v>0.16</v>
      </c>
      <c r="C61" s="738">
        <v>0.13</v>
      </c>
      <c r="D61" s="739">
        <v>0.16</v>
      </c>
      <c r="E61" s="196">
        <f t="shared" si="0"/>
        <v>0.8125</v>
      </c>
      <c r="F61" s="197" t="str">
        <f t="shared" si="2"/>
        <v>Green</v>
      </c>
      <c r="G61" s="739">
        <v>0.16</v>
      </c>
      <c r="H61" s="161"/>
      <c r="I61" s="161"/>
    </row>
    <row r="62" spans="1:9" ht="15.75" x14ac:dyDescent="0.25">
      <c r="A62" s="737">
        <v>42614</v>
      </c>
      <c r="B62" s="740">
        <v>0.16</v>
      </c>
      <c r="C62" s="740">
        <v>0.14000000000000001</v>
      </c>
      <c r="D62" s="739">
        <v>0.16</v>
      </c>
      <c r="E62" s="196">
        <f t="shared" si="0"/>
        <v>0.87500000000000011</v>
      </c>
      <c r="F62" s="197" t="str">
        <f t="shared" si="2"/>
        <v>Green</v>
      </c>
      <c r="G62" s="739">
        <v>0.16</v>
      </c>
      <c r="H62" s="161"/>
      <c r="I62" s="161"/>
    </row>
    <row r="63" spans="1:9" ht="15.75" x14ac:dyDescent="0.25">
      <c r="A63" s="741">
        <v>42644</v>
      </c>
      <c r="B63" s="742">
        <v>0.16</v>
      </c>
      <c r="C63" s="743">
        <v>0.15</v>
      </c>
      <c r="D63" s="744">
        <v>0.16</v>
      </c>
      <c r="E63" s="196">
        <f t="shared" si="0"/>
        <v>0.9375</v>
      </c>
      <c r="F63" s="197" t="str">
        <f t="shared" si="2"/>
        <v>Green</v>
      </c>
      <c r="G63" s="739">
        <v>0.16</v>
      </c>
      <c r="H63" s="161"/>
      <c r="I63" s="161"/>
    </row>
    <row r="64" spans="1:9" ht="15.75" x14ac:dyDescent="0.25">
      <c r="A64" s="741">
        <v>42675</v>
      </c>
      <c r="B64" s="745">
        <v>0.15</v>
      </c>
      <c r="C64" s="746">
        <v>0.15</v>
      </c>
      <c r="D64" s="744">
        <v>0.16</v>
      </c>
      <c r="E64" s="196">
        <f t="shared" si="0"/>
        <v>0.9375</v>
      </c>
      <c r="F64" s="197" t="str">
        <f t="shared" si="2"/>
        <v>Green</v>
      </c>
      <c r="G64" s="739">
        <v>0.16</v>
      </c>
      <c r="H64" s="161"/>
      <c r="I64" s="161"/>
    </row>
    <row r="65" spans="1:9" ht="15.75" x14ac:dyDescent="0.25">
      <c r="A65" s="741">
        <v>42705</v>
      </c>
      <c r="B65" s="745">
        <v>0.15</v>
      </c>
      <c r="C65" s="746">
        <v>0.15</v>
      </c>
      <c r="D65" s="744">
        <v>0.16</v>
      </c>
      <c r="E65" s="196">
        <f t="shared" si="0"/>
        <v>0.9375</v>
      </c>
      <c r="F65" s="197" t="str">
        <f t="shared" si="2"/>
        <v>Green</v>
      </c>
      <c r="G65" s="739">
        <v>0.16</v>
      </c>
      <c r="H65" s="161"/>
      <c r="I65" s="161"/>
    </row>
    <row r="66" spans="1:9" ht="15.75" x14ac:dyDescent="0.25">
      <c r="A66" s="741">
        <v>42736</v>
      </c>
      <c r="B66" s="745">
        <v>0.15</v>
      </c>
      <c r="C66" s="746">
        <v>0.15</v>
      </c>
      <c r="D66" s="744">
        <v>0.16</v>
      </c>
      <c r="E66" s="196">
        <f t="shared" si="0"/>
        <v>0.9375</v>
      </c>
      <c r="F66" s="197" t="str">
        <f t="shared" si="2"/>
        <v>Green</v>
      </c>
      <c r="G66" s="739">
        <v>0.16</v>
      </c>
      <c r="H66" s="161"/>
      <c r="I66" s="161"/>
    </row>
    <row r="67" spans="1:9" ht="15.75" x14ac:dyDescent="0.25">
      <c r="A67" s="741">
        <v>42767</v>
      </c>
      <c r="B67" s="745">
        <v>0.14000000000000001</v>
      </c>
      <c r="C67" s="746">
        <v>0.13</v>
      </c>
      <c r="D67" s="744">
        <v>0.16</v>
      </c>
      <c r="E67" s="196">
        <f t="shared" si="0"/>
        <v>0.8125</v>
      </c>
      <c r="F67" s="197" t="str">
        <f t="shared" si="2"/>
        <v>Green</v>
      </c>
      <c r="G67" s="739">
        <v>0.16</v>
      </c>
      <c r="H67" s="161"/>
      <c r="I67" s="161"/>
    </row>
    <row r="68" spans="1:9" ht="15.75" x14ac:dyDescent="0.25">
      <c r="A68" s="741">
        <v>42795</v>
      </c>
      <c r="B68" s="745">
        <v>0.14000000000000001</v>
      </c>
      <c r="C68" s="746">
        <v>0.11</v>
      </c>
      <c r="D68" s="744">
        <v>0.16</v>
      </c>
      <c r="E68" s="196">
        <f t="shared" si="0"/>
        <v>0.6875</v>
      </c>
      <c r="F68" s="197" t="str">
        <f t="shared" si="2"/>
        <v>Green</v>
      </c>
      <c r="G68" s="739">
        <v>0.16</v>
      </c>
      <c r="H68" s="161"/>
      <c r="I68" s="161"/>
    </row>
    <row r="69" spans="1:9" ht="15.75" x14ac:dyDescent="0.25">
      <c r="A69" s="741">
        <v>42826</v>
      </c>
      <c r="B69" s="745">
        <v>0.14000000000000001</v>
      </c>
      <c r="C69" s="746">
        <v>0.12</v>
      </c>
      <c r="D69" s="744">
        <v>0.11</v>
      </c>
      <c r="E69" s="196">
        <f t="shared" si="0"/>
        <v>1.0909090909090908</v>
      </c>
      <c r="F69" s="197" t="str">
        <f t="shared" si="2"/>
        <v>Amber</v>
      </c>
      <c r="G69" s="739">
        <v>0.11</v>
      </c>
      <c r="H69" s="161"/>
      <c r="I69" s="161"/>
    </row>
    <row r="70" spans="1:9" ht="15.75" x14ac:dyDescent="0.25">
      <c r="A70" s="741">
        <v>42856</v>
      </c>
      <c r="B70" s="745">
        <v>0.14000000000000001</v>
      </c>
      <c r="C70" s="746">
        <v>0.13</v>
      </c>
      <c r="D70" s="744">
        <v>0.11</v>
      </c>
      <c r="E70" s="196">
        <f t="shared" si="0"/>
        <v>1.1818181818181819</v>
      </c>
      <c r="F70" s="197" t="str">
        <f t="shared" si="2"/>
        <v>Red</v>
      </c>
      <c r="G70" s="739">
        <v>0.11</v>
      </c>
      <c r="H70" s="161"/>
      <c r="I70" s="161"/>
    </row>
    <row r="71" spans="1:9" ht="15.75" x14ac:dyDescent="0.25">
      <c r="A71" s="741">
        <v>42887</v>
      </c>
      <c r="B71" s="745">
        <v>0.14000000000000001</v>
      </c>
      <c r="C71" s="746">
        <v>0.12</v>
      </c>
      <c r="D71" s="744">
        <v>0.11</v>
      </c>
      <c r="E71" s="196">
        <f t="shared" si="0"/>
        <v>1.0909090909090908</v>
      </c>
      <c r="F71" s="197" t="str">
        <f t="shared" si="2"/>
        <v>Amber</v>
      </c>
      <c r="G71" s="739">
        <v>0.11</v>
      </c>
      <c r="H71" s="161"/>
      <c r="I71" s="161"/>
    </row>
    <row r="72" spans="1:9" ht="15.75" x14ac:dyDescent="0.25">
      <c r="A72" s="741">
        <v>42917</v>
      </c>
      <c r="B72" s="745">
        <v>0.13638919524795243</v>
      </c>
      <c r="C72" s="746">
        <v>0.10490933735066155</v>
      </c>
      <c r="D72" s="744">
        <v>0.11</v>
      </c>
      <c r="E72" s="196">
        <f t="shared" si="0"/>
        <v>0.95372124864237773</v>
      </c>
      <c r="F72" s="197" t="str">
        <f t="shared" si="2"/>
        <v>Green</v>
      </c>
      <c r="G72" s="739">
        <v>0.11</v>
      </c>
      <c r="H72" s="161"/>
      <c r="I72" s="161"/>
    </row>
    <row r="73" spans="1:9" ht="15.75" x14ac:dyDescent="0.25">
      <c r="A73" s="741">
        <v>42948</v>
      </c>
      <c r="B73" s="745">
        <v>0.13790022659271262</v>
      </c>
      <c r="C73" s="746">
        <v>0.11453901482702568</v>
      </c>
      <c r="D73" s="744">
        <v>0.11</v>
      </c>
      <c r="E73" s="196">
        <f t="shared" si="0"/>
        <v>1.041263771154779</v>
      </c>
      <c r="F73" s="197" t="str">
        <f t="shared" si="2"/>
        <v>Amber</v>
      </c>
      <c r="G73" s="739">
        <v>0.11</v>
      </c>
      <c r="H73" s="161"/>
      <c r="I73" s="161"/>
    </row>
    <row r="74" spans="1:9" ht="15.75" x14ac:dyDescent="0.25">
      <c r="A74" s="741">
        <v>42979</v>
      </c>
      <c r="B74" s="745">
        <v>0.13323115118950102</v>
      </c>
      <c r="C74" s="746">
        <v>0.10426234909328247</v>
      </c>
      <c r="D74" s="744">
        <v>0.11</v>
      </c>
      <c r="E74" s="196">
        <f t="shared" si="0"/>
        <v>0.94783953721165881</v>
      </c>
      <c r="F74" s="197" t="str">
        <f t="shared" si="2"/>
        <v>Green</v>
      </c>
      <c r="G74" s="739">
        <v>0.11</v>
      </c>
      <c r="H74" s="161"/>
      <c r="I74" s="161"/>
    </row>
    <row r="75" spans="1:9" ht="15.75" x14ac:dyDescent="0.25">
      <c r="A75" s="741">
        <v>43009</v>
      </c>
      <c r="B75" s="747">
        <v>0.14000000000000001</v>
      </c>
      <c r="C75" s="748">
        <v>0.12</v>
      </c>
      <c r="D75" s="744">
        <v>0.11</v>
      </c>
      <c r="E75" s="196">
        <f t="shared" si="0"/>
        <v>1.0909090909090908</v>
      </c>
      <c r="F75" s="197" t="str">
        <f t="shared" si="2"/>
        <v>Amber</v>
      </c>
      <c r="G75" s="739">
        <v>0.11</v>
      </c>
      <c r="H75" s="161"/>
      <c r="I75" s="161"/>
    </row>
    <row r="76" spans="1:9" ht="15.75" x14ac:dyDescent="0.25">
      <c r="A76" s="741">
        <v>43040</v>
      </c>
      <c r="B76" s="747">
        <v>0.14000000000000001</v>
      </c>
      <c r="C76" s="748">
        <v>0.13</v>
      </c>
      <c r="D76" s="744">
        <v>0.11</v>
      </c>
      <c r="E76" s="196">
        <f t="shared" si="0"/>
        <v>1.1818181818181819</v>
      </c>
      <c r="F76" s="197" t="str">
        <f t="shared" si="2"/>
        <v>Red</v>
      </c>
      <c r="G76" s="739">
        <v>0.11</v>
      </c>
      <c r="H76" s="161"/>
      <c r="I76" s="161"/>
    </row>
    <row r="77" spans="1:9" ht="15.75" x14ac:dyDescent="0.25">
      <c r="A77" s="741">
        <v>43070</v>
      </c>
      <c r="B77" s="747">
        <v>0.15</v>
      </c>
      <c r="C77" s="748">
        <v>0.14000000000000001</v>
      </c>
      <c r="D77" s="744">
        <v>0.11</v>
      </c>
      <c r="E77" s="196">
        <f t="shared" si="0"/>
        <v>1.2727272727272729</v>
      </c>
      <c r="F77" s="197" t="str">
        <f t="shared" si="2"/>
        <v>Red</v>
      </c>
      <c r="G77" s="739">
        <v>0.11</v>
      </c>
      <c r="H77" s="161"/>
      <c r="I77" s="161"/>
    </row>
    <row r="78" spans="1:9" ht="15.75" x14ac:dyDescent="0.25">
      <c r="A78" s="735"/>
      <c r="B78" s="736"/>
      <c r="C78" s="736"/>
      <c r="D78" s="749"/>
      <c r="E78" s="750"/>
      <c r="F78" s="751"/>
      <c r="G78" s="749"/>
      <c r="H78" s="161"/>
      <c r="I78" s="161"/>
    </row>
    <row r="79" spans="1:9" ht="15.75" x14ac:dyDescent="0.25">
      <c r="A79" s="161"/>
      <c r="B79" s="161"/>
      <c r="C79" s="161"/>
      <c r="D79" s="161"/>
      <c r="E79" s="161"/>
      <c r="F79" s="161"/>
      <c r="G79" s="161"/>
      <c r="H79" s="161"/>
      <c r="I79" s="161"/>
    </row>
    <row r="80" spans="1:9" ht="15.75" x14ac:dyDescent="0.25">
      <c r="A80" s="907" t="s">
        <v>590</v>
      </c>
      <c r="B80" s="906"/>
      <c r="C80" s="906"/>
      <c r="D80" s="161"/>
      <c r="E80" s="161"/>
      <c r="F80" s="161"/>
      <c r="G80" s="161"/>
      <c r="H80" s="161"/>
      <c r="I80" s="161"/>
    </row>
    <row r="81" spans="1:6" x14ac:dyDescent="0.2">
      <c r="A81" s="317" t="s">
        <v>82</v>
      </c>
      <c r="B81" s="752" t="s">
        <v>73</v>
      </c>
      <c r="C81" s="752" t="s">
        <v>591</v>
      </c>
      <c r="D81" s="752" t="s">
        <v>592</v>
      </c>
      <c r="E81" s="752" t="s">
        <v>593</v>
      </c>
      <c r="F81" s="752" t="s">
        <v>594</v>
      </c>
    </row>
    <row r="82" spans="1:6" hidden="1" x14ac:dyDescent="0.2">
      <c r="A82" s="753" t="s">
        <v>595</v>
      </c>
      <c r="B82" s="754">
        <v>4</v>
      </c>
      <c r="C82" s="755">
        <f t="shared" ref="C82:C105" si="3">AVERAGE($B$82:$B$114)</f>
        <v>7.8181818181818183</v>
      </c>
      <c r="D82" s="754" t="s">
        <v>530</v>
      </c>
      <c r="E82" s="755">
        <v>17.25</v>
      </c>
      <c r="F82" s="754"/>
    </row>
    <row r="83" spans="1:6" hidden="1" x14ac:dyDescent="0.2">
      <c r="A83" s="753" t="s">
        <v>596</v>
      </c>
      <c r="B83" s="754">
        <v>10</v>
      </c>
      <c r="C83" s="755">
        <f t="shared" si="3"/>
        <v>7.8181818181818183</v>
      </c>
      <c r="D83" s="754">
        <f>ABS(B83-B82)</f>
        <v>6</v>
      </c>
      <c r="E83" s="755">
        <v>17.25</v>
      </c>
      <c r="F83" s="754"/>
    </row>
    <row r="84" spans="1:6" hidden="1" x14ac:dyDescent="0.2">
      <c r="A84" s="753" t="s">
        <v>597</v>
      </c>
      <c r="B84" s="754">
        <v>9</v>
      </c>
      <c r="C84" s="755">
        <f t="shared" si="3"/>
        <v>7.8181818181818183</v>
      </c>
      <c r="D84" s="754">
        <f t="shared" ref="D84:D114" si="4">ABS(B84-B83)</f>
        <v>1</v>
      </c>
      <c r="E84" s="755">
        <v>17.25</v>
      </c>
      <c r="F84" s="754"/>
    </row>
    <row r="85" spans="1:6" hidden="1" x14ac:dyDescent="0.2">
      <c r="A85" s="753" t="s">
        <v>598</v>
      </c>
      <c r="B85" s="754">
        <v>10</v>
      </c>
      <c r="C85" s="755">
        <f t="shared" si="3"/>
        <v>7.8181818181818183</v>
      </c>
      <c r="D85" s="754">
        <f t="shared" si="4"/>
        <v>1</v>
      </c>
      <c r="E85" s="755">
        <v>17.25</v>
      </c>
      <c r="F85" s="754"/>
    </row>
    <row r="86" spans="1:6" hidden="1" x14ac:dyDescent="0.2">
      <c r="A86" s="753" t="s">
        <v>599</v>
      </c>
      <c r="B86" s="754">
        <v>7</v>
      </c>
      <c r="C86" s="755">
        <f t="shared" si="3"/>
        <v>7.8181818181818183</v>
      </c>
      <c r="D86" s="754">
        <f t="shared" si="4"/>
        <v>3</v>
      </c>
      <c r="E86" s="755">
        <v>17.25</v>
      </c>
      <c r="F86" s="754"/>
    </row>
    <row r="87" spans="1:6" hidden="1" x14ac:dyDescent="0.2">
      <c r="A87" s="753" t="s">
        <v>600</v>
      </c>
      <c r="B87" s="754">
        <v>11</v>
      </c>
      <c r="C87" s="755">
        <f t="shared" si="3"/>
        <v>7.8181818181818183</v>
      </c>
      <c r="D87" s="754">
        <f t="shared" si="4"/>
        <v>4</v>
      </c>
      <c r="E87" s="755">
        <v>17.25</v>
      </c>
      <c r="F87" s="754"/>
    </row>
    <row r="88" spans="1:6" hidden="1" x14ac:dyDescent="0.2">
      <c r="A88" s="753" t="s">
        <v>601</v>
      </c>
      <c r="B88" s="754">
        <v>9</v>
      </c>
      <c r="C88" s="755">
        <f t="shared" si="3"/>
        <v>7.8181818181818183</v>
      </c>
      <c r="D88" s="754">
        <f t="shared" si="4"/>
        <v>2</v>
      </c>
      <c r="E88" s="755">
        <v>17.25</v>
      </c>
      <c r="F88" s="754"/>
    </row>
    <row r="89" spans="1:6" hidden="1" x14ac:dyDescent="0.2">
      <c r="A89" s="753" t="s">
        <v>602</v>
      </c>
      <c r="B89" s="754">
        <v>6</v>
      </c>
      <c r="C89" s="755">
        <f t="shared" si="3"/>
        <v>7.8181818181818183</v>
      </c>
      <c r="D89" s="754">
        <f t="shared" si="4"/>
        <v>3</v>
      </c>
      <c r="E89" s="755">
        <v>17.25</v>
      </c>
      <c r="F89" s="754"/>
    </row>
    <row r="90" spans="1:6" hidden="1" x14ac:dyDescent="0.2">
      <c r="A90" s="753" t="s">
        <v>603</v>
      </c>
      <c r="B90" s="754">
        <v>5</v>
      </c>
      <c r="C90" s="755">
        <f t="shared" si="3"/>
        <v>7.8181818181818183</v>
      </c>
      <c r="D90" s="754">
        <f t="shared" si="4"/>
        <v>1</v>
      </c>
      <c r="E90" s="755">
        <v>17.25</v>
      </c>
      <c r="F90" s="754"/>
    </row>
    <row r="91" spans="1:6" hidden="1" x14ac:dyDescent="0.2">
      <c r="A91" s="753" t="s">
        <v>604</v>
      </c>
      <c r="B91" s="754">
        <v>9</v>
      </c>
      <c r="C91" s="755">
        <f t="shared" si="3"/>
        <v>7.8181818181818183</v>
      </c>
      <c r="D91" s="754">
        <f t="shared" si="4"/>
        <v>4</v>
      </c>
      <c r="E91" s="755">
        <v>17.25</v>
      </c>
      <c r="F91" s="754"/>
    </row>
    <row r="92" spans="1:6" hidden="1" x14ac:dyDescent="0.2">
      <c r="A92" s="753" t="s">
        <v>605</v>
      </c>
      <c r="B92" s="754">
        <v>1</v>
      </c>
      <c r="C92" s="755">
        <f t="shared" si="3"/>
        <v>7.8181818181818183</v>
      </c>
      <c r="D92" s="754">
        <f t="shared" si="4"/>
        <v>8</v>
      </c>
      <c r="E92" s="755">
        <v>17.25</v>
      </c>
      <c r="F92" s="754"/>
    </row>
    <row r="93" spans="1:6" hidden="1" x14ac:dyDescent="0.2">
      <c r="A93" s="753" t="s">
        <v>606</v>
      </c>
      <c r="B93" s="754">
        <v>10</v>
      </c>
      <c r="C93" s="755">
        <f t="shared" si="3"/>
        <v>7.8181818181818183</v>
      </c>
      <c r="D93" s="754">
        <f t="shared" si="4"/>
        <v>9</v>
      </c>
      <c r="E93" s="755">
        <v>17.25</v>
      </c>
      <c r="F93" s="754"/>
    </row>
    <row r="94" spans="1:6" hidden="1" x14ac:dyDescent="0.2">
      <c r="A94" s="753" t="s">
        <v>455</v>
      </c>
      <c r="B94" s="754">
        <v>8</v>
      </c>
      <c r="C94" s="755">
        <f t="shared" si="3"/>
        <v>7.8181818181818183</v>
      </c>
      <c r="D94" s="754">
        <f t="shared" si="4"/>
        <v>2</v>
      </c>
      <c r="E94" s="755">
        <v>17.25</v>
      </c>
      <c r="F94" s="754"/>
    </row>
    <row r="95" spans="1:6" hidden="1" x14ac:dyDescent="0.2">
      <c r="A95" s="753" t="s">
        <v>607</v>
      </c>
      <c r="B95" s="754">
        <v>8</v>
      </c>
      <c r="C95" s="755">
        <f t="shared" si="3"/>
        <v>7.8181818181818183</v>
      </c>
      <c r="D95" s="754">
        <f t="shared" si="4"/>
        <v>0</v>
      </c>
      <c r="E95" s="755">
        <v>17.25</v>
      </c>
      <c r="F95" s="754"/>
    </row>
    <row r="96" spans="1:6" hidden="1" x14ac:dyDescent="0.2">
      <c r="A96" s="753" t="s">
        <v>458</v>
      </c>
      <c r="B96" s="754">
        <v>13</v>
      </c>
      <c r="C96" s="755">
        <f t="shared" si="3"/>
        <v>7.8181818181818183</v>
      </c>
      <c r="D96" s="754">
        <f t="shared" si="4"/>
        <v>5</v>
      </c>
      <c r="E96" s="755">
        <v>17.25</v>
      </c>
      <c r="F96" s="754"/>
    </row>
    <row r="97" spans="1:7" hidden="1" x14ac:dyDescent="0.2">
      <c r="A97" s="753" t="s">
        <v>459</v>
      </c>
      <c r="B97" s="754">
        <v>8</v>
      </c>
      <c r="C97" s="755">
        <f t="shared" si="3"/>
        <v>7.8181818181818183</v>
      </c>
      <c r="D97" s="754">
        <f t="shared" si="4"/>
        <v>5</v>
      </c>
      <c r="E97" s="755">
        <v>17.25</v>
      </c>
      <c r="F97" s="754"/>
    </row>
    <row r="98" spans="1:7" hidden="1" x14ac:dyDescent="0.2">
      <c r="A98" s="753" t="s">
        <v>318</v>
      </c>
      <c r="B98" s="754">
        <v>11</v>
      </c>
      <c r="C98" s="755">
        <f t="shared" si="3"/>
        <v>7.8181818181818183</v>
      </c>
      <c r="D98" s="754">
        <f t="shared" si="4"/>
        <v>3</v>
      </c>
      <c r="E98" s="755">
        <v>17.25</v>
      </c>
      <c r="F98" s="754"/>
    </row>
    <row r="99" spans="1:7" hidden="1" x14ac:dyDescent="0.2">
      <c r="A99" s="753" t="s">
        <v>319</v>
      </c>
      <c r="B99" s="754">
        <v>15</v>
      </c>
      <c r="C99" s="755">
        <f t="shared" si="3"/>
        <v>7.8181818181818183</v>
      </c>
      <c r="D99" s="754">
        <f t="shared" si="4"/>
        <v>4</v>
      </c>
      <c r="E99" s="755">
        <v>17.25</v>
      </c>
      <c r="F99" s="754"/>
    </row>
    <row r="100" spans="1:7" hidden="1" x14ac:dyDescent="0.2">
      <c r="A100" s="753" t="s">
        <v>320</v>
      </c>
      <c r="B100" s="754">
        <v>11</v>
      </c>
      <c r="C100" s="755">
        <f t="shared" si="3"/>
        <v>7.8181818181818183</v>
      </c>
      <c r="D100" s="754">
        <f t="shared" si="4"/>
        <v>4</v>
      </c>
      <c r="E100" s="755">
        <v>17.25</v>
      </c>
      <c r="F100" s="754"/>
    </row>
    <row r="101" spans="1:7" hidden="1" x14ac:dyDescent="0.2">
      <c r="A101" s="753" t="s">
        <v>608</v>
      </c>
      <c r="B101" s="754">
        <v>9</v>
      </c>
      <c r="C101" s="755">
        <f t="shared" si="3"/>
        <v>7.8181818181818183</v>
      </c>
      <c r="D101" s="754">
        <f t="shared" si="4"/>
        <v>2</v>
      </c>
      <c r="E101" s="755">
        <v>17.25</v>
      </c>
      <c r="F101" s="754"/>
    </row>
    <row r="102" spans="1:7" hidden="1" x14ac:dyDescent="0.2">
      <c r="A102" s="753" t="s">
        <v>322</v>
      </c>
      <c r="B102" s="754">
        <v>12</v>
      </c>
      <c r="C102" s="755">
        <f t="shared" si="3"/>
        <v>7.8181818181818183</v>
      </c>
      <c r="D102" s="754">
        <f t="shared" si="4"/>
        <v>3</v>
      </c>
      <c r="E102" s="755">
        <v>17.25</v>
      </c>
      <c r="F102" s="754"/>
    </row>
    <row r="103" spans="1:7" hidden="1" x14ac:dyDescent="0.2">
      <c r="A103" s="753" t="s">
        <v>323</v>
      </c>
      <c r="B103" s="754">
        <v>5</v>
      </c>
      <c r="C103" s="755">
        <f t="shared" si="3"/>
        <v>7.8181818181818183</v>
      </c>
      <c r="D103" s="754">
        <f t="shared" si="4"/>
        <v>7</v>
      </c>
      <c r="E103" s="755">
        <v>17.25</v>
      </c>
      <c r="F103" s="754"/>
    </row>
    <row r="104" spans="1:7" hidden="1" x14ac:dyDescent="0.2">
      <c r="A104" s="753" t="s">
        <v>324</v>
      </c>
      <c r="B104" s="754">
        <v>7</v>
      </c>
      <c r="C104" s="755">
        <f t="shared" si="3"/>
        <v>7.8181818181818183</v>
      </c>
      <c r="D104" s="754">
        <f t="shared" si="4"/>
        <v>2</v>
      </c>
      <c r="E104" s="755">
        <v>17.25</v>
      </c>
      <c r="F104" s="754"/>
    </row>
    <row r="105" spans="1:7" hidden="1" x14ac:dyDescent="0.2">
      <c r="A105" s="753" t="s">
        <v>609</v>
      </c>
      <c r="B105" s="754">
        <v>5</v>
      </c>
      <c r="C105" s="755">
        <f t="shared" si="3"/>
        <v>7.8181818181818183</v>
      </c>
      <c r="D105" s="754">
        <f t="shared" si="4"/>
        <v>2</v>
      </c>
      <c r="E105" s="755">
        <v>17.25</v>
      </c>
      <c r="F105" s="754"/>
    </row>
    <row r="106" spans="1:7" x14ac:dyDescent="0.2">
      <c r="A106" s="753" t="s">
        <v>325</v>
      </c>
      <c r="B106" s="754">
        <v>5</v>
      </c>
      <c r="C106" s="755">
        <f t="shared" ref="C106:C115" si="5">AVERAGE($B$82:$B$116)</f>
        <v>7.8</v>
      </c>
      <c r="D106" s="754">
        <f t="shared" si="4"/>
        <v>0</v>
      </c>
      <c r="E106" s="755">
        <v>16.89</v>
      </c>
      <c r="F106" s="754"/>
    </row>
    <row r="107" spans="1:7" x14ac:dyDescent="0.2">
      <c r="A107" s="753" t="s">
        <v>326</v>
      </c>
      <c r="B107" s="754">
        <v>8</v>
      </c>
      <c r="C107" s="755">
        <f t="shared" si="5"/>
        <v>7.8</v>
      </c>
      <c r="D107" s="754">
        <f t="shared" si="4"/>
        <v>3</v>
      </c>
      <c r="E107" s="755">
        <v>16.89</v>
      </c>
      <c r="F107" s="754"/>
    </row>
    <row r="108" spans="1:7" x14ac:dyDescent="0.2">
      <c r="A108" s="753" t="s">
        <v>327</v>
      </c>
      <c r="B108" s="754">
        <v>4</v>
      </c>
      <c r="C108" s="755">
        <f t="shared" si="5"/>
        <v>7.8</v>
      </c>
      <c r="D108" s="754">
        <f t="shared" si="4"/>
        <v>4</v>
      </c>
      <c r="E108" s="755">
        <v>16.89</v>
      </c>
      <c r="F108" s="754"/>
    </row>
    <row r="109" spans="1:7" x14ac:dyDescent="0.2">
      <c r="A109" s="753" t="s">
        <v>328</v>
      </c>
      <c r="B109" s="754">
        <v>12</v>
      </c>
      <c r="C109" s="755">
        <f t="shared" si="5"/>
        <v>7.8</v>
      </c>
      <c r="D109" s="754">
        <f t="shared" si="4"/>
        <v>8</v>
      </c>
      <c r="E109" s="755">
        <v>16.89</v>
      </c>
      <c r="F109" s="754"/>
      <c r="G109" s="430" t="s">
        <v>610</v>
      </c>
    </row>
    <row r="110" spans="1:7" x14ac:dyDescent="0.2">
      <c r="A110" s="753" t="s">
        <v>329</v>
      </c>
      <c r="B110" s="754">
        <v>4</v>
      </c>
      <c r="C110" s="755">
        <f t="shared" si="5"/>
        <v>7.8</v>
      </c>
      <c r="D110" s="754">
        <f t="shared" si="4"/>
        <v>8</v>
      </c>
      <c r="E110" s="755">
        <v>16.89</v>
      </c>
      <c r="F110" s="754"/>
    </row>
    <row r="111" spans="1:7" x14ac:dyDescent="0.2">
      <c r="A111" s="753" t="s">
        <v>330</v>
      </c>
      <c r="B111" s="754">
        <v>6</v>
      </c>
      <c r="C111" s="755">
        <f t="shared" si="5"/>
        <v>7.8</v>
      </c>
      <c r="D111" s="754">
        <f t="shared" si="4"/>
        <v>2</v>
      </c>
      <c r="E111" s="755">
        <v>16.89</v>
      </c>
      <c r="F111" s="754"/>
    </row>
    <row r="112" spans="1:7" x14ac:dyDescent="0.2">
      <c r="A112" s="753" t="s">
        <v>331</v>
      </c>
      <c r="B112" s="754">
        <v>5</v>
      </c>
      <c r="C112" s="755">
        <f t="shared" si="5"/>
        <v>7.8</v>
      </c>
      <c r="D112" s="754">
        <f t="shared" si="4"/>
        <v>1</v>
      </c>
      <c r="E112" s="755">
        <v>16.89</v>
      </c>
      <c r="F112" s="754"/>
    </row>
    <row r="113" spans="1:34" x14ac:dyDescent="0.2">
      <c r="A113" s="753" t="s">
        <v>332</v>
      </c>
      <c r="B113" s="754">
        <v>4</v>
      </c>
      <c r="C113" s="755">
        <f t="shared" si="5"/>
        <v>7.8</v>
      </c>
      <c r="D113" s="754">
        <f t="shared" si="4"/>
        <v>1</v>
      </c>
      <c r="E113" s="755">
        <v>16.89</v>
      </c>
      <c r="F113" s="754"/>
    </row>
    <row r="114" spans="1:34" x14ac:dyDescent="0.2">
      <c r="A114" s="753" t="s">
        <v>333</v>
      </c>
      <c r="B114" s="754">
        <v>7</v>
      </c>
      <c r="C114" s="755">
        <f t="shared" si="5"/>
        <v>7.8</v>
      </c>
      <c r="D114" s="754">
        <f t="shared" si="4"/>
        <v>3</v>
      </c>
      <c r="E114" s="755">
        <v>16.89</v>
      </c>
      <c r="F114" s="754"/>
    </row>
    <row r="115" spans="1:34" x14ac:dyDescent="0.2">
      <c r="A115" s="753" t="s">
        <v>334</v>
      </c>
      <c r="B115" s="754">
        <v>4</v>
      </c>
      <c r="C115" s="755">
        <f t="shared" si="5"/>
        <v>7.8</v>
      </c>
      <c r="D115" s="754">
        <f>ABS(B115-B114)</f>
        <v>3</v>
      </c>
      <c r="E115" s="755">
        <v>16.89</v>
      </c>
      <c r="F115" s="754"/>
    </row>
    <row r="116" spans="1:34" x14ac:dyDescent="0.2">
      <c r="A116" s="753" t="s">
        <v>283</v>
      </c>
      <c r="B116" s="756">
        <v>11</v>
      </c>
      <c r="C116" s="755">
        <f>AVERAGE($B$82:$B$116)</f>
        <v>7.8</v>
      </c>
      <c r="D116" s="754">
        <f>ABS(B116-B115)</f>
        <v>7</v>
      </c>
      <c r="E116" s="755">
        <v>16.89</v>
      </c>
      <c r="F116" s="754"/>
    </row>
    <row r="117" spans="1:34" x14ac:dyDescent="0.2">
      <c r="A117" s="753" t="s">
        <v>335</v>
      </c>
      <c r="B117" s="754"/>
      <c r="C117" s="755"/>
      <c r="D117" s="754"/>
      <c r="E117" s="754"/>
      <c r="F117" s="754"/>
    </row>
    <row r="118" spans="1:34" x14ac:dyDescent="0.2">
      <c r="A118" s="735"/>
      <c r="B118" s="757"/>
      <c r="C118" s="758"/>
      <c r="D118" s="757"/>
      <c r="E118" s="757"/>
      <c r="F118" s="757"/>
    </row>
    <row r="119" spans="1:34" s="430" customFormat="1" ht="15.75" x14ac:dyDescent="0.25">
      <c r="A119" s="759"/>
      <c r="B119" s="760"/>
      <c r="C119" s="761"/>
      <c r="D119" s="761"/>
      <c r="E119" s="429"/>
      <c r="J119" s="762"/>
      <c r="K119" s="762"/>
      <c r="L119" s="762"/>
      <c r="M119" s="762"/>
      <c r="N119" s="762"/>
      <c r="O119" s="762"/>
      <c r="P119" s="762"/>
      <c r="Q119" s="762"/>
      <c r="R119" s="762"/>
      <c r="S119" s="762"/>
      <c r="T119" s="762"/>
      <c r="U119" s="762"/>
      <c r="V119" s="762"/>
      <c r="W119" s="762"/>
      <c r="X119" s="762"/>
      <c r="Y119" s="762"/>
      <c r="Z119" s="762"/>
      <c r="AA119" s="762"/>
      <c r="AB119" s="762"/>
      <c r="AC119" s="762"/>
      <c r="AD119" s="762"/>
      <c r="AE119" s="762"/>
      <c r="AF119" s="762"/>
      <c r="AG119" s="762"/>
      <c r="AH119" s="762"/>
    </row>
    <row r="120" spans="1:34" ht="15.75" x14ac:dyDescent="0.25">
      <c r="A120" s="908" t="s">
        <v>611</v>
      </c>
      <c r="B120" s="909"/>
      <c r="C120" s="909"/>
      <c r="D120" s="909"/>
      <c r="E120" s="909"/>
      <c r="F120" s="906"/>
      <c r="G120" s="906"/>
      <c r="H120" s="906"/>
      <c r="I120" s="161"/>
    </row>
    <row r="121" spans="1:34" ht="15.75" customHeight="1" x14ac:dyDescent="0.25">
      <c r="A121" s="831" t="s">
        <v>612</v>
      </c>
      <c r="B121" s="831"/>
      <c r="C121" s="831"/>
      <c r="D121" s="831"/>
      <c r="E121" s="1019"/>
      <c r="F121" s="161"/>
      <c r="G121" s="161"/>
      <c r="H121" s="161"/>
      <c r="I121" s="161"/>
    </row>
    <row r="122" spans="1:34" x14ac:dyDescent="0.2">
      <c r="A122" s="1019"/>
      <c r="B122" s="1019"/>
      <c r="C122" s="1019"/>
      <c r="D122" s="1019"/>
      <c r="E122" s="1019"/>
    </row>
    <row r="123" spans="1:34" x14ac:dyDescent="0.2">
      <c r="A123" s="1019"/>
      <c r="B123" s="1019"/>
      <c r="C123" s="1019"/>
      <c r="D123" s="1019"/>
      <c r="E123" s="1019"/>
    </row>
    <row r="124" spans="1:34" x14ac:dyDescent="0.2">
      <c r="A124" s="1019"/>
      <c r="B124" s="1019"/>
      <c r="C124" s="1019"/>
      <c r="D124" s="1019"/>
      <c r="E124" s="1019"/>
    </row>
    <row r="125" spans="1:34" x14ac:dyDescent="0.2">
      <c r="A125" s="1019"/>
      <c r="B125" s="1019"/>
      <c r="C125" s="1019"/>
      <c r="D125" s="1019"/>
      <c r="E125" s="1019"/>
    </row>
    <row r="126" spans="1:34" x14ac:dyDescent="0.2">
      <c r="A126" s="1019"/>
      <c r="B126" s="1019"/>
      <c r="C126" s="1019"/>
      <c r="D126" s="1019"/>
      <c r="E126" s="1019"/>
    </row>
    <row r="127" spans="1:34" x14ac:dyDescent="0.2">
      <c r="A127" s="1019"/>
      <c r="B127" s="1019"/>
      <c r="C127" s="1019"/>
      <c r="D127" s="1019"/>
      <c r="E127" s="1019"/>
    </row>
    <row r="128" spans="1:34" x14ac:dyDescent="0.2">
      <c r="A128" s="1019"/>
      <c r="B128" s="1019"/>
      <c r="C128" s="1019"/>
      <c r="D128" s="1019"/>
      <c r="E128" s="1019"/>
    </row>
    <row r="129" spans="1:9" x14ac:dyDescent="0.2">
      <c r="A129" s="1019"/>
      <c r="B129" s="1019"/>
      <c r="C129" s="1019"/>
      <c r="D129" s="1019"/>
      <c r="E129" s="1019"/>
    </row>
    <row r="130" spans="1:9" x14ac:dyDescent="0.2">
      <c r="A130" s="1019"/>
      <c r="B130" s="1019"/>
      <c r="C130" s="1019"/>
      <c r="D130" s="1019"/>
      <c r="E130" s="1019"/>
    </row>
    <row r="131" spans="1:9" x14ac:dyDescent="0.2">
      <c r="A131" s="1019"/>
      <c r="B131" s="1019"/>
      <c r="C131" s="1019"/>
      <c r="D131" s="1019"/>
      <c r="E131" s="1019"/>
    </row>
    <row r="132" spans="1:9" x14ac:dyDescent="0.2">
      <c r="A132" s="1019"/>
      <c r="B132" s="1019"/>
      <c r="C132" s="1019"/>
      <c r="D132" s="1019"/>
      <c r="E132" s="1019"/>
    </row>
    <row r="134" spans="1:9" ht="15.75" x14ac:dyDescent="0.25">
      <c r="A134" s="907" t="s">
        <v>613</v>
      </c>
      <c r="B134" s="1020"/>
      <c r="C134" s="1020"/>
      <c r="D134" s="1020"/>
      <c r="E134" s="1020"/>
      <c r="F134" s="1020"/>
      <c r="G134" s="1020"/>
      <c r="H134" s="1020"/>
    </row>
    <row r="135" spans="1:9" ht="15.75" x14ac:dyDescent="0.25">
      <c r="A135" s="188" t="s">
        <v>110</v>
      </c>
      <c r="B135" s="161"/>
      <c r="C135" s="161"/>
      <c r="D135" s="161"/>
      <c r="E135" s="161"/>
      <c r="F135" s="188" t="s">
        <v>111</v>
      </c>
      <c r="G135" s="161"/>
      <c r="H135" s="161"/>
      <c r="I135" s="504" t="s">
        <v>467</v>
      </c>
    </row>
    <row r="136" spans="1:9" ht="32.450000000000003" customHeight="1" x14ac:dyDescent="0.2">
      <c r="A136" s="1021" t="s">
        <v>614</v>
      </c>
      <c r="B136" s="1021"/>
      <c r="C136" s="1021"/>
      <c r="D136" s="1021"/>
      <c r="F136" s="1022" t="s">
        <v>552</v>
      </c>
      <c r="G136" s="1023"/>
      <c r="I136" s="366" t="s">
        <v>335</v>
      </c>
    </row>
    <row r="138" spans="1:9" x14ac:dyDescent="0.2">
      <c r="A138" s="1018"/>
      <c r="B138" s="1018"/>
      <c r="C138" s="1018"/>
      <c r="D138" s="1018"/>
      <c r="F138" s="1018"/>
      <c r="G138" s="1024"/>
      <c r="I138" s="367"/>
    </row>
    <row r="140" spans="1:9" x14ac:dyDescent="0.2">
      <c r="A140" s="1018"/>
      <c r="B140" s="1018"/>
      <c r="C140" s="1018"/>
      <c r="D140" s="1018"/>
      <c r="F140" s="1018"/>
      <c r="G140" s="1024"/>
      <c r="I140" s="367"/>
    </row>
    <row r="142" spans="1:9" x14ac:dyDescent="0.2">
      <c r="A142" s="1018"/>
      <c r="B142" s="1018"/>
      <c r="C142" s="1018"/>
      <c r="D142" s="1018"/>
      <c r="F142" s="1018"/>
      <c r="G142" s="1024"/>
      <c r="I142" s="367"/>
    </row>
    <row r="144" spans="1:9" x14ac:dyDescent="0.2">
      <c r="A144" s="1025" t="s">
        <v>615</v>
      </c>
      <c r="B144" s="1020"/>
      <c r="C144" s="1020"/>
      <c r="D144" s="1020"/>
      <c r="E144" s="1020"/>
      <c r="F144" s="1020"/>
    </row>
    <row r="145" spans="1:6" x14ac:dyDescent="0.2">
      <c r="A145" s="1020"/>
      <c r="B145" s="1020"/>
      <c r="C145" s="1020"/>
      <c r="D145" s="1020"/>
      <c r="E145" s="1020"/>
      <c r="F145" s="1020"/>
    </row>
    <row r="146" spans="1:6" x14ac:dyDescent="0.2">
      <c r="A146" s="1020"/>
      <c r="B146" s="1020"/>
      <c r="C146" s="1020"/>
      <c r="D146" s="1020"/>
      <c r="E146" s="1020"/>
      <c r="F146" s="1020"/>
    </row>
    <row r="147" spans="1:6" x14ac:dyDescent="0.2">
      <c r="A147" s="1018"/>
      <c r="B147" s="1018"/>
      <c r="C147" s="1018"/>
      <c r="D147" s="1018"/>
      <c r="E147" s="1018"/>
      <c r="F147" s="1018"/>
    </row>
    <row r="148" spans="1:6" x14ac:dyDescent="0.2">
      <c r="A148" s="1018"/>
      <c r="B148" s="1018"/>
      <c r="C148" s="1018"/>
      <c r="D148" s="1018"/>
      <c r="E148" s="1018"/>
      <c r="F148" s="1018"/>
    </row>
    <row r="149" spans="1:6" x14ac:dyDescent="0.2">
      <c r="A149" s="1018"/>
      <c r="B149" s="1018"/>
      <c r="C149" s="1018"/>
      <c r="D149" s="1018"/>
      <c r="E149" s="1018"/>
      <c r="F149" s="1018"/>
    </row>
    <row r="150" spans="1:6" x14ac:dyDescent="0.2">
      <c r="A150" s="1018"/>
      <c r="B150" s="1018"/>
      <c r="C150" s="1018"/>
      <c r="D150" s="1018"/>
      <c r="E150" s="1018"/>
      <c r="F150" s="1018"/>
    </row>
    <row r="151" spans="1:6" x14ac:dyDescent="0.2">
      <c r="A151" s="1018"/>
      <c r="B151" s="1018"/>
      <c r="C151" s="1018"/>
      <c r="D151" s="1018"/>
      <c r="E151" s="1018"/>
      <c r="F151" s="1018"/>
    </row>
    <row r="152" spans="1:6" x14ac:dyDescent="0.2">
      <c r="A152" s="1018"/>
      <c r="B152" s="1018"/>
      <c r="C152" s="1018"/>
      <c r="D152" s="1018"/>
      <c r="E152" s="1018"/>
      <c r="F152" s="1018"/>
    </row>
    <row r="153" spans="1:6" x14ac:dyDescent="0.2">
      <c r="A153" s="1018"/>
      <c r="B153" s="1018"/>
      <c r="C153" s="1018"/>
      <c r="D153" s="1018"/>
      <c r="E153" s="1018"/>
      <c r="F153" s="1018"/>
    </row>
    <row r="154" spans="1:6" x14ac:dyDescent="0.2">
      <c r="A154" s="1018"/>
      <c r="B154" s="1018"/>
      <c r="C154" s="1018"/>
      <c r="D154" s="1018"/>
      <c r="E154" s="1018"/>
      <c r="F154" s="1018"/>
    </row>
    <row r="155" spans="1:6" x14ac:dyDescent="0.2">
      <c r="A155" s="1018"/>
      <c r="B155" s="1018"/>
      <c r="C155" s="1018"/>
      <c r="D155" s="1018"/>
      <c r="E155" s="1018"/>
      <c r="F155" s="1018"/>
    </row>
    <row r="156" spans="1:6" x14ac:dyDescent="0.2">
      <c r="A156" s="1018"/>
      <c r="B156" s="1018"/>
      <c r="C156" s="1018"/>
      <c r="D156" s="1018"/>
      <c r="E156" s="1018"/>
      <c r="F156" s="1018"/>
    </row>
    <row r="157" spans="1:6" x14ac:dyDescent="0.2">
      <c r="A157" s="1018"/>
      <c r="B157" s="1018"/>
      <c r="C157" s="1018"/>
      <c r="D157" s="1018"/>
      <c r="E157" s="1018"/>
      <c r="F157" s="1018"/>
    </row>
    <row r="158" spans="1:6" x14ac:dyDescent="0.2">
      <c r="A158" s="1018"/>
      <c r="B158" s="1018"/>
      <c r="C158" s="1018"/>
      <c r="D158" s="1018"/>
      <c r="E158" s="1018"/>
      <c r="F158" s="1018"/>
    </row>
    <row r="159" spans="1:6" x14ac:dyDescent="0.2">
      <c r="A159" s="1018"/>
      <c r="B159" s="1018"/>
      <c r="C159" s="1018"/>
      <c r="D159" s="1018"/>
      <c r="E159" s="1018"/>
      <c r="F159" s="1018"/>
    </row>
  </sheetData>
  <sheetProtection selectLockedCells="1"/>
  <mergeCells count="18">
    <mergeCell ref="A120:H120"/>
    <mergeCell ref="A1:I1"/>
    <mergeCell ref="A2:G2"/>
    <mergeCell ref="A3:E4"/>
    <mergeCell ref="D7:I18"/>
    <mergeCell ref="A80:C80"/>
    <mergeCell ref="A147:F159"/>
    <mergeCell ref="A121:E132"/>
    <mergeCell ref="A134:H134"/>
    <mergeCell ref="A136:D136"/>
    <mergeCell ref="F136:G136"/>
    <mergeCell ref="A138:D138"/>
    <mergeCell ref="F138:G138"/>
    <mergeCell ref="A140:D140"/>
    <mergeCell ref="F140:G140"/>
    <mergeCell ref="A142:D142"/>
    <mergeCell ref="F142:G142"/>
    <mergeCell ref="A144:F146"/>
  </mergeCells>
  <conditionalFormatting sqref="A72:A77">
    <cfRule type="containsText" dxfId="23" priority="19" operator="containsText" text="RED">
      <formula>NOT(ISERROR(SEARCH("RED",A72)))</formula>
    </cfRule>
    <cfRule type="containsText" dxfId="22" priority="20" operator="containsText" text="AMBER">
      <formula>NOT(ISERROR(SEARCH("AMBER",A72)))</formula>
    </cfRule>
    <cfRule type="containsText" dxfId="21" priority="21" operator="containsText" text="GREEN">
      <formula>NOT(ISERROR(SEARCH("GREEN",A72)))</formula>
    </cfRule>
  </conditionalFormatting>
  <conditionalFormatting sqref="D72:D77">
    <cfRule type="containsText" dxfId="20" priority="16" operator="containsText" text="RED">
      <formula>NOT(ISERROR(SEARCH("RED",D72)))</formula>
    </cfRule>
    <cfRule type="containsText" dxfId="19" priority="17" operator="containsText" text="AMBER">
      <formula>NOT(ISERROR(SEARCH("AMBER",D72)))</formula>
    </cfRule>
    <cfRule type="containsText" dxfId="18" priority="18" operator="containsText" text="GREEN">
      <formula>NOT(ISERROR(SEARCH("GREEN",D72)))</formula>
    </cfRule>
  </conditionalFormatting>
  <conditionalFormatting sqref="B72:C73">
    <cfRule type="containsText" dxfId="17" priority="13" operator="containsText" text="RED">
      <formula>NOT(ISERROR(SEARCH("RED",B72)))</formula>
    </cfRule>
    <cfRule type="containsText" dxfId="16" priority="14" operator="containsText" text="AMBER">
      <formula>NOT(ISERROR(SEARCH("AMBER",B72)))</formula>
    </cfRule>
    <cfRule type="containsText" dxfId="15" priority="15" operator="containsText" text="GREEN">
      <formula>NOT(ISERROR(SEARCH("GREEN",B72)))</formula>
    </cfRule>
  </conditionalFormatting>
  <conditionalFormatting sqref="B72:C74">
    <cfRule type="containsText" dxfId="14" priority="10" operator="containsText" text="RED">
      <formula>NOT(ISERROR(SEARCH("RED",B72)))</formula>
    </cfRule>
    <cfRule type="containsText" dxfId="13" priority="11" operator="containsText" text="AMBER">
      <formula>NOT(ISERROR(SEARCH("AMBER",B72)))</formula>
    </cfRule>
    <cfRule type="containsText" dxfId="12" priority="12" operator="containsText" text="GREEN">
      <formula>NOT(ISERROR(SEARCH("GREEN",B72)))</formula>
    </cfRule>
  </conditionalFormatting>
  <conditionalFormatting sqref="B74:C74">
    <cfRule type="containsText" dxfId="11" priority="7" operator="containsText" text="RED">
      <formula>NOT(ISERROR(SEARCH("RED",B74)))</formula>
    </cfRule>
    <cfRule type="containsText" dxfId="10" priority="8" operator="containsText" text="AMBER">
      <formula>NOT(ISERROR(SEARCH("AMBER",B74)))</formula>
    </cfRule>
    <cfRule type="containsText" dxfId="9" priority="9" operator="containsText" text="GREEN">
      <formula>NOT(ISERROR(SEARCH("GREEN",B74)))</formula>
    </cfRule>
  </conditionalFormatting>
  <conditionalFormatting sqref="B75:C77">
    <cfRule type="containsText" dxfId="8" priority="4" operator="containsText" text="RED">
      <formula>NOT(ISERROR(SEARCH("RED",B75)))</formula>
    </cfRule>
    <cfRule type="containsText" dxfId="7" priority="5" operator="containsText" text="AMBER">
      <formula>NOT(ISERROR(SEARCH("AMBER",B75)))</formula>
    </cfRule>
    <cfRule type="containsText" dxfId="6" priority="6" operator="containsText" text="GREEN">
      <formula>NOT(ISERROR(SEARCH("GREEN",B75)))</formula>
    </cfRule>
  </conditionalFormatting>
  <conditionalFormatting sqref="B75:C77">
    <cfRule type="containsText" dxfId="5" priority="1" operator="containsText" text="RED">
      <formula>NOT(ISERROR(SEARCH("RED",B75)))</formula>
    </cfRule>
    <cfRule type="containsText" dxfId="4" priority="2" operator="containsText" text="AMBER">
      <formula>NOT(ISERROR(SEARCH("AMBER",B75)))</formula>
    </cfRule>
    <cfRule type="containsText" dxfId="3" priority="3" operator="containsText" text="GREEN">
      <formula>NOT(ISERROR(SEARCH("GREEN",B75)))</formula>
    </cfRule>
  </conditionalFormatting>
  <dataValidations count="5">
    <dataValidation allowBlank="1" showInputMessage="1" showErrorMessage="1" prompt="This quarter only" sqref="B102:B119"/>
    <dataValidation allowBlank="1" showErrorMessage="1" prompt="Where has this saving been made? Please keep your input very brief." sqref="A82:A119"/>
    <dataValidation allowBlank="1" showErrorMessage="1" prompt="This quarter only" sqref="B82:B101"/>
    <dataValidation errorStyle="information" allowBlank="1" showInputMessage="1" showErrorMessage="1" error="Please choose from the list provided" prompt="Please use the drop down list" sqref="B18"/>
    <dataValidation errorStyle="information" allowBlank="1" showInputMessage="1" showErrorMessage="1" error="Please choose from the list provided" prompt="Please use the drop down list" sqref="B13"/>
  </dataValidation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83"/>
  <sheetViews>
    <sheetView showGridLines="0" topLeftCell="A4" zoomScaleNormal="100" workbookViewId="0">
      <selection activeCell="B18" sqref="B18"/>
    </sheetView>
  </sheetViews>
  <sheetFormatPr defaultColWidth="12.6640625" defaultRowHeight="15" x14ac:dyDescent="0.2"/>
  <cols>
    <col min="4" max="4" width="7.77734375" customWidth="1"/>
    <col min="5" max="5" width="6.5546875" customWidth="1"/>
    <col min="7" max="7" width="12.21875" customWidth="1"/>
    <col min="8" max="8" width="9.77734375" customWidth="1"/>
  </cols>
  <sheetData>
    <row r="1" spans="1:10" ht="18.75" x14ac:dyDescent="0.3">
      <c r="A1" s="914" t="s">
        <v>558</v>
      </c>
      <c r="B1" s="915"/>
      <c r="C1" s="915"/>
      <c r="D1" s="915"/>
      <c r="E1" s="915"/>
      <c r="F1" s="915"/>
      <c r="G1" s="906"/>
      <c r="H1" s="906"/>
      <c r="I1" s="906"/>
    </row>
    <row r="2" spans="1:10" ht="15.75" x14ac:dyDescent="0.25">
      <c r="A2" s="916" t="s">
        <v>559</v>
      </c>
      <c r="B2" s="917"/>
      <c r="C2" s="917"/>
      <c r="D2" s="917"/>
      <c r="E2" s="917"/>
      <c r="F2" s="917"/>
      <c r="G2" s="917"/>
      <c r="H2" s="161"/>
      <c r="I2" s="161"/>
    </row>
    <row r="3" spans="1:10" x14ac:dyDescent="0.2">
      <c r="A3" s="1026" t="s">
        <v>560</v>
      </c>
      <c r="B3" s="906"/>
      <c r="C3" s="906"/>
      <c r="D3" s="906"/>
      <c r="E3" s="906"/>
      <c r="F3" s="151"/>
      <c r="G3" s="151"/>
      <c r="H3" s="151"/>
      <c r="I3" s="151"/>
      <c r="J3" s="151"/>
    </row>
    <row r="4" spans="1:10" x14ac:dyDescent="0.2">
      <c r="A4" s="906"/>
      <c r="B4" s="906"/>
      <c r="C4" s="906"/>
      <c r="D4" s="906"/>
      <c r="E4" s="906"/>
      <c r="F4" s="151"/>
      <c r="G4" s="151"/>
      <c r="H4" s="151"/>
      <c r="I4" s="151"/>
      <c r="J4" s="151"/>
    </row>
    <row r="5" spans="1:10" ht="15.75" x14ac:dyDescent="0.25">
      <c r="A5" s="162"/>
      <c r="B5" s="162"/>
      <c r="C5" s="161"/>
      <c r="D5" s="161"/>
      <c r="E5" s="161"/>
      <c r="F5" s="161"/>
      <c r="G5" s="161"/>
      <c r="H5" s="161"/>
      <c r="I5" s="161"/>
    </row>
    <row r="6" spans="1:10" ht="25.5" x14ac:dyDescent="0.25">
      <c r="A6" s="163" t="s">
        <v>63</v>
      </c>
      <c r="B6" s="164">
        <v>10000000000</v>
      </c>
      <c r="C6" s="161"/>
      <c r="D6" s="165" t="s">
        <v>64</v>
      </c>
      <c r="E6" s="166"/>
      <c r="F6" s="167"/>
      <c r="G6" s="167"/>
      <c r="H6" s="167"/>
      <c r="I6" s="167"/>
    </row>
    <row r="7" spans="1:10" ht="15.75" x14ac:dyDescent="0.25">
      <c r="A7" s="168" t="s">
        <v>65</v>
      </c>
      <c r="B7" s="169">
        <v>1</v>
      </c>
      <c r="C7" s="161"/>
      <c r="D7" s="919" t="s">
        <v>66</v>
      </c>
      <c r="E7" s="920"/>
      <c r="F7" s="920"/>
      <c r="G7" s="920"/>
      <c r="H7" s="920"/>
      <c r="I7" s="921"/>
    </row>
    <row r="8" spans="1:10" ht="15.75" x14ac:dyDescent="0.25">
      <c r="A8" s="170" t="s">
        <v>67</v>
      </c>
      <c r="B8" s="171">
        <v>1</v>
      </c>
      <c r="C8" s="161"/>
      <c r="D8" s="920"/>
      <c r="E8" s="920"/>
      <c r="F8" s="920"/>
      <c r="G8" s="920"/>
      <c r="H8" s="920"/>
      <c r="I8" s="921"/>
    </row>
    <row r="9" spans="1:10" ht="15.75" x14ac:dyDescent="0.25">
      <c r="A9" s="170" t="s">
        <v>68</v>
      </c>
      <c r="B9" s="171">
        <v>0.9</v>
      </c>
      <c r="C9" s="161"/>
      <c r="D9" s="920"/>
      <c r="E9" s="920"/>
      <c r="F9" s="920"/>
      <c r="G9" s="920"/>
      <c r="H9" s="920"/>
      <c r="I9" s="921"/>
    </row>
    <row r="10" spans="1:10" ht="15.75" x14ac:dyDescent="0.25">
      <c r="A10" s="172" t="s">
        <v>69</v>
      </c>
      <c r="B10" s="173">
        <v>0.9</v>
      </c>
      <c r="C10" s="161"/>
      <c r="D10" s="920"/>
      <c r="E10" s="920"/>
      <c r="F10" s="920"/>
      <c r="G10" s="920"/>
      <c r="H10" s="920"/>
      <c r="I10" s="921"/>
    </row>
    <row r="11" spans="1:10" ht="15.75" x14ac:dyDescent="0.25">
      <c r="A11" s="174" t="s">
        <v>70</v>
      </c>
      <c r="B11" s="175">
        <v>0</v>
      </c>
      <c r="C11" s="161"/>
      <c r="D11" s="922"/>
      <c r="E11" s="922"/>
      <c r="F11" s="922"/>
      <c r="G11" s="922"/>
      <c r="H11" s="922"/>
      <c r="I11" s="921"/>
    </row>
    <row r="12" spans="1:10" ht="15.75" x14ac:dyDescent="0.25">
      <c r="A12" s="162"/>
      <c r="B12" s="162"/>
      <c r="C12" s="161"/>
      <c r="D12" s="922"/>
      <c r="E12" s="922"/>
      <c r="F12" s="922"/>
      <c r="G12" s="922"/>
      <c r="H12" s="922"/>
      <c r="I12" s="921"/>
    </row>
    <row r="13" spans="1:10" ht="15.75" x14ac:dyDescent="0.25">
      <c r="A13" s="176" t="s">
        <v>71</v>
      </c>
      <c r="B13" s="306" t="s">
        <v>283</v>
      </c>
      <c r="C13" s="161"/>
      <c r="D13" s="922"/>
      <c r="E13" s="922"/>
      <c r="F13" s="922"/>
      <c r="G13" s="922"/>
      <c r="H13" s="922"/>
      <c r="I13" s="921"/>
    </row>
    <row r="14" spans="1:10" ht="15.75" x14ac:dyDescent="0.25">
      <c r="A14" s="178" t="s">
        <v>73</v>
      </c>
      <c r="B14" s="692">
        <f>VLOOKUP(B13,A23:E30,2,FALSE)</f>
        <v>3.8399999999999997E-2</v>
      </c>
      <c r="C14" s="161"/>
      <c r="D14" s="922"/>
      <c r="E14" s="922"/>
      <c r="F14" s="922"/>
      <c r="G14" s="922"/>
      <c r="H14" s="922"/>
      <c r="I14" s="921"/>
    </row>
    <row r="15" spans="1:10" ht="15.75" x14ac:dyDescent="0.25">
      <c r="A15" s="178" t="s">
        <v>74</v>
      </c>
      <c r="B15" s="692">
        <f>VLOOKUP(B13,A23:E30,3,FALSE)</f>
        <v>0.14000000000000001</v>
      </c>
      <c r="C15" s="161"/>
      <c r="D15" s="922"/>
      <c r="E15" s="922"/>
      <c r="F15" s="922"/>
      <c r="G15" s="922"/>
      <c r="H15" s="922"/>
      <c r="I15" s="921"/>
    </row>
    <row r="16" spans="1:10" ht="15.75" x14ac:dyDescent="0.25">
      <c r="A16" s="178" t="s">
        <v>75</v>
      </c>
      <c r="B16" s="181" t="str">
        <f>VLOOKUP(B13,A23:E30,5,FALSE)</f>
        <v>Red</v>
      </c>
      <c r="C16" s="161"/>
      <c r="D16" s="922"/>
      <c r="E16" s="922"/>
      <c r="F16" s="922"/>
      <c r="G16" s="922"/>
      <c r="H16" s="922"/>
      <c r="I16" s="921"/>
    </row>
    <row r="17" spans="1:9" ht="15.75" x14ac:dyDescent="0.25">
      <c r="A17" s="162"/>
      <c r="B17" s="182"/>
      <c r="C17" s="161"/>
      <c r="D17" s="922"/>
      <c r="E17" s="922"/>
      <c r="F17" s="922"/>
      <c r="G17" s="922"/>
      <c r="H17" s="922"/>
      <c r="I17" s="921"/>
    </row>
    <row r="18" spans="1:9" ht="15.75" x14ac:dyDescent="0.25">
      <c r="A18" s="183" t="s">
        <v>122</v>
      </c>
      <c r="B18" s="184" t="s">
        <v>36</v>
      </c>
      <c r="C18" s="161"/>
      <c r="D18" s="922"/>
      <c r="E18" s="922"/>
      <c r="F18" s="922"/>
      <c r="G18" s="922"/>
      <c r="H18" s="922"/>
      <c r="I18" s="921"/>
    </row>
    <row r="19" spans="1:9" ht="15.75" x14ac:dyDescent="0.25">
      <c r="B19" s="162"/>
      <c r="C19" s="161"/>
      <c r="D19" s="161"/>
      <c r="E19" s="161"/>
      <c r="F19" s="161"/>
      <c r="G19" s="161"/>
      <c r="H19" s="161"/>
      <c r="I19" s="161"/>
    </row>
    <row r="20" spans="1:9" ht="15.75" x14ac:dyDescent="0.25">
      <c r="A20" s="162"/>
      <c r="B20" s="162"/>
      <c r="C20" s="161"/>
      <c r="D20" s="599"/>
      <c r="E20" s="161"/>
      <c r="F20" s="161"/>
      <c r="G20" s="161"/>
      <c r="H20" s="161"/>
      <c r="I20" s="161"/>
    </row>
    <row r="21" spans="1:9" ht="15.75" x14ac:dyDescent="0.25">
      <c r="A21" s="188" t="s">
        <v>79</v>
      </c>
      <c r="B21" s="188"/>
      <c r="C21" s="162"/>
      <c r="D21" s="162"/>
      <c r="E21" s="162"/>
      <c r="F21" s="162"/>
      <c r="G21" s="162"/>
      <c r="H21" s="162"/>
      <c r="I21" s="161"/>
    </row>
    <row r="22" spans="1:9" x14ac:dyDescent="0.2">
      <c r="A22" s="192" t="s">
        <v>82</v>
      </c>
      <c r="B22" s="600" t="s">
        <v>73</v>
      </c>
      <c r="C22" s="193" t="s">
        <v>74</v>
      </c>
      <c r="D22" s="193" t="s">
        <v>84</v>
      </c>
      <c r="E22" s="194" t="s">
        <v>75</v>
      </c>
      <c r="F22" s="693" t="s">
        <v>101</v>
      </c>
      <c r="G22" s="694"/>
    </row>
    <row r="23" spans="1:9" x14ac:dyDescent="0.2">
      <c r="A23" s="200" t="s">
        <v>329</v>
      </c>
      <c r="B23" s="695">
        <v>3.5999999999999997E-2</v>
      </c>
      <c r="C23" s="196">
        <v>0.14000000000000001</v>
      </c>
      <c r="D23" s="196">
        <f>IF(B23="","",B23/C23)</f>
        <v>0.25714285714285712</v>
      </c>
      <c r="E23" s="181" t="str">
        <f>IF(D23="","",IF(D23&gt;=$B$7,"Green",IF(D23&gt;=$B$9, "Amber",IF(D23&gt;=$B$11,"Red"))))</f>
        <v>Red</v>
      </c>
      <c r="F23" s="181">
        <v>370</v>
      </c>
    </row>
    <row r="24" spans="1:9" x14ac:dyDescent="0.2">
      <c r="A24" s="200" t="s">
        <v>330</v>
      </c>
      <c r="B24" s="696">
        <v>3.7199999999999997E-2</v>
      </c>
      <c r="C24" s="196">
        <v>0.14000000000000001</v>
      </c>
      <c r="D24" s="196">
        <f>IF(B24="","",B24/C24)</f>
        <v>0.26571428571428568</v>
      </c>
      <c r="E24" s="181" t="str">
        <f t="shared" ref="E24:E30" si="0">IF(D24="","",IF(D24&gt;=$B$7,"Green",IF(D24&gt;=$B$9, "Amber",IF(D24&gt;=$B$11,"Red"))))</f>
        <v>Red</v>
      </c>
      <c r="F24" s="181">
        <v>383</v>
      </c>
    </row>
    <row r="25" spans="1:9" x14ac:dyDescent="0.2">
      <c r="A25" s="200" t="s">
        <v>331</v>
      </c>
      <c r="B25" s="696">
        <v>3.6722999999999999E-2</v>
      </c>
      <c r="C25" s="196">
        <v>0.14000000000000001</v>
      </c>
      <c r="D25" s="196">
        <f>IF(B25="","",B25/C25)</f>
        <v>0.26230714285714285</v>
      </c>
      <c r="E25" s="181" t="str">
        <f t="shared" si="0"/>
        <v>Red</v>
      </c>
      <c r="F25" s="181">
        <v>381</v>
      </c>
    </row>
    <row r="26" spans="1:9" x14ac:dyDescent="0.2">
      <c r="A26" s="200" t="s">
        <v>332</v>
      </c>
      <c r="B26" s="696">
        <v>3.8379000000000003E-2</v>
      </c>
      <c r="C26" s="196">
        <v>0.14000000000000001</v>
      </c>
      <c r="D26" s="196">
        <f>IF(B26="","",B26/C26)</f>
        <v>0.27413571428571426</v>
      </c>
      <c r="E26" s="181" t="str">
        <f t="shared" si="0"/>
        <v>Red</v>
      </c>
      <c r="F26" s="181">
        <v>411</v>
      </c>
    </row>
    <row r="27" spans="1:9" x14ac:dyDescent="0.2">
      <c r="A27" s="200" t="s">
        <v>333</v>
      </c>
      <c r="B27" s="696">
        <v>3.9597500000000001E-2</v>
      </c>
      <c r="C27" s="196">
        <v>0.14000000000000001</v>
      </c>
      <c r="D27" s="196">
        <f t="shared" ref="D27:D30" si="1">IF(B27="","",B27/C27)</f>
        <v>0.28283928571428568</v>
      </c>
      <c r="E27" s="181" t="str">
        <f t="shared" si="0"/>
        <v>Red</v>
      </c>
      <c r="F27" s="181">
        <v>425</v>
      </c>
    </row>
    <row r="28" spans="1:9" x14ac:dyDescent="0.2">
      <c r="A28" s="200" t="s">
        <v>334</v>
      </c>
      <c r="B28" s="696">
        <v>0.04</v>
      </c>
      <c r="C28" s="196">
        <v>0.14000000000000001</v>
      </c>
      <c r="D28" s="196">
        <f t="shared" si="1"/>
        <v>0.2857142857142857</v>
      </c>
      <c r="E28" s="181" t="str">
        <f t="shared" si="0"/>
        <v>Red</v>
      </c>
      <c r="F28" s="181">
        <v>433</v>
      </c>
    </row>
    <row r="29" spans="1:9" x14ac:dyDescent="0.2">
      <c r="A29" s="200" t="s">
        <v>283</v>
      </c>
      <c r="B29" s="697">
        <v>3.8399999999999997E-2</v>
      </c>
      <c r="C29" s="196">
        <v>0.14000000000000001</v>
      </c>
      <c r="D29" s="196">
        <f t="shared" si="1"/>
        <v>0.27428571428571424</v>
      </c>
      <c r="E29" s="181" t="str">
        <f t="shared" si="0"/>
        <v>Red</v>
      </c>
      <c r="F29" s="698">
        <v>381</v>
      </c>
    </row>
    <row r="30" spans="1:9" x14ac:dyDescent="0.2">
      <c r="A30" s="200" t="s">
        <v>335</v>
      </c>
      <c r="B30" s="696"/>
      <c r="C30" s="196">
        <v>0.14000000000000001</v>
      </c>
      <c r="D30" s="196" t="str">
        <f t="shared" si="1"/>
        <v/>
      </c>
      <c r="E30" s="181" t="str">
        <f t="shared" si="0"/>
        <v/>
      </c>
      <c r="F30" s="181"/>
    </row>
    <row r="31" spans="1:9" ht="15.75" x14ac:dyDescent="0.25">
      <c r="A31" s="161"/>
      <c r="B31" s="161"/>
      <c r="C31" s="161"/>
      <c r="D31" s="161"/>
      <c r="E31" s="161"/>
      <c r="F31" s="161"/>
      <c r="G31" s="161"/>
      <c r="H31" s="161"/>
      <c r="I31" s="161"/>
    </row>
    <row r="32" spans="1:9" ht="15.75" x14ac:dyDescent="0.25">
      <c r="A32" s="161"/>
      <c r="B32" s="161"/>
      <c r="C32" s="161"/>
      <c r="D32" s="161"/>
      <c r="E32" s="161"/>
      <c r="F32" s="161"/>
      <c r="G32" s="161"/>
      <c r="H32" s="161"/>
      <c r="I32" s="161"/>
    </row>
    <row r="33" spans="1:9" ht="15.75" x14ac:dyDescent="0.25">
      <c r="A33" s="699" t="s">
        <v>561</v>
      </c>
      <c r="B33" s="151"/>
      <c r="C33" s="151"/>
      <c r="D33" s="161"/>
      <c r="E33" s="161"/>
      <c r="F33" s="161"/>
      <c r="G33" s="161"/>
      <c r="H33" s="161"/>
      <c r="I33" s="161"/>
    </row>
    <row r="34" spans="1:9" ht="15.75" x14ac:dyDescent="0.25">
      <c r="A34" s="513" t="s">
        <v>562</v>
      </c>
      <c r="B34" s="700" t="s">
        <v>563</v>
      </c>
      <c r="C34" s="701"/>
      <c r="D34" s="161"/>
      <c r="E34" s="161"/>
      <c r="F34" s="161"/>
      <c r="G34" s="161"/>
      <c r="H34" s="161"/>
      <c r="I34" s="161"/>
    </row>
    <row r="35" spans="1:9" ht="15.75" x14ac:dyDescent="0.25">
      <c r="A35" s="702" t="s">
        <v>329</v>
      </c>
      <c r="B35" s="703">
        <f>5/133</f>
        <v>3.7593984962406013E-2</v>
      </c>
      <c r="C35" s="424"/>
      <c r="E35" s="161"/>
      <c r="F35" s="161"/>
      <c r="G35" s="161"/>
      <c r="H35" s="161"/>
      <c r="I35" s="161"/>
    </row>
    <row r="36" spans="1:9" ht="15.75" x14ac:dyDescent="0.25">
      <c r="A36" s="702" t="s">
        <v>330</v>
      </c>
      <c r="B36" s="704">
        <f>18/222</f>
        <v>8.1081081081081086E-2</v>
      </c>
      <c r="C36" s="424"/>
      <c r="E36" s="161"/>
      <c r="F36" s="161"/>
      <c r="G36" s="161"/>
      <c r="H36" s="161"/>
      <c r="I36" s="161"/>
    </row>
    <row r="37" spans="1:9" ht="15.75" x14ac:dyDescent="0.25">
      <c r="A37" s="702" t="s">
        <v>331</v>
      </c>
      <c r="B37" s="704">
        <v>4.4499999999999998E-2</v>
      </c>
      <c r="C37" s="424"/>
      <c r="E37" s="161"/>
      <c r="F37" s="161"/>
      <c r="G37" s="161"/>
      <c r="H37" s="161"/>
      <c r="I37" s="161"/>
    </row>
    <row r="38" spans="1:9" ht="15.75" x14ac:dyDescent="0.25">
      <c r="A38" s="702" t="s">
        <v>332</v>
      </c>
      <c r="B38" s="704">
        <v>5.5927999999999999E-2</v>
      </c>
      <c r="C38" s="424"/>
      <c r="E38" s="161"/>
      <c r="F38" s="161"/>
      <c r="G38" s="161"/>
      <c r="H38" s="161"/>
      <c r="I38" s="161"/>
    </row>
    <row r="39" spans="1:9" ht="15.75" x14ac:dyDescent="0.25">
      <c r="A39" s="705" t="s">
        <v>333</v>
      </c>
      <c r="B39" s="704">
        <v>9.5238000000000003E-2</v>
      </c>
      <c r="C39" s="424"/>
      <c r="E39" s="161"/>
      <c r="F39" s="161"/>
      <c r="G39" s="161"/>
      <c r="H39" s="161"/>
      <c r="I39" s="161"/>
    </row>
    <row r="40" spans="1:9" ht="15.75" x14ac:dyDescent="0.25">
      <c r="A40" s="705" t="s">
        <v>334</v>
      </c>
      <c r="B40" s="704">
        <v>8.2000000000000003E-2</v>
      </c>
      <c r="C40" s="424"/>
      <c r="E40" s="161"/>
      <c r="F40" s="161"/>
      <c r="G40" s="161"/>
      <c r="H40" s="161"/>
      <c r="I40" s="161"/>
    </row>
    <row r="41" spans="1:9" ht="15.75" x14ac:dyDescent="0.25">
      <c r="A41" s="705" t="s">
        <v>283</v>
      </c>
      <c r="B41" s="706">
        <v>5.8999999999999997E-2</v>
      </c>
      <c r="C41" s="707"/>
      <c r="E41" s="161"/>
      <c r="F41" s="161"/>
      <c r="G41" s="161"/>
      <c r="H41" s="161"/>
      <c r="I41" s="161"/>
    </row>
    <row r="42" spans="1:9" ht="15.75" x14ac:dyDescent="0.25">
      <c r="A42" s="705" t="s">
        <v>335</v>
      </c>
      <c r="B42" s="704"/>
      <c r="C42" s="424"/>
      <c r="E42" s="161"/>
      <c r="F42" s="161"/>
      <c r="G42" s="161"/>
      <c r="H42" s="161"/>
      <c r="I42" s="161"/>
    </row>
    <row r="43" spans="1:9" ht="15.75" x14ac:dyDescent="0.25">
      <c r="E43" s="161"/>
      <c r="F43" s="161"/>
      <c r="G43" s="161"/>
      <c r="H43" s="161"/>
      <c r="I43" s="161"/>
    </row>
    <row r="44" spans="1:9" ht="15.75" x14ac:dyDescent="0.25">
      <c r="A44" s="908" t="s">
        <v>497</v>
      </c>
      <c r="B44" s="908"/>
      <c r="C44" s="908"/>
      <c r="D44" s="908"/>
      <c r="E44" s="908"/>
      <c r="F44" s="908"/>
      <c r="G44" s="908"/>
      <c r="H44" s="908"/>
      <c r="I44" s="161"/>
    </row>
    <row r="45" spans="1:9" ht="15.75" x14ac:dyDescent="0.25">
      <c r="A45" s="1028" t="s">
        <v>564</v>
      </c>
      <c r="B45" s="1028"/>
      <c r="C45" s="1028"/>
      <c r="D45" s="1028"/>
      <c r="E45" s="1028"/>
      <c r="F45" s="161"/>
      <c r="G45" s="161"/>
      <c r="H45" s="161"/>
      <c r="I45" s="161"/>
    </row>
    <row r="46" spans="1:9" x14ac:dyDescent="0.2">
      <c r="A46" s="1028"/>
      <c r="B46" s="1028"/>
      <c r="C46" s="1028"/>
      <c r="D46" s="1028"/>
      <c r="E46" s="1028"/>
    </row>
    <row r="47" spans="1:9" x14ac:dyDescent="0.2">
      <c r="A47" s="1028"/>
      <c r="B47" s="1028"/>
      <c r="C47" s="1028"/>
      <c r="D47" s="1028"/>
      <c r="E47" s="1028"/>
    </row>
    <row r="48" spans="1:9" x14ac:dyDescent="0.2">
      <c r="A48" s="1028"/>
      <c r="B48" s="1028"/>
      <c r="C48" s="1028"/>
      <c r="D48" s="1028"/>
      <c r="E48" s="1028"/>
    </row>
    <row r="49" spans="1:9" x14ac:dyDescent="0.2">
      <c r="A49" s="1028"/>
      <c r="B49" s="1028"/>
      <c r="C49" s="1028"/>
      <c r="D49" s="1028"/>
      <c r="E49" s="1028"/>
    </row>
    <row r="50" spans="1:9" x14ac:dyDescent="0.2">
      <c r="A50" s="1028"/>
      <c r="B50" s="1028"/>
      <c r="C50" s="1028"/>
      <c r="D50" s="1028"/>
      <c r="E50" s="1028"/>
    </row>
    <row r="51" spans="1:9" x14ac:dyDescent="0.2">
      <c r="A51" s="1028"/>
      <c r="B51" s="1028"/>
      <c r="C51" s="1028"/>
      <c r="D51" s="1028"/>
      <c r="E51" s="1028"/>
    </row>
    <row r="52" spans="1:9" x14ac:dyDescent="0.2">
      <c r="A52" s="1028"/>
      <c r="B52" s="1028"/>
      <c r="C52" s="1028"/>
      <c r="D52" s="1028"/>
      <c r="E52" s="1028"/>
    </row>
    <row r="53" spans="1:9" x14ac:dyDescent="0.2">
      <c r="A53" s="1028"/>
      <c r="B53" s="1028"/>
      <c r="C53" s="1028"/>
      <c r="D53" s="1028"/>
      <c r="E53" s="1028"/>
    </row>
    <row r="54" spans="1:9" x14ac:dyDescent="0.2">
      <c r="A54" s="1028"/>
      <c r="B54" s="1028"/>
      <c r="C54" s="1028"/>
      <c r="D54" s="1028"/>
      <c r="E54" s="1028"/>
    </row>
    <row r="55" spans="1:9" x14ac:dyDescent="0.2">
      <c r="A55" s="1028"/>
      <c r="B55" s="1028"/>
      <c r="C55" s="1028"/>
      <c r="D55" s="1028"/>
      <c r="E55" s="1028"/>
    </row>
    <row r="56" spans="1:9" x14ac:dyDescent="0.2">
      <c r="A56" s="1028"/>
      <c r="B56" s="1028"/>
      <c r="C56" s="1028"/>
      <c r="D56" s="1028"/>
      <c r="E56" s="1028"/>
    </row>
    <row r="58" spans="1:9" ht="15.75" x14ac:dyDescent="0.25">
      <c r="A58" s="912" t="s">
        <v>504</v>
      </c>
      <c r="B58" s="912"/>
      <c r="C58" s="912"/>
      <c r="D58" s="912"/>
      <c r="E58" s="912"/>
      <c r="F58" s="912"/>
      <c r="G58" s="912"/>
      <c r="H58" s="912"/>
    </row>
    <row r="59" spans="1:9" x14ac:dyDescent="0.2">
      <c r="A59" s="211" t="s">
        <v>110</v>
      </c>
      <c r="F59" s="211" t="s">
        <v>111</v>
      </c>
      <c r="I59" s="211" t="s">
        <v>467</v>
      </c>
    </row>
    <row r="60" spans="1:9" ht="27.6" customHeight="1" x14ac:dyDescent="0.2">
      <c r="A60" s="1018" t="s">
        <v>565</v>
      </c>
      <c r="B60" s="1018"/>
      <c r="C60" s="1018"/>
      <c r="D60" s="1018"/>
      <c r="F60" s="1018" t="s">
        <v>566</v>
      </c>
      <c r="G60" s="1018"/>
      <c r="H60" s="1018"/>
      <c r="I60" s="367" t="s">
        <v>567</v>
      </c>
    </row>
    <row r="62" spans="1:9" ht="27.6" customHeight="1" x14ac:dyDescent="0.2">
      <c r="A62" s="1018" t="s">
        <v>568</v>
      </c>
      <c r="B62" s="1018"/>
      <c r="C62" s="1018"/>
      <c r="D62" s="1018"/>
      <c r="F62" s="830" t="s">
        <v>569</v>
      </c>
      <c r="G62" s="1027"/>
      <c r="I62" s="367" t="s">
        <v>567</v>
      </c>
    </row>
    <row r="64" spans="1:9" ht="29.45" customHeight="1" x14ac:dyDescent="0.2">
      <c r="A64" s="1018" t="s">
        <v>570</v>
      </c>
      <c r="B64" s="1018"/>
      <c r="C64" s="1018"/>
      <c r="D64" s="1018"/>
      <c r="F64" s="830" t="s">
        <v>571</v>
      </c>
      <c r="G64" s="1027"/>
      <c r="I64" s="367" t="s">
        <v>567</v>
      </c>
    </row>
    <row r="66" spans="1:9" x14ac:dyDescent="0.2">
      <c r="A66" s="1018"/>
      <c r="B66" s="1018"/>
      <c r="C66" s="1018"/>
      <c r="D66" s="1018"/>
      <c r="F66" s="1018"/>
      <c r="G66" s="1024"/>
      <c r="I66" s="378"/>
    </row>
    <row r="68" spans="1:9" ht="15" customHeight="1" x14ac:dyDescent="0.2">
      <c r="A68" s="905" t="s">
        <v>113</v>
      </c>
      <c r="B68" s="905"/>
      <c r="C68" s="905"/>
      <c r="D68" s="905"/>
      <c r="E68" s="905"/>
      <c r="F68" s="905"/>
    </row>
    <row r="69" spans="1:9" x14ac:dyDescent="0.2">
      <c r="A69" s="905"/>
      <c r="B69" s="905"/>
      <c r="C69" s="905"/>
      <c r="D69" s="905"/>
      <c r="E69" s="905"/>
      <c r="F69" s="905"/>
    </row>
    <row r="70" spans="1:9" x14ac:dyDescent="0.2">
      <c r="A70" s="905"/>
      <c r="B70" s="905"/>
      <c r="C70" s="905"/>
      <c r="D70" s="905"/>
      <c r="E70" s="905"/>
      <c r="F70" s="905"/>
    </row>
    <row r="71" spans="1:9" ht="15" customHeight="1" x14ac:dyDescent="0.2">
      <c r="A71" s="1018"/>
      <c r="B71" s="1018"/>
      <c r="C71" s="1018"/>
      <c r="D71" s="1018"/>
      <c r="E71" s="1018"/>
      <c r="F71" s="1018"/>
    </row>
    <row r="72" spans="1:9" ht="15" customHeight="1" x14ac:dyDescent="0.2">
      <c r="A72" s="1018"/>
      <c r="B72" s="1018"/>
      <c r="C72" s="1018"/>
      <c r="D72" s="1018"/>
      <c r="E72" s="1018"/>
      <c r="F72" s="1018"/>
    </row>
    <row r="73" spans="1:9" ht="15" customHeight="1" x14ac:dyDescent="0.2">
      <c r="A73" s="1018"/>
      <c r="B73" s="1018"/>
      <c r="C73" s="1018"/>
      <c r="D73" s="1018"/>
      <c r="E73" s="1018"/>
      <c r="F73" s="1018"/>
    </row>
    <row r="74" spans="1:9" ht="15" customHeight="1" x14ac:dyDescent="0.2">
      <c r="A74" s="1018"/>
      <c r="B74" s="1018"/>
      <c r="C74" s="1018"/>
      <c r="D74" s="1018"/>
      <c r="E74" s="1018"/>
      <c r="F74" s="1018"/>
    </row>
    <row r="75" spans="1:9" ht="15" customHeight="1" x14ac:dyDescent="0.2">
      <c r="A75" s="1018"/>
      <c r="B75" s="1018"/>
      <c r="C75" s="1018"/>
      <c r="D75" s="1018"/>
      <c r="E75" s="1018"/>
      <c r="F75" s="1018"/>
    </row>
    <row r="76" spans="1:9" ht="15" customHeight="1" x14ac:dyDescent="0.2">
      <c r="A76" s="1018"/>
      <c r="B76" s="1018"/>
      <c r="C76" s="1018"/>
      <c r="D76" s="1018"/>
      <c r="E76" s="1018"/>
      <c r="F76" s="1018"/>
    </row>
    <row r="77" spans="1:9" ht="15" customHeight="1" x14ac:dyDescent="0.2">
      <c r="A77" s="1018"/>
      <c r="B77" s="1018"/>
      <c r="C77" s="1018"/>
      <c r="D77" s="1018"/>
      <c r="E77" s="1018"/>
      <c r="F77" s="1018"/>
    </row>
    <row r="78" spans="1:9" ht="15" customHeight="1" x14ac:dyDescent="0.2">
      <c r="A78" s="1018"/>
      <c r="B78" s="1018"/>
      <c r="C78" s="1018"/>
      <c r="D78" s="1018"/>
      <c r="E78" s="1018"/>
      <c r="F78" s="1018"/>
    </row>
    <row r="79" spans="1:9" ht="15" customHeight="1" x14ac:dyDescent="0.2">
      <c r="A79" s="1018"/>
      <c r="B79" s="1018"/>
      <c r="C79" s="1018"/>
      <c r="D79" s="1018"/>
      <c r="E79" s="1018"/>
      <c r="F79" s="1018"/>
    </row>
    <row r="80" spans="1:9" ht="15" customHeight="1" x14ac:dyDescent="0.2">
      <c r="A80" s="1018"/>
      <c r="B80" s="1018"/>
      <c r="C80" s="1018"/>
      <c r="D80" s="1018"/>
      <c r="E80" s="1018"/>
      <c r="F80" s="1018"/>
    </row>
    <row r="81" spans="1:6" ht="15" customHeight="1" x14ac:dyDescent="0.2">
      <c r="A81" s="1018"/>
      <c r="B81" s="1018"/>
      <c r="C81" s="1018"/>
      <c r="D81" s="1018"/>
      <c r="E81" s="1018"/>
      <c r="F81" s="1018"/>
    </row>
    <row r="82" spans="1:6" ht="15" customHeight="1" x14ac:dyDescent="0.2">
      <c r="A82" s="1018"/>
      <c r="B82" s="1018"/>
      <c r="C82" s="1018"/>
      <c r="D82" s="1018"/>
      <c r="E82" s="1018"/>
      <c r="F82" s="1018"/>
    </row>
    <row r="83" spans="1:6" ht="15" customHeight="1" x14ac:dyDescent="0.2">
      <c r="A83" s="1018"/>
      <c r="B83" s="1018"/>
      <c r="C83" s="1018"/>
      <c r="D83" s="1018"/>
      <c r="E83" s="1018"/>
      <c r="F83" s="1018"/>
    </row>
  </sheetData>
  <sheetProtection selectLockedCells="1"/>
  <mergeCells count="17">
    <mergeCell ref="A45:E56"/>
    <mergeCell ref="A1:I1"/>
    <mergeCell ref="A2:G2"/>
    <mergeCell ref="A3:E4"/>
    <mergeCell ref="D7:I18"/>
    <mergeCell ref="A44:H44"/>
    <mergeCell ref="A66:D66"/>
    <mergeCell ref="F66:G66"/>
    <mergeCell ref="A68:F70"/>
    <mergeCell ref="A71:F83"/>
    <mergeCell ref="A58:H58"/>
    <mergeCell ref="A60:D60"/>
    <mergeCell ref="F60:H60"/>
    <mergeCell ref="A62:D62"/>
    <mergeCell ref="F62:G62"/>
    <mergeCell ref="A64:D64"/>
    <mergeCell ref="F64:G64"/>
  </mergeCells>
  <dataValidations count="3">
    <dataValidation allowBlank="1" showErrorMessage="1" prompt="This quarter only" sqref="B35:B42"/>
    <dataValidation errorStyle="information" allowBlank="1" showInputMessage="1" showErrorMessage="1" error="Please choose from the list provided" prompt="Please use the drop down list" sqref="B18"/>
    <dataValidation errorStyle="information" allowBlank="1" showInputMessage="1" showErrorMessage="1" error="Please choose from the list provided" prompt="Please use the drop down list" sqref="B13"/>
  </dataValidations>
  <pageMargins left="0.7" right="0.7" top="0.75" bottom="0.75" header="0.3" footer="0.3"/>
  <pageSetup paperSize="9" orientation="portrait"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82"/>
  <sheetViews>
    <sheetView showGridLines="0" zoomScale="98" zoomScaleNormal="98" workbookViewId="0">
      <selection activeCell="B18" sqref="B18"/>
    </sheetView>
  </sheetViews>
  <sheetFormatPr defaultColWidth="12.6640625" defaultRowHeight="15" x14ac:dyDescent="0.2"/>
  <sheetData>
    <row r="1" spans="1:10" ht="18.75" x14ac:dyDescent="0.3">
      <c r="A1" s="914" t="s">
        <v>572</v>
      </c>
      <c r="B1" s="915"/>
      <c r="C1" s="915"/>
      <c r="D1" s="915"/>
      <c r="E1" s="915"/>
      <c r="F1" s="915"/>
      <c r="G1" s="906"/>
      <c r="H1" s="906"/>
      <c r="I1" s="906"/>
    </row>
    <row r="2" spans="1:10" ht="15.75" x14ac:dyDescent="0.25">
      <c r="A2" s="916" t="s">
        <v>573</v>
      </c>
      <c r="B2" s="917"/>
      <c r="C2" s="917"/>
      <c r="D2" s="917"/>
      <c r="E2" s="917"/>
      <c r="F2" s="917"/>
      <c r="G2" s="917"/>
      <c r="H2" s="161"/>
      <c r="I2" s="161"/>
    </row>
    <row r="3" spans="1:10" x14ac:dyDescent="0.2">
      <c r="A3" s="1026" t="s">
        <v>560</v>
      </c>
      <c r="B3" s="906"/>
      <c r="C3" s="906"/>
      <c r="D3" s="906"/>
      <c r="E3" s="906"/>
      <c r="F3" s="151"/>
      <c r="G3" s="151"/>
      <c r="H3" s="151"/>
      <c r="I3" s="151"/>
      <c r="J3" s="151"/>
    </row>
    <row r="4" spans="1:10" x14ac:dyDescent="0.2">
      <c r="A4" s="906"/>
      <c r="B4" s="906"/>
      <c r="C4" s="906"/>
      <c r="D4" s="906"/>
      <c r="E4" s="906"/>
      <c r="F4" s="151"/>
      <c r="G4" s="151"/>
      <c r="H4" s="151"/>
      <c r="I4" s="151"/>
      <c r="J4" s="151"/>
    </row>
    <row r="5" spans="1:10" ht="15.75" x14ac:dyDescent="0.25">
      <c r="A5" s="162"/>
      <c r="B5" s="162"/>
      <c r="C5" s="161"/>
      <c r="D5" s="161"/>
      <c r="E5" s="161"/>
      <c r="F5" s="161"/>
      <c r="G5" s="161"/>
      <c r="H5" s="161"/>
      <c r="I5" s="161"/>
    </row>
    <row r="6" spans="1:10" ht="15.75" x14ac:dyDescent="0.25">
      <c r="A6" s="163" t="s">
        <v>63</v>
      </c>
      <c r="B6" s="164">
        <v>10000000000</v>
      </c>
      <c r="C6" s="161"/>
      <c r="D6" s="165" t="s">
        <v>64</v>
      </c>
      <c r="E6" s="166"/>
      <c r="F6" s="167"/>
      <c r="G6" s="167"/>
      <c r="H6" s="167"/>
      <c r="I6" s="167"/>
    </row>
    <row r="7" spans="1:10" ht="15.75" x14ac:dyDescent="0.25">
      <c r="A7" s="168" t="s">
        <v>65</v>
      </c>
      <c r="B7" s="169">
        <v>0.95</v>
      </c>
      <c r="C7" s="161"/>
      <c r="D7" s="919" t="s">
        <v>66</v>
      </c>
      <c r="E7" s="920"/>
      <c r="F7" s="920"/>
      <c r="G7" s="920"/>
      <c r="H7" s="920"/>
      <c r="I7" s="921"/>
    </row>
    <row r="8" spans="1:10" ht="15.75" x14ac:dyDescent="0.25">
      <c r="A8" s="170" t="s">
        <v>67</v>
      </c>
      <c r="B8" s="171">
        <v>0.95</v>
      </c>
      <c r="C8" s="161"/>
      <c r="D8" s="920"/>
      <c r="E8" s="920"/>
      <c r="F8" s="920"/>
      <c r="G8" s="920"/>
      <c r="H8" s="920"/>
      <c r="I8" s="921"/>
    </row>
    <row r="9" spans="1:10" ht="15.75" x14ac:dyDescent="0.25">
      <c r="A9" s="170" t="s">
        <v>68</v>
      </c>
      <c r="B9" s="171">
        <v>0.9</v>
      </c>
      <c r="C9" s="161"/>
      <c r="D9" s="920"/>
      <c r="E9" s="920"/>
      <c r="F9" s="920"/>
      <c r="G9" s="920"/>
      <c r="H9" s="920"/>
      <c r="I9" s="921"/>
    </row>
    <row r="10" spans="1:10" ht="15.75" x14ac:dyDescent="0.25">
      <c r="A10" s="172" t="s">
        <v>69</v>
      </c>
      <c r="B10" s="173">
        <v>0.9</v>
      </c>
      <c r="C10" s="161"/>
      <c r="D10" s="920"/>
      <c r="E10" s="920"/>
      <c r="F10" s="920"/>
      <c r="G10" s="920"/>
      <c r="H10" s="920"/>
      <c r="I10" s="921"/>
    </row>
    <row r="11" spans="1:10" ht="15.75" x14ac:dyDescent="0.25">
      <c r="A11" s="174" t="s">
        <v>70</v>
      </c>
      <c r="B11" s="175">
        <v>0</v>
      </c>
      <c r="C11" s="161"/>
      <c r="D11" s="922"/>
      <c r="E11" s="922"/>
      <c r="F11" s="922"/>
      <c r="G11" s="922"/>
      <c r="H11" s="922"/>
      <c r="I11" s="921"/>
    </row>
    <row r="12" spans="1:10" ht="15.75" x14ac:dyDescent="0.25">
      <c r="A12" s="162"/>
      <c r="B12" s="162"/>
      <c r="C12" s="161"/>
      <c r="D12" s="922"/>
      <c r="E12" s="922"/>
      <c r="F12" s="922"/>
      <c r="G12" s="922"/>
      <c r="H12" s="922"/>
      <c r="I12" s="921"/>
    </row>
    <row r="13" spans="1:10" ht="15.75" x14ac:dyDescent="0.25">
      <c r="A13" s="176" t="s">
        <v>71</v>
      </c>
      <c r="B13" s="376" t="s">
        <v>283</v>
      </c>
      <c r="C13" s="161"/>
      <c r="D13" s="922"/>
      <c r="E13" s="922"/>
      <c r="F13" s="922"/>
      <c r="G13" s="922"/>
      <c r="H13" s="922"/>
      <c r="I13" s="921"/>
    </row>
    <row r="14" spans="1:10" ht="15.75" x14ac:dyDescent="0.25">
      <c r="A14" s="178" t="s">
        <v>73</v>
      </c>
      <c r="B14" s="598">
        <f>VLOOKUP(B13,A23:F30,2,FALSE)</f>
        <v>0.3523</v>
      </c>
      <c r="C14" s="161"/>
      <c r="D14" s="922"/>
      <c r="E14" s="922"/>
      <c r="F14" s="922"/>
      <c r="G14" s="922"/>
      <c r="H14" s="922"/>
      <c r="I14" s="921"/>
    </row>
    <row r="15" spans="1:10" ht="15.75" x14ac:dyDescent="0.25">
      <c r="A15" s="178" t="s">
        <v>74</v>
      </c>
      <c r="B15" s="598">
        <f>VLOOKUP(B13,A23:F30,3,FALSE)</f>
        <v>0.5</v>
      </c>
      <c r="C15" s="161"/>
      <c r="D15" s="922"/>
      <c r="E15" s="922"/>
      <c r="F15" s="922"/>
      <c r="G15" s="922"/>
      <c r="H15" s="922"/>
      <c r="I15" s="921"/>
    </row>
    <row r="16" spans="1:10" ht="15.75" x14ac:dyDescent="0.25">
      <c r="A16" s="178" t="s">
        <v>75</v>
      </c>
      <c r="B16" s="181" t="str">
        <f>VLOOKUP(B13,A23:F30,6,FALSE)</f>
        <v>Red</v>
      </c>
      <c r="C16" s="161"/>
      <c r="D16" s="922"/>
      <c r="E16" s="922"/>
      <c r="F16" s="922"/>
      <c r="G16" s="922"/>
      <c r="H16" s="922"/>
      <c r="I16" s="921"/>
    </row>
    <row r="17" spans="1:9" ht="15.75" x14ac:dyDescent="0.25">
      <c r="A17" s="162"/>
      <c r="B17" s="182"/>
      <c r="C17" s="161"/>
      <c r="D17" s="922"/>
      <c r="E17" s="922"/>
      <c r="F17" s="922"/>
      <c r="G17" s="922"/>
      <c r="H17" s="922"/>
      <c r="I17" s="921"/>
    </row>
    <row r="18" spans="1:9" ht="15.75" x14ac:dyDescent="0.25">
      <c r="A18" s="183" t="s">
        <v>122</v>
      </c>
      <c r="B18" s="184" t="s">
        <v>36</v>
      </c>
      <c r="C18" s="161"/>
      <c r="D18" s="922"/>
      <c r="E18" s="922"/>
      <c r="F18" s="922"/>
      <c r="G18" s="922"/>
      <c r="H18" s="922"/>
      <c r="I18" s="921"/>
    </row>
    <row r="19" spans="1:9" ht="15.75" x14ac:dyDescent="0.25">
      <c r="B19" s="162"/>
      <c r="C19" s="161"/>
      <c r="D19" s="161"/>
      <c r="E19" s="161"/>
      <c r="F19" s="161"/>
      <c r="G19" s="161"/>
      <c r="H19" s="161"/>
      <c r="I19" s="161"/>
    </row>
    <row r="20" spans="1:9" ht="15.75" x14ac:dyDescent="0.25">
      <c r="A20" s="162"/>
      <c r="B20" s="162"/>
      <c r="C20" s="161"/>
      <c r="D20" s="599"/>
      <c r="E20" s="161"/>
      <c r="F20" s="161"/>
      <c r="G20" s="161"/>
      <c r="H20" s="161"/>
      <c r="I20" s="161"/>
    </row>
    <row r="21" spans="1:9" ht="15.75" x14ac:dyDescent="0.25">
      <c r="A21" s="188" t="s">
        <v>574</v>
      </c>
      <c r="B21" s="188"/>
      <c r="C21" s="162"/>
      <c r="D21" s="162"/>
      <c r="E21" s="162"/>
      <c r="F21" s="162"/>
      <c r="G21" s="162"/>
      <c r="H21" s="162"/>
      <c r="I21" s="161"/>
    </row>
    <row r="22" spans="1:9" x14ac:dyDescent="0.2">
      <c r="A22" s="192" t="s">
        <v>82</v>
      </c>
      <c r="B22" s="600" t="s">
        <v>73</v>
      </c>
      <c r="C22" s="193" t="s">
        <v>74</v>
      </c>
      <c r="D22" s="193" t="s">
        <v>101</v>
      </c>
      <c r="E22" s="193" t="s">
        <v>84</v>
      </c>
      <c r="F22" s="194" t="s">
        <v>75</v>
      </c>
      <c r="H22" s="694"/>
    </row>
    <row r="23" spans="1:9" ht="15.75" x14ac:dyDescent="0.25">
      <c r="A23" s="200" t="s">
        <v>329</v>
      </c>
      <c r="B23" s="708">
        <v>0.34960000000000002</v>
      </c>
      <c r="C23" s="709">
        <v>0.5</v>
      </c>
      <c r="D23" s="606">
        <v>43</v>
      </c>
      <c r="E23" s="196">
        <f t="shared" ref="E23:E29" si="0">IF(B23="","",B23/C23)</f>
        <v>0.69920000000000004</v>
      </c>
      <c r="F23" s="181" t="str">
        <f>IF(E23="","",IF(E23&gt;=$B$7,"Green",IF(E23&gt;=$B$9, "Amber",IF(E23&gt;=$B$11,"Red"))))</f>
        <v>Red</v>
      </c>
      <c r="G23" s="161"/>
      <c r="H23" s="161"/>
      <c r="I23" s="161"/>
    </row>
    <row r="24" spans="1:9" ht="15.75" x14ac:dyDescent="0.25">
      <c r="A24" s="200" t="s">
        <v>330</v>
      </c>
      <c r="B24" s="708">
        <v>0.36130000000000001</v>
      </c>
      <c r="C24" s="709">
        <v>0.5</v>
      </c>
      <c r="D24" s="606">
        <v>43</v>
      </c>
      <c r="E24" s="196">
        <f t="shared" si="0"/>
        <v>0.72260000000000002</v>
      </c>
      <c r="F24" s="181" t="str">
        <f t="shared" ref="F24:F30" si="1">IF(E24="","",IF(E24&gt;=$B$7,"Green",IF(E24&gt;=$B$9, "Amber",IF(E24&gt;=$B$11,"Red"))))</f>
        <v>Red</v>
      </c>
      <c r="G24" s="161"/>
      <c r="H24" s="161"/>
      <c r="I24" s="161"/>
    </row>
    <row r="25" spans="1:9" ht="15.75" x14ac:dyDescent="0.25">
      <c r="A25" s="200" t="s">
        <v>331</v>
      </c>
      <c r="B25" s="708">
        <v>0.33950000000000002</v>
      </c>
      <c r="C25" s="709">
        <v>0.5</v>
      </c>
      <c r="D25" s="606">
        <v>37</v>
      </c>
      <c r="E25" s="196">
        <f t="shared" si="0"/>
        <v>0.67900000000000005</v>
      </c>
      <c r="F25" s="181" t="str">
        <f t="shared" si="1"/>
        <v>Red</v>
      </c>
      <c r="G25" s="161"/>
      <c r="H25" s="161"/>
      <c r="I25" s="161"/>
    </row>
    <row r="26" spans="1:9" ht="15.75" x14ac:dyDescent="0.25">
      <c r="A26" s="200" t="s">
        <v>332</v>
      </c>
      <c r="B26" s="708">
        <v>0.36749999999999999</v>
      </c>
      <c r="C26" s="709">
        <v>0.5</v>
      </c>
      <c r="D26" s="606">
        <v>43</v>
      </c>
      <c r="E26" s="196">
        <f t="shared" si="0"/>
        <v>0.73499999999999999</v>
      </c>
      <c r="F26" s="181" t="str">
        <f t="shared" si="1"/>
        <v>Red</v>
      </c>
      <c r="G26" s="161"/>
      <c r="H26" s="161"/>
      <c r="I26" s="161"/>
    </row>
    <row r="27" spans="1:9" ht="15.75" x14ac:dyDescent="0.25">
      <c r="A27" s="200" t="s">
        <v>333</v>
      </c>
      <c r="B27" s="708">
        <v>0.3846</v>
      </c>
      <c r="C27" s="709">
        <v>0.5</v>
      </c>
      <c r="D27" s="606">
        <v>45</v>
      </c>
      <c r="E27" s="196">
        <f t="shared" si="0"/>
        <v>0.76919999999999999</v>
      </c>
      <c r="F27" s="181" t="str">
        <f t="shared" si="1"/>
        <v>Red</v>
      </c>
      <c r="G27" s="161"/>
      <c r="H27" s="161"/>
      <c r="I27" s="161"/>
    </row>
    <row r="28" spans="1:9" ht="15.75" x14ac:dyDescent="0.25">
      <c r="A28" s="200" t="s">
        <v>334</v>
      </c>
      <c r="B28" s="708">
        <v>0.36840000000000001</v>
      </c>
      <c r="C28" s="709">
        <v>0.5</v>
      </c>
      <c r="D28" s="606">
        <v>42</v>
      </c>
      <c r="E28" s="196">
        <f t="shared" si="0"/>
        <v>0.73680000000000001</v>
      </c>
      <c r="F28" s="181" t="str">
        <f t="shared" si="1"/>
        <v>Red</v>
      </c>
      <c r="G28" s="161"/>
      <c r="H28" s="161"/>
      <c r="I28" s="161"/>
    </row>
    <row r="29" spans="1:9" ht="15.75" x14ac:dyDescent="0.25">
      <c r="A29" s="200" t="s">
        <v>283</v>
      </c>
      <c r="B29" s="710">
        <v>0.3523</v>
      </c>
      <c r="C29" s="709">
        <v>0.5</v>
      </c>
      <c r="D29" s="711">
        <v>31</v>
      </c>
      <c r="E29" s="196">
        <f t="shared" si="0"/>
        <v>0.7046</v>
      </c>
      <c r="F29" s="181" t="str">
        <f t="shared" si="1"/>
        <v>Red</v>
      </c>
      <c r="G29" s="712"/>
      <c r="H29" s="161"/>
      <c r="I29" s="161"/>
    </row>
    <row r="30" spans="1:9" ht="15.75" x14ac:dyDescent="0.25">
      <c r="A30" s="200" t="s">
        <v>335</v>
      </c>
      <c r="B30" s="708"/>
      <c r="C30" s="709">
        <v>0.5</v>
      </c>
      <c r="D30" s="606"/>
      <c r="E30" s="196"/>
      <c r="F30" s="181" t="str">
        <f t="shared" si="1"/>
        <v/>
      </c>
      <c r="G30" s="161"/>
      <c r="H30" s="161"/>
      <c r="I30" s="161"/>
    </row>
    <row r="31" spans="1:9" ht="15.75" x14ac:dyDescent="0.25">
      <c r="G31" s="161"/>
      <c r="H31" s="161"/>
      <c r="I31" s="161"/>
    </row>
    <row r="32" spans="1:9" ht="15.75" x14ac:dyDescent="0.25">
      <c r="A32" s="907" t="s">
        <v>575</v>
      </c>
      <c r="B32" s="906"/>
      <c r="C32" s="906"/>
      <c r="D32" s="161"/>
      <c r="E32" s="161"/>
      <c r="F32" s="161"/>
      <c r="G32" s="161"/>
      <c r="H32" s="161"/>
      <c r="I32" s="161"/>
    </row>
    <row r="33" spans="1:9" x14ac:dyDescent="0.2">
      <c r="A33" s="192" t="s">
        <v>82</v>
      </c>
      <c r="B33" s="600" t="s">
        <v>73</v>
      </c>
      <c r="C33" s="193" t="s">
        <v>74</v>
      </c>
      <c r="D33" s="193" t="s">
        <v>101</v>
      </c>
      <c r="E33" s="713"/>
      <c r="G33" s="694"/>
    </row>
    <row r="34" spans="1:9" x14ac:dyDescent="0.2">
      <c r="A34" s="200" t="s">
        <v>329</v>
      </c>
      <c r="B34" s="714">
        <v>0.35</v>
      </c>
      <c r="C34" s="709">
        <v>0.5</v>
      </c>
      <c r="D34" s="606">
        <v>183</v>
      </c>
      <c r="E34" s="715"/>
    </row>
    <row r="35" spans="1:9" x14ac:dyDescent="0.2">
      <c r="A35" s="200" t="s">
        <v>330</v>
      </c>
      <c r="B35" s="709">
        <v>0.36</v>
      </c>
      <c r="C35" s="709">
        <v>0.5</v>
      </c>
      <c r="D35" s="606">
        <v>192</v>
      </c>
      <c r="E35" s="715"/>
    </row>
    <row r="36" spans="1:9" x14ac:dyDescent="0.2">
      <c r="A36" s="200" t="s">
        <v>331</v>
      </c>
      <c r="B36" s="709">
        <v>0.36</v>
      </c>
      <c r="C36" s="709">
        <v>0.5</v>
      </c>
      <c r="D36" s="606">
        <v>190</v>
      </c>
      <c r="E36" s="716"/>
    </row>
    <row r="37" spans="1:9" x14ac:dyDescent="0.2">
      <c r="A37" s="200" t="s">
        <v>332</v>
      </c>
      <c r="B37" s="709">
        <v>0.35539999999999999</v>
      </c>
      <c r="C37" s="709">
        <v>0.5</v>
      </c>
      <c r="D37" s="606">
        <v>188</v>
      </c>
      <c r="E37" s="716"/>
    </row>
    <row r="38" spans="1:9" x14ac:dyDescent="0.2">
      <c r="A38" s="178" t="s">
        <v>333</v>
      </c>
      <c r="B38" s="709">
        <v>0.35420000000000001</v>
      </c>
      <c r="C38" s="709">
        <v>0.5</v>
      </c>
      <c r="D38" s="606">
        <v>187</v>
      </c>
      <c r="E38" s="716"/>
    </row>
    <row r="39" spans="1:9" x14ac:dyDescent="0.2">
      <c r="A39" s="178" t="s">
        <v>334</v>
      </c>
      <c r="B39" s="709">
        <v>0.36</v>
      </c>
      <c r="C39" s="709">
        <v>0.5</v>
      </c>
      <c r="D39" s="606">
        <v>192</v>
      </c>
      <c r="E39" s="716"/>
    </row>
    <row r="40" spans="1:9" x14ac:dyDescent="0.2">
      <c r="A40" s="178" t="s">
        <v>283</v>
      </c>
      <c r="B40" s="717">
        <v>0.33</v>
      </c>
      <c r="C40" s="709">
        <v>0.5</v>
      </c>
      <c r="D40" s="711">
        <v>145</v>
      </c>
      <c r="E40" s="716"/>
    </row>
    <row r="41" spans="1:9" x14ac:dyDescent="0.2">
      <c r="A41" s="178" t="s">
        <v>335</v>
      </c>
      <c r="B41" s="709"/>
      <c r="C41" s="709">
        <v>0.5</v>
      </c>
      <c r="D41" s="606"/>
      <c r="E41" s="716"/>
    </row>
    <row r="42" spans="1:9" ht="15.75" x14ac:dyDescent="0.25">
      <c r="E42" s="161"/>
      <c r="F42" s="161"/>
      <c r="G42" s="161"/>
      <c r="H42" s="161"/>
      <c r="I42" s="161"/>
    </row>
    <row r="43" spans="1:9" ht="15.75" x14ac:dyDescent="0.25">
      <c r="A43" s="908" t="s">
        <v>497</v>
      </c>
      <c r="B43" s="908"/>
      <c r="C43" s="908"/>
      <c r="D43" s="908"/>
      <c r="E43" s="908"/>
      <c r="F43" s="908"/>
      <c r="G43" s="908"/>
      <c r="H43" s="908"/>
      <c r="I43" s="161"/>
    </row>
    <row r="44" spans="1:9" ht="15.75" x14ac:dyDescent="0.25">
      <c r="A44" s="1029" t="s">
        <v>576</v>
      </c>
      <c r="B44" s="1029"/>
      <c r="C44" s="1029"/>
      <c r="D44" s="1029"/>
      <c r="E44" s="1029"/>
      <c r="F44" s="161"/>
      <c r="G44" s="161"/>
      <c r="H44" s="161"/>
      <c r="I44" s="161"/>
    </row>
    <row r="45" spans="1:9" x14ac:dyDescent="0.2">
      <c r="A45" s="1029"/>
      <c r="B45" s="1029"/>
      <c r="C45" s="1029"/>
      <c r="D45" s="1029"/>
      <c r="E45" s="1029"/>
    </row>
    <row r="46" spans="1:9" x14ac:dyDescent="0.2">
      <c r="A46" s="1029"/>
      <c r="B46" s="1029"/>
      <c r="C46" s="1029"/>
      <c r="D46" s="1029"/>
      <c r="E46" s="1029"/>
    </row>
    <row r="47" spans="1:9" x14ac:dyDescent="0.2">
      <c r="A47" s="1029"/>
      <c r="B47" s="1029"/>
      <c r="C47" s="1029"/>
      <c r="D47" s="1029"/>
      <c r="E47" s="1029"/>
    </row>
    <row r="48" spans="1:9" x14ac:dyDescent="0.2">
      <c r="A48" s="1029"/>
      <c r="B48" s="1029"/>
      <c r="C48" s="1029"/>
      <c r="D48" s="1029"/>
      <c r="E48" s="1029"/>
    </row>
    <row r="49" spans="1:9" x14ac:dyDescent="0.2">
      <c r="A49" s="1029"/>
      <c r="B49" s="1029"/>
      <c r="C49" s="1029"/>
      <c r="D49" s="1029"/>
      <c r="E49" s="1029"/>
    </row>
    <row r="50" spans="1:9" x14ac:dyDescent="0.2">
      <c r="A50" s="1029"/>
      <c r="B50" s="1029"/>
      <c r="C50" s="1029"/>
      <c r="D50" s="1029"/>
      <c r="E50" s="1029"/>
    </row>
    <row r="51" spans="1:9" x14ac:dyDescent="0.2">
      <c r="A51" s="1029"/>
      <c r="B51" s="1029"/>
      <c r="C51" s="1029"/>
      <c r="D51" s="1029"/>
      <c r="E51" s="1029"/>
    </row>
    <row r="52" spans="1:9" x14ac:dyDescent="0.2">
      <c r="A52" s="1029"/>
      <c r="B52" s="1029"/>
      <c r="C52" s="1029"/>
      <c r="D52" s="1029"/>
      <c r="E52" s="1029"/>
    </row>
    <row r="53" spans="1:9" x14ac:dyDescent="0.2">
      <c r="A53" s="1029"/>
      <c r="B53" s="1029"/>
      <c r="C53" s="1029"/>
      <c r="D53" s="1029"/>
      <c r="E53" s="1029"/>
    </row>
    <row r="54" spans="1:9" x14ac:dyDescent="0.2">
      <c r="A54" s="1029"/>
      <c r="B54" s="1029"/>
      <c r="C54" s="1029"/>
      <c r="D54" s="1029"/>
      <c r="E54" s="1029"/>
    </row>
    <row r="55" spans="1:9" x14ac:dyDescent="0.2">
      <c r="A55" s="1029"/>
      <c r="B55" s="1029"/>
      <c r="C55" s="1029"/>
      <c r="D55" s="1029"/>
      <c r="E55" s="1029"/>
    </row>
    <row r="57" spans="1:9" ht="15.75" x14ac:dyDescent="0.25">
      <c r="A57" s="912" t="s">
        <v>504</v>
      </c>
      <c r="B57" s="912"/>
      <c r="C57" s="912"/>
      <c r="D57" s="912"/>
      <c r="E57" s="912"/>
      <c r="F57" s="912"/>
      <c r="G57" s="912"/>
      <c r="H57" s="912"/>
    </row>
    <row r="58" spans="1:9" x14ac:dyDescent="0.2">
      <c r="A58" s="211" t="s">
        <v>110</v>
      </c>
      <c r="F58" s="211" t="s">
        <v>111</v>
      </c>
      <c r="I58" s="211" t="s">
        <v>467</v>
      </c>
    </row>
    <row r="59" spans="1:9" x14ac:dyDescent="0.2">
      <c r="A59" s="1018" t="s">
        <v>577</v>
      </c>
      <c r="B59" s="1018"/>
      <c r="C59" s="1018"/>
      <c r="D59" s="1018"/>
      <c r="F59" s="1018" t="s">
        <v>566</v>
      </c>
      <c r="G59" s="1018"/>
      <c r="H59" s="1018"/>
      <c r="I59" s="367" t="s">
        <v>578</v>
      </c>
    </row>
    <row r="61" spans="1:9" x14ac:dyDescent="0.2">
      <c r="A61" s="1018" t="s">
        <v>568</v>
      </c>
      <c r="B61" s="1018"/>
      <c r="C61" s="1018"/>
      <c r="D61" s="1018"/>
      <c r="F61" s="1018"/>
      <c r="G61" s="1018"/>
      <c r="H61" s="1018"/>
      <c r="I61" s="378" t="s">
        <v>507</v>
      </c>
    </row>
    <row r="63" spans="1:9" x14ac:dyDescent="0.2">
      <c r="A63" s="1018" t="s">
        <v>579</v>
      </c>
      <c r="B63" s="1018"/>
      <c r="C63" s="1018"/>
      <c r="D63" s="1018"/>
      <c r="F63" s="1018"/>
      <c r="G63" s="1024"/>
      <c r="I63" s="378" t="s">
        <v>507</v>
      </c>
    </row>
    <row r="65" spans="1:9" x14ac:dyDescent="0.2">
      <c r="A65" s="1018" t="s">
        <v>570</v>
      </c>
      <c r="B65" s="1018"/>
      <c r="C65" s="1018"/>
      <c r="D65" s="1018"/>
      <c r="F65" s="1018"/>
      <c r="G65" s="1024"/>
      <c r="I65" s="378" t="s">
        <v>507</v>
      </c>
    </row>
    <row r="67" spans="1:9" ht="15" customHeight="1" x14ac:dyDescent="0.2">
      <c r="A67" s="905" t="s">
        <v>113</v>
      </c>
      <c r="B67" s="905"/>
      <c r="C67" s="905"/>
      <c r="D67" s="905"/>
      <c r="E67" s="905"/>
      <c r="F67" s="905"/>
    </row>
    <row r="68" spans="1:9" x14ac:dyDescent="0.2">
      <c r="A68" s="905"/>
      <c r="B68" s="905"/>
      <c r="C68" s="905"/>
      <c r="D68" s="905"/>
      <c r="E68" s="905"/>
      <c r="F68" s="905"/>
    </row>
    <row r="69" spans="1:9" x14ac:dyDescent="0.2">
      <c r="A69" s="905"/>
      <c r="B69" s="905"/>
      <c r="C69" s="905"/>
      <c r="D69" s="905"/>
      <c r="E69" s="905"/>
      <c r="F69" s="905"/>
    </row>
    <row r="70" spans="1:9" ht="15" customHeight="1" x14ac:dyDescent="0.2">
      <c r="A70" s="830"/>
      <c r="B70" s="1018"/>
      <c r="C70" s="1018"/>
      <c r="D70" s="1018"/>
      <c r="E70" s="1018"/>
      <c r="F70" s="1018"/>
    </row>
    <row r="71" spans="1:9" ht="15" customHeight="1" x14ac:dyDescent="0.2">
      <c r="A71" s="1018"/>
      <c r="B71" s="1018"/>
      <c r="C71" s="1018"/>
      <c r="D71" s="1018"/>
      <c r="E71" s="1018"/>
      <c r="F71" s="1018"/>
    </row>
    <row r="72" spans="1:9" ht="15" customHeight="1" x14ac:dyDescent="0.2">
      <c r="A72" s="1018"/>
      <c r="B72" s="1018"/>
      <c r="C72" s="1018"/>
      <c r="D72" s="1018"/>
      <c r="E72" s="1018"/>
      <c r="F72" s="1018"/>
    </row>
    <row r="73" spans="1:9" ht="15" customHeight="1" x14ac:dyDescent="0.2">
      <c r="A73" s="1018"/>
      <c r="B73" s="1018"/>
      <c r="C73" s="1018"/>
      <c r="D73" s="1018"/>
      <c r="E73" s="1018"/>
      <c r="F73" s="1018"/>
    </row>
    <row r="74" spans="1:9" ht="15" customHeight="1" x14ac:dyDescent="0.2">
      <c r="A74" s="1018"/>
      <c r="B74" s="1018"/>
      <c r="C74" s="1018"/>
      <c r="D74" s="1018"/>
      <c r="E74" s="1018"/>
      <c r="F74" s="1018"/>
    </row>
    <row r="75" spans="1:9" ht="15" customHeight="1" x14ac:dyDescent="0.2">
      <c r="A75" s="1018"/>
      <c r="B75" s="1018"/>
      <c r="C75" s="1018"/>
      <c r="D75" s="1018"/>
      <c r="E75" s="1018"/>
      <c r="F75" s="1018"/>
    </row>
    <row r="76" spans="1:9" ht="15" customHeight="1" x14ac:dyDescent="0.2">
      <c r="A76" s="1018"/>
      <c r="B76" s="1018"/>
      <c r="C76" s="1018"/>
      <c r="D76" s="1018"/>
      <c r="E76" s="1018"/>
      <c r="F76" s="1018"/>
    </row>
    <row r="77" spans="1:9" ht="15" customHeight="1" x14ac:dyDescent="0.2">
      <c r="A77" s="1018"/>
      <c r="B77" s="1018"/>
      <c r="C77" s="1018"/>
      <c r="D77" s="1018"/>
      <c r="E77" s="1018"/>
      <c r="F77" s="1018"/>
    </row>
    <row r="78" spans="1:9" ht="15" customHeight="1" x14ac:dyDescent="0.2">
      <c r="A78" s="1018"/>
      <c r="B78" s="1018"/>
      <c r="C78" s="1018"/>
      <c r="D78" s="1018"/>
      <c r="E78" s="1018"/>
      <c r="F78" s="1018"/>
    </row>
    <row r="79" spans="1:9" ht="15" customHeight="1" x14ac:dyDescent="0.2">
      <c r="A79" s="1018"/>
      <c r="B79" s="1018"/>
      <c r="C79" s="1018"/>
      <c r="D79" s="1018"/>
      <c r="E79" s="1018"/>
      <c r="F79" s="1018"/>
    </row>
    <row r="80" spans="1:9" ht="15" customHeight="1" x14ac:dyDescent="0.2">
      <c r="A80" s="1018"/>
      <c r="B80" s="1018"/>
      <c r="C80" s="1018"/>
      <c r="D80" s="1018"/>
      <c r="E80" s="1018"/>
      <c r="F80" s="1018"/>
    </row>
    <row r="81" spans="1:6" ht="15" customHeight="1" x14ac:dyDescent="0.2">
      <c r="A81" s="1018"/>
      <c r="B81" s="1018"/>
      <c r="C81" s="1018"/>
      <c r="D81" s="1018"/>
      <c r="E81" s="1018"/>
      <c r="F81" s="1018"/>
    </row>
    <row r="82" spans="1:6" ht="15" customHeight="1" x14ac:dyDescent="0.2">
      <c r="A82" s="1018"/>
      <c r="B82" s="1018"/>
      <c r="C82" s="1018"/>
      <c r="D82" s="1018"/>
      <c r="E82" s="1018"/>
      <c r="F82" s="1018"/>
    </row>
  </sheetData>
  <sheetProtection selectLockedCells="1"/>
  <mergeCells count="18">
    <mergeCell ref="A43:H43"/>
    <mergeCell ref="A1:I1"/>
    <mergeCell ref="A2:G2"/>
    <mergeCell ref="A3:E4"/>
    <mergeCell ref="D7:I18"/>
    <mergeCell ref="A32:C32"/>
    <mergeCell ref="A70:F82"/>
    <mergeCell ref="A44:E55"/>
    <mergeCell ref="A57:H57"/>
    <mergeCell ref="A59:D59"/>
    <mergeCell ref="F59:H59"/>
    <mergeCell ref="A61:D61"/>
    <mergeCell ref="F61:H61"/>
    <mergeCell ref="A63:D63"/>
    <mergeCell ref="F63:G63"/>
    <mergeCell ref="A65:D65"/>
    <mergeCell ref="F65:G65"/>
    <mergeCell ref="A67:F69"/>
  </mergeCells>
  <dataValidations count="2">
    <dataValidation errorStyle="information" allowBlank="1" showInputMessage="1" showErrorMessage="1" error="Please choose from the list provided" prompt="Please use the drop down list" sqref="B18"/>
    <dataValidation errorStyle="information" allowBlank="1" showInputMessage="1" showErrorMessage="1" error="Please choose from the list provided" prompt="Please use the drop down list" sqref="B13"/>
  </dataValidations>
  <pageMargins left="0.7" right="0.7" top="0.75" bottom="0.75" header="0.3" footer="0.3"/>
  <pageSetup paperSize="9" orientation="portrait" verticalDpi="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U97"/>
  <sheetViews>
    <sheetView showGridLines="0" topLeftCell="E22" zoomScaleNormal="100" workbookViewId="0">
      <selection activeCell="T52" sqref="T52:T55"/>
    </sheetView>
  </sheetViews>
  <sheetFormatPr defaultRowHeight="15" x14ac:dyDescent="0.2"/>
  <cols>
    <col min="1" max="1" width="14.109375" bestFit="1" customWidth="1"/>
    <col min="2" max="2" width="13.6640625" bestFit="1" customWidth="1"/>
    <col min="3" max="3" width="12.88671875" bestFit="1" customWidth="1"/>
    <col min="4" max="4" width="14.21875" customWidth="1"/>
    <col min="7" max="7" width="11.44140625" customWidth="1"/>
    <col min="8" max="8" width="10.5546875" customWidth="1"/>
    <col min="9" max="9" width="9.33203125" customWidth="1"/>
    <col min="10" max="10" width="10.44140625" customWidth="1"/>
    <col min="11" max="11" width="11.44140625" customWidth="1"/>
  </cols>
  <sheetData>
    <row r="1" spans="1:13" ht="18.75" x14ac:dyDescent="0.3">
      <c r="A1" s="914" t="s">
        <v>518</v>
      </c>
      <c r="B1" s="915"/>
      <c r="C1" s="915"/>
      <c r="D1" s="915"/>
      <c r="E1" s="915"/>
      <c r="F1" s="915"/>
      <c r="G1" s="161"/>
      <c r="H1" s="161"/>
      <c r="I1" s="161"/>
    </row>
    <row r="2" spans="1:13" ht="15.75" x14ac:dyDescent="0.25">
      <c r="A2" s="916" t="s">
        <v>519</v>
      </c>
      <c r="B2" s="917"/>
      <c r="C2" s="917"/>
      <c r="D2" s="917"/>
      <c r="E2" s="917"/>
      <c r="F2" s="917"/>
      <c r="G2" s="917"/>
      <c r="H2" s="161"/>
      <c r="I2" s="161"/>
    </row>
    <row r="3" spans="1:13" ht="15" customHeight="1" x14ac:dyDescent="0.2">
      <c r="A3" s="1035" t="s">
        <v>520</v>
      </c>
      <c r="B3" s="906"/>
      <c r="C3" s="906"/>
      <c r="D3" s="906"/>
      <c r="E3" s="906"/>
      <c r="F3" s="151"/>
      <c r="G3" s="151"/>
      <c r="H3" s="151"/>
      <c r="I3" s="151"/>
      <c r="J3" s="151"/>
    </row>
    <row r="4" spans="1:13" x14ac:dyDescent="0.2">
      <c r="A4" s="906"/>
      <c r="B4" s="906"/>
      <c r="C4" s="906"/>
      <c r="D4" s="906"/>
      <c r="E4" s="906"/>
      <c r="F4" s="151"/>
      <c r="G4" s="151"/>
      <c r="H4" s="151"/>
      <c r="I4" s="151"/>
      <c r="J4" s="151"/>
    </row>
    <row r="5" spans="1:13" ht="15.75" x14ac:dyDescent="0.25">
      <c r="A5" s="162"/>
      <c r="B5" s="162"/>
      <c r="C5" s="161"/>
      <c r="D5" s="161"/>
      <c r="E5" s="161"/>
      <c r="F5" s="161"/>
      <c r="G5" s="161"/>
      <c r="H5" s="161"/>
      <c r="I5" s="161"/>
    </row>
    <row r="6" spans="1:13" ht="15.75" x14ac:dyDescent="0.25">
      <c r="A6" s="163" t="s">
        <v>63</v>
      </c>
      <c r="B6" s="164">
        <v>1</v>
      </c>
      <c r="C6" s="161"/>
      <c r="D6" s="165" t="s">
        <v>64</v>
      </c>
      <c r="E6" s="166"/>
      <c r="F6" s="167"/>
      <c r="G6" s="167"/>
      <c r="H6" s="167"/>
      <c r="I6" s="167"/>
      <c r="J6" s="185" t="s">
        <v>521</v>
      </c>
      <c r="K6" s="185"/>
      <c r="L6" s="186" t="s">
        <v>77</v>
      </c>
      <c r="M6" s="187" t="s">
        <v>78</v>
      </c>
    </row>
    <row r="7" spans="1:13" ht="15.6" customHeight="1" x14ac:dyDescent="0.25">
      <c r="A7" s="168" t="s">
        <v>65</v>
      </c>
      <c r="B7" s="169">
        <v>0</v>
      </c>
      <c r="C7" s="161"/>
      <c r="D7" s="919" t="s">
        <v>66</v>
      </c>
      <c r="E7" s="920"/>
      <c r="F7" s="920"/>
      <c r="G7" s="920"/>
      <c r="H7" s="920"/>
      <c r="I7" s="921"/>
      <c r="J7" s="189" t="s">
        <v>80</v>
      </c>
      <c r="K7" s="189" t="s">
        <v>522</v>
      </c>
      <c r="L7" s="465"/>
      <c r="M7" s="616" t="s">
        <v>384</v>
      </c>
    </row>
    <row r="8" spans="1:13" ht="25.5" x14ac:dyDescent="0.25">
      <c r="A8" s="170" t="s">
        <v>67</v>
      </c>
      <c r="B8" s="171">
        <v>1.1000000000000001</v>
      </c>
      <c r="C8" s="161"/>
      <c r="D8" s="920"/>
      <c r="E8" s="920"/>
      <c r="F8" s="920"/>
      <c r="G8" s="920"/>
      <c r="H8" s="920"/>
      <c r="I8" s="921"/>
      <c r="J8" s="189" t="s">
        <v>85</v>
      </c>
      <c r="K8" s="189" t="s">
        <v>523</v>
      </c>
      <c r="L8" s="465"/>
      <c r="M8" s="616" t="s">
        <v>384</v>
      </c>
    </row>
    <row r="9" spans="1:13" ht="15" customHeight="1" x14ac:dyDescent="0.25">
      <c r="A9" s="170" t="s">
        <v>68</v>
      </c>
      <c r="B9" s="171">
        <v>1</v>
      </c>
      <c r="C9" s="161"/>
      <c r="D9" s="920"/>
      <c r="E9" s="920"/>
      <c r="F9" s="920"/>
      <c r="G9" s="920"/>
      <c r="H9" s="920"/>
      <c r="I9" s="921"/>
      <c r="J9" s="189" t="s">
        <v>524</v>
      </c>
      <c r="K9" s="189" t="s">
        <v>525</v>
      </c>
      <c r="L9" s="465"/>
      <c r="M9" s="465"/>
    </row>
    <row r="10" spans="1:13" ht="15" customHeight="1" x14ac:dyDescent="0.25">
      <c r="A10" s="172" t="s">
        <v>69</v>
      </c>
      <c r="B10" s="173">
        <v>10000000000</v>
      </c>
      <c r="C10" s="161"/>
      <c r="D10" s="920"/>
      <c r="E10" s="920"/>
      <c r="F10" s="920"/>
      <c r="G10" s="920"/>
      <c r="H10" s="920"/>
      <c r="I10" s="921"/>
      <c r="J10" s="189" t="s">
        <v>91</v>
      </c>
      <c r="K10" s="198" t="s">
        <v>526</v>
      </c>
      <c r="L10" s="465"/>
      <c r="M10" s="465"/>
    </row>
    <row r="11" spans="1:13" ht="15.75" x14ac:dyDescent="0.25">
      <c r="A11" s="174" t="s">
        <v>70</v>
      </c>
      <c r="B11" s="175">
        <v>1.1000000000000001</v>
      </c>
      <c r="C11" s="161"/>
      <c r="D11" s="922"/>
      <c r="E11" s="922"/>
      <c r="F11" s="922"/>
      <c r="G11" s="922"/>
      <c r="H11" s="922"/>
      <c r="I11" s="921"/>
    </row>
    <row r="12" spans="1:13" ht="15.75" x14ac:dyDescent="0.25">
      <c r="A12" s="162"/>
      <c r="B12" s="162"/>
      <c r="C12" s="161"/>
      <c r="D12" s="922"/>
      <c r="E12" s="922"/>
      <c r="F12" s="922"/>
      <c r="G12" s="922"/>
      <c r="H12" s="922"/>
      <c r="I12" s="921"/>
    </row>
    <row r="13" spans="1:13" ht="15.75" x14ac:dyDescent="0.25">
      <c r="A13" s="176" t="s">
        <v>71</v>
      </c>
      <c r="B13" s="654" t="s">
        <v>283</v>
      </c>
      <c r="C13" s="161"/>
      <c r="D13" s="922"/>
      <c r="E13" s="922"/>
      <c r="F13" s="922"/>
      <c r="G13" s="922"/>
      <c r="H13" s="922"/>
      <c r="I13" s="921"/>
    </row>
    <row r="14" spans="1:13" ht="15.75" x14ac:dyDescent="0.25">
      <c r="A14" s="178" t="s">
        <v>73</v>
      </c>
      <c r="B14" s="179">
        <f>VLOOKUP(B13,A22:D48,4,FALSE)</f>
        <v>20176</v>
      </c>
      <c r="C14" s="161"/>
      <c r="D14" s="922"/>
      <c r="E14" s="922"/>
      <c r="F14" s="922"/>
      <c r="G14" s="922"/>
      <c r="H14" s="922"/>
      <c r="I14" s="921"/>
    </row>
    <row r="15" spans="1:13" ht="15.75" x14ac:dyDescent="0.25">
      <c r="A15" s="178" t="s">
        <v>74</v>
      </c>
      <c r="B15" s="179">
        <f>VLOOKUP(B13,A22:H48,8,FALSE)</f>
        <v>22339</v>
      </c>
      <c r="C15" s="161"/>
      <c r="D15" s="922"/>
      <c r="E15" s="922"/>
      <c r="F15" s="922"/>
      <c r="G15" s="922"/>
      <c r="H15" s="922"/>
      <c r="I15" s="921"/>
    </row>
    <row r="16" spans="1:13" ht="15.75" x14ac:dyDescent="0.25">
      <c r="A16" s="178" t="s">
        <v>75</v>
      </c>
      <c r="B16" s="181" t="str">
        <f>VLOOKUP(B13,A22:G48,7,FALSE)</f>
        <v>Green</v>
      </c>
      <c r="C16" s="161"/>
      <c r="D16" s="922"/>
      <c r="E16" s="922"/>
      <c r="F16" s="922"/>
      <c r="G16" s="922"/>
      <c r="H16" s="922"/>
      <c r="I16" s="921"/>
    </row>
    <row r="17" spans="1:12" ht="15.75" x14ac:dyDescent="0.25">
      <c r="A17" s="162"/>
      <c r="B17" s="182"/>
      <c r="C17" s="161"/>
      <c r="D17" s="922"/>
      <c r="E17" s="922"/>
      <c r="F17" s="922"/>
      <c r="G17" s="922"/>
      <c r="H17" s="922"/>
      <c r="I17" s="921"/>
    </row>
    <row r="18" spans="1:12" ht="15.75" x14ac:dyDescent="0.25">
      <c r="A18" s="183" t="s">
        <v>52</v>
      </c>
      <c r="B18" s="184" t="s">
        <v>41</v>
      </c>
      <c r="C18" s="161"/>
      <c r="D18" s="922"/>
      <c r="E18" s="922"/>
      <c r="F18" s="922"/>
      <c r="G18" s="922"/>
      <c r="H18" s="922"/>
      <c r="I18" s="921"/>
    </row>
    <row r="19" spans="1:12" ht="15.75" x14ac:dyDescent="0.25">
      <c r="B19" s="162"/>
      <c r="C19" s="161"/>
      <c r="D19" s="161"/>
      <c r="E19" s="161"/>
      <c r="F19" s="161"/>
      <c r="G19" s="161"/>
      <c r="H19" s="161"/>
      <c r="I19" s="161"/>
    </row>
    <row r="20" spans="1:12" ht="15.75" x14ac:dyDescent="0.25">
      <c r="A20" s="162"/>
      <c r="B20" s="162"/>
      <c r="C20" s="161"/>
      <c r="D20" s="161"/>
      <c r="E20" s="161"/>
      <c r="F20" s="161"/>
      <c r="G20" s="161"/>
      <c r="H20" s="161"/>
    </row>
    <row r="21" spans="1:12" ht="15.75" x14ac:dyDescent="0.25">
      <c r="A21" s="188" t="s">
        <v>79</v>
      </c>
      <c r="B21" s="188"/>
      <c r="C21" s="162"/>
      <c r="D21" s="162"/>
      <c r="E21" s="162"/>
      <c r="F21" s="162"/>
      <c r="G21" s="162"/>
      <c r="H21" s="162"/>
    </row>
    <row r="22" spans="1:12" x14ac:dyDescent="0.2">
      <c r="A22" s="192" t="s">
        <v>82</v>
      </c>
      <c r="B22" s="193" t="s">
        <v>73</v>
      </c>
      <c r="C22" s="193" t="s">
        <v>74</v>
      </c>
      <c r="D22" s="193" t="s">
        <v>494</v>
      </c>
      <c r="E22" s="193" t="s">
        <v>527</v>
      </c>
      <c r="F22" s="193" t="s">
        <v>84</v>
      </c>
      <c r="G22" s="194" t="s">
        <v>75</v>
      </c>
      <c r="H22" s="602" t="s">
        <v>528</v>
      </c>
    </row>
    <row r="23" spans="1:12" x14ac:dyDescent="0.2">
      <c r="A23" s="655" t="s">
        <v>529</v>
      </c>
      <c r="B23" s="193" t="s">
        <v>530</v>
      </c>
      <c r="C23" s="193" t="s">
        <v>530</v>
      </c>
      <c r="D23" s="195">
        <v>59000</v>
      </c>
      <c r="E23" s="195"/>
      <c r="F23" s="196"/>
      <c r="G23" s="197"/>
      <c r="H23" s="195"/>
    </row>
    <row r="24" spans="1:12" x14ac:dyDescent="0.2">
      <c r="A24" s="192" t="s">
        <v>531</v>
      </c>
      <c r="B24" s="193" t="s">
        <v>530</v>
      </c>
      <c r="C24" s="193" t="s">
        <v>530</v>
      </c>
      <c r="D24" s="195">
        <v>58800</v>
      </c>
      <c r="E24" s="195">
        <v>63700</v>
      </c>
      <c r="F24" s="196">
        <f t="shared" ref="F24:F30" si="0">D24/E24</f>
        <v>0.92307692307692313</v>
      </c>
      <c r="G24" s="197" t="str">
        <f>IF(F24=0,"",IF(F24&lt;=$B$6,"Green",IF(F24&lt;=$B$8, "Amber",IF(F24&lt;=$B$10,"Red"))))</f>
        <v>Green</v>
      </c>
      <c r="H24" s="195"/>
    </row>
    <row r="25" spans="1:12" x14ac:dyDescent="0.2">
      <c r="A25" s="192" t="s">
        <v>532</v>
      </c>
      <c r="B25" s="193" t="s">
        <v>530</v>
      </c>
      <c r="C25" s="193" t="s">
        <v>530</v>
      </c>
      <c r="D25" s="195">
        <v>56700</v>
      </c>
      <c r="E25" s="195">
        <v>59800</v>
      </c>
      <c r="F25" s="196">
        <f t="shared" si="0"/>
        <v>0.94816053511705689</v>
      </c>
      <c r="G25" s="197" t="str">
        <f t="shared" ref="G25:G48" si="1">IF(F25=0,"",IF(F25&lt;=$B$6,"Green",IF(F25&lt;=$B$8, "Amber",IF(F25&lt;=$B$10,"Red"))))</f>
        <v>Green</v>
      </c>
      <c r="H25" s="195"/>
      <c r="I25" s="189" t="s">
        <v>94</v>
      </c>
      <c r="J25" s="198" t="s">
        <v>533</v>
      </c>
      <c r="K25" s="465"/>
      <c r="L25" s="465"/>
    </row>
    <row r="26" spans="1:12" ht="15.75" x14ac:dyDescent="0.25">
      <c r="A26" s="192" t="s">
        <v>534</v>
      </c>
      <c r="B26" s="193" t="s">
        <v>530</v>
      </c>
      <c r="C26" s="193" t="s">
        <v>530</v>
      </c>
      <c r="D26" s="195">
        <v>61200</v>
      </c>
      <c r="E26" s="195">
        <v>57300</v>
      </c>
      <c r="F26" s="199">
        <f t="shared" si="0"/>
        <v>1.0680628272251309</v>
      </c>
      <c r="G26" s="197" t="str">
        <f t="shared" si="1"/>
        <v>Amber</v>
      </c>
      <c r="H26" s="195"/>
      <c r="I26" s="161"/>
    </row>
    <row r="27" spans="1:12" ht="15.75" x14ac:dyDescent="0.25">
      <c r="A27" s="192" t="s">
        <v>398</v>
      </c>
      <c r="B27" s="195" t="s">
        <v>530</v>
      </c>
      <c r="C27" s="195" t="s">
        <v>530</v>
      </c>
      <c r="D27" s="195">
        <v>55700</v>
      </c>
      <c r="E27" s="195">
        <v>58100</v>
      </c>
      <c r="F27" s="196">
        <f t="shared" si="0"/>
        <v>0.95869191049913938</v>
      </c>
      <c r="G27" s="197" t="str">
        <f t="shared" si="1"/>
        <v>Green</v>
      </c>
      <c r="H27" s="195"/>
      <c r="I27" s="161"/>
    </row>
    <row r="28" spans="1:12" ht="15.75" x14ac:dyDescent="0.25">
      <c r="A28" s="192" t="s">
        <v>373</v>
      </c>
      <c r="B28" s="195" t="s">
        <v>530</v>
      </c>
      <c r="C28" s="195" t="s">
        <v>530</v>
      </c>
      <c r="D28" s="195">
        <v>56300</v>
      </c>
      <c r="E28" s="195">
        <v>52500</v>
      </c>
      <c r="F28" s="196">
        <f t="shared" si="0"/>
        <v>1.0723809523809524</v>
      </c>
      <c r="G28" s="197" t="str">
        <f t="shared" si="1"/>
        <v>Amber</v>
      </c>
      <c r="H28" s="195"/>
      <c r="I28" s="161"/>
    </row>
    <row r="29" spans="1:12" ht="15.75" x14ac:dyDescent="0.25">
      <c r="A29" s="192" t="s">
        <v>317</v>
      </c>
      <c r="B29" s="195" t="s">
        <v>530</v>
      </c>
      <c r="C29" s="195" t="s">
        <v>530</v>
      </c>
      <c r="D29" s="195">
        <v>57200</v>
      </c>
      <c r="E29" s="195">
        <v>49800</v>
      </c>
      <c r="F29" s="196">
        <f t="shared" si="0"/>
        <v>1.1485943775100402</v>
      </c>
      <c r="G29" s="197" t="str">
        <f t="shared" si="1"/>
        <v>Red</v>
      </c>
      <c r="H29" s="195"/>
      <c r="I29" s="161"/>
    </row>
    <row r="30" spans="1:12" ht="15.6" customHeight="1" x14ac:dyDescent="0.25">
      <c r="A30" s="192" t="s">
        <v>321</v>
      </c>
      <c r="B30" s="195" t="s">
        <v>530</v>
      </c>
      <c r="C30" s="195" t="s">
        <v>530</v>
      </c>
      <c r="D30" s="195">
        <v>47900</v>
      </c>
      <c r="E30" s="195">
        <v>42100</v>
      </c>
      <c r="F30" s="199">
        <f t="shared" si="0"/>
        <v>1.1377672209026128</v>
      </c>
      <c r="G30" s="197" t="str">
        <f t="shared" si="1"/>
        <v>Red</v>
      </c>
      <c r="H30" s="195"/>
      <c r="I30" s="161"/>
    </row>
    <row r="31" spans="1:12" s="658" customFormat="1" ht="15.6" customHeight="1" x14ac:dyDescent="0.25">
      <c r="A31" s="656" t="s">
        <v>322</v>
      </c>
      <c r="B31" s="405">
        <v>8947</v>
      </c>
      <c r="C31" s="405">
        <v>8576.3950196255446</v>
      </c>
      <c r="D31" s="405">
        <f>B31</f>
        <v>8947</v>
      </c>
      <c r="E31" s="405">
        <f>C31</f>
        <v>8576.3950196255446</v>
      </c>
      <c r="F31" s="196">
        <f>IF(D31=0,"",D31/E31)</f>
        <v>1.0432122097368874</v>
      </c>
      <c r="G31" s="197" t="str">
        <f t="shared" si="1"/>
        <v>Amber</v>
      </c>
      <c r="H31" s="405"/>
      <c r="I31" s="657"/>
    </row>
    <row r="32" spans="1:12" s="658" customFormat="1" ht="15.6" customHeight="1" x14ac:dyDescent="0.25">
      <c r="A32" s="656" t="s">
        <v>323</v>
      </c>
      <c r="B32" s="659">
        <v>5299</v>
      </c>
      <c r="C32" s="659">
        <v>5504</v>
      </c>
      <c r="D32" s="660">
        <f t="shared" ref="D32:E34" si="2">D31+B32</f>
        <v>14246</v>
      </c>
      <c r="E32" s="660">
        <f t="shared" si="2"/>
        <v>14080.395019625545</v>
      </c>
      <c r="F32" s="196">
        <f t="shared" ref="F32:F38" si="3">IF(D32=D31,"",D32/E32)</f>
        <v>1.0117613873860523</v>
      </c>
      <c r="G32" s="197" t="str">
        <f t="shared" si="1"/>
        <v>Amber</v>
      </c>
      <c r="H32" s="660"/>
      <c r="I32" s="657"/>
    </row>
    <row r="33" spans="1:11" ht="15.75" x14ac:dyDescent="0.25">
      <c r="A33" s="200" t="s">
        <v>324</v>
      </c>
      <c r="B33" s="659">
        <v>6382</v>
      </c>
      <c r="C33" s="660">
        <v>9991.8980404792164</v>
      </c>
      <c r="D33" s="661">
        <f>D32+B33</f>
        <v>20628</v>
      </c>
      <c r="E33" s="661">
        <f>E32+C33</f>
        <v>24072.293060104763</v>
      </c>
      <c r="F33" s="203">
        <f t="shared" si="3"/>
        <v>0.85691877996396526</v>
      </c>
      <c r="G33" s="197" t="str">
        <f t="shared" si="1"/>
        <v>Green</v>
      </c>
      <c r="H33" s="661"/>
      <c r="I33" s="161"/>
    </row>
    <row r="34" spans="1:11" ht="15.75" x14ac:dyDescent="0.25">
      <c r="A34" s="192" t="s">
        <v>139</v>
      </c>
      <c r="B34" s="195">
        <v>15007</v>
      </c>
      <c r="C34" s="195">
        <v>15665.923691855476</v>
      </c>
      <c r="D34" s="195">
        <f t="shared" si="2"/>
        <v>35635</v>
      </c>
      <c r="E34" s="195">
        <f t="shared" si="2"/>
        <v>39738.216751960237</v>
      </c>
      <c r="F34" s="199">
        <f t="shared" si="3"/>
        <v>0.89674381269869563</v>
      </c>
      <c r="G34" s="197" t="str">
        <f t="shared" si="1"/>
        <v>Green</v>
      </c>
      <c r="H34" s="195"/>
      <c r="I34" s="161"/>
    </row>
    <row r="35" spans="1:11" ht="15.75" x14ac:dyDescent="0.25">
      <c r="A35" s="192" t="s">
        <v>325</v>
      </c>
      <c r="B35" s="195">
        <f>SUM(J52:J55)</f>
        <v>6746</v>
      </c>
      <c r="C35" s="195">
        <v>9636.3333000000002</v>
      </c>
      <c r="D35" s="195">
        <f>B35</f>
        <v>6746</v>
      </c>
      <c r="E35" s="195">
        <f>C35</f>
        <v>9636.3333000000002</v>
      </c>
      <c r="F35" s="199">
        <f t="shared" si="3"/>
        <v>0.70005880763796324</v>
      </c>
      <c r="G35" s="197" t="str">
        <f t="shared" si="1"/>
        <v>Green</v>
      </c>
      <c r="H35" s="195"/>
      <c r="I35" s="161"/>
    </row>
    <row r="36" spans="1:11" ht="15.75" x14ac:dyDescent="0.25">
      <c r="A36" s="192" t="s">
        <v>326</v>
      </c>
      <c r="B36" s="195">
        <f>SUM(K52:K55)</f>
        <v>9506</v>
      </c>
      <c r="C36" s="195">
        <v>8362.3333299999995</v>
      </c>
      <c r="D36" s="195">
        <f t="shared" ref="D36:E37" si="4">D35+B36</f>
        <v>16252</v>
      </c>
      <c r="E36" s="195">
        <f t="shared" si="4"/>
        <v>17998.66663</v>
      </c>
      <c r="F36" s="199">
        <f t="shared" si="3"/>
        <v>0.90295577634130553</v>
      </c>
      <c r="G36" s="197" t="str">
        <f t="shared" si="1"/>
        <v>Green</v>
      </c>
      <c r="H36" s="195"/>
      <c r="I36" s="161"/>
    </row>
    <row r="37" spans="1:11" ht="15.75" x14ac:dyDescent="0.25">
      <c r="A37" s="192" t="s">
        <v>327</v>
      </c>
      <c r="B37" s="195">
        <v>9092</v>
      </c>
      <c r="C37" s="195">
        <v>9992.3333299999995</v>
      </c>
      <c r="D37" s="195">
        <v>25592</v>
      </c>
      <c r="E37" s="195">
        <f t="shared" si="4"/>
        <v>27990.999960000001</v>
      </c>
      <c r="F37" s="199">
        <f t="shared" si="3"/>
        <v>0.91429388148232482</v>
      </c>
      <c r="G37" s="197" t="str">
        <f t="shared" si="1"/>
        <v>Green</v>
      </c>
      <c r="H37" s="195"/>
      <c r="I37" s="161"/>
    </row>
    <row r="38" spans="1:11" ht="15.75" x14ac:dyDescent="0.25">
      <c r="A38" s="192" t="s">
        <v>286</v>
      </c>
      <c r="B38" s="195">
        <v>13116</v>
      </c>
      <c r="C38" s="195">
        <v>11747</v>
      </c>
      <c r="D38" s="195">
        <v>38460</v>
      </c>
      <c r="E38" s="195">
        <v>39737.999960000001</v>
      </c>
      <c r="F38" s="199">
        <f t="shared" si="3"/>
        <v>0.9678393487018363</v>
      </c>
      <c r="G38" s="197" t="str">
        <f t="shared" si="1"/>
        <v>Green</v>
      </c>
      <c r="H38" s="195"/>
      <c r="I38" s="161"/>
    </row>
    <row r="39" spans="1:11" ht="15.75" x14ac:dyDescent="0.25">
      <c r="A39" s="192" t="s">
        <v>329</v>
      </c>
      <c r="B39" s="195">
        <f>SUM(N52:N55)</f>
        <v>4717.2716779774009</v>
      </c>
      <c r="C39" s="195">
        <v>5229.75</v>
      </c>
      <c r="D39" s="195">
        <f>B39</f>
        <v>4717.2716779774009</v>
      </c>
      <c r="E39" s="195">
        <f>H39</f>
        <v>5229.75</v>
      </c>
      <c r="F39" s="199">
        <f>IF(D39=D37,"",D39/H39)</f>
        <v>0.90200710893970093</v>
      </c>
      <c r="G39" s="197" t="str">
        <f t="shared" si="1"/>
        <v>Green</v>
      </c>
      <c r="H39" s="195">
        <f>C39</f>
        <v>5229.75</v>
      </c>
      <c r="I39" s="161"/>
    </row>
    <row r="40" spans="1:11" ht="15.75" x14ac:dyDescent="0.25">
      <c r="A40" s="192" t="s">
        <v>330</v>
      </c>
      <c r="B40" s="195">
        <f>SUM(O52:O55)</f>
        <v>6821</v>
      </c>
      <c r="C40" s="195">
        <v>7321.65</v>
      </c>
      <c r="D40" s="195">
        <v>11494</v>
      </c>
      <c r="E40" s="195">
        <v>12551</v>
      </c>
      <c r="F40" s="199">
        <f t="shared" ref="F40:F45" si="5">IF(D40=D39,"",D40/H40)</f>
        <v>0.91575441783386713</v>
      </c>
      <c r="G40" s="197" t="str">
        <f t="shared" si="1"/>
        <v>Green</v>
      </c>
      <c r="H40" s="195">
        <f>C40+H39</f>
        <v>12551.4</v>
      </c>
      <c r="I40" s="161"/>
    </row>
    <row r="41" spans="1:11" ht="15.75" x14ac:dyDescent="0.25">
      <c r="A41" s="192" t="s">
        <v>331</v>
      </c>
      <c r="B41" s="195">
        <v>7989.4599077645689</v>
      </c>
      <c r="C41" s="195">
        <v>8716.25</v>
      </c>
      <c r="D41" s="195">
        <v>19485.340777442969</v>
      </c>
      <c r="E41" s="195">
        <v>21267.65</v>
      </c>
      <c r="F41" s="199">
        <f t="shared" si="5"/>
        <v>0.91619623124524652</v>
      </c>
      <c r="G41" s="197" t="str">
        <f t="shared" si="1"/>
        <v>Green</v>
      </c>
      <c r="H41" s="195">
        <f t="shared" ref="H41:H42" si="6">C41+H40</f>
        <v>21267.65</v>
      </c>
      <c r="I41" s="161"/>
      <c r="J41" s="399"/>
    </row>
    <row r="42" spans="1:11" ht="15.75" x14ac:dyDescent="0.25">
      <c r="A42" s="192" t="s">
        <v>117</v>
      </c>
      <c r="B42" s="195">
        <v>14942.48862438066</v>
      </c>
      <c r="C42" s="195">
        <v>13597.35</v>
      </c>
      <c r="D42" s="195">
        <f>SUM(B39:B42)</f>
        <v>34470.220210122628</v>
      </c>
      <c r="E42" s="195">
        <f>H42</f>
        <v>34865</v>
      </c>
      <c r="F42" s="199">
        <f t="shared" si="5"/>
        <v>0.98867690262792562</v>
      </c>
      <c r="G42" s="197" t="str">
        <f t="shared" si="1"/>
        <v>Green</v>
      </c>
      <c r="H42" s="195">
        <f t="shared" si="6"/>
        <v>34865</v>
      </c>
      <c r="I42" s="161"/>
    </row>
    <row r="43" spans="1:11" ht="15.75" x14ac:dyDescent="0.25">
      <c r="A43" s="192" t="s">
        <v>333</v>
      </c>
      <c r="B43" s="195">
        <f>SUM(R52:R55)</f>
        <v>5283.2824205708012</v>
      </c>
      <c r="C43" s="195">
        <v>5843</v>
      </c>
      <c r="D43" s="195">
        <f>B43</f>
        <v>5283.2824205708012</v>
      </c>
      <c r="E43" s="195">
        <f>H43</f>
        <v>5843</v>
      </c>
      <c r="F43" s="199">
        <f t="shared" si="5"/>
        <v>0.90420715737990776</v>
      </c>
      <c r="G43" s="197" t="str">
        <f t="shared" si="1"/>
        <v>Green</v>
      </c>
      <c r="H43" s="195">
        <f>C43</f>
        <v>5843</v>
      </c>
      <c r="I43" s="662"/>
      <c r="K43" s="610"/>
    </row>
    <row r="44" spans="1:11" ht="15.75" x14ac:dyDescent="0.25">
      <c r="A44" s="192" t="s">
        <v>334</v>
      </c>
      <c r="B44" s="195">
        <f>SUM(S52:S55)</f>
        <v>12046.96</v>
      </c>
      <c r="C44" s="195">
        <v>7369</v>
      </c>
      <c r="D44" s="195">
        <f>B44</f>
        <v>12046.96</v>
      </c>
      <c r="E44" s="195">
        <f>C43+C44</f>
        <v>13212</v>
      </c>
      <c r="F44" s="199">
        <f t="shared" si="5"/>
        <v>0.91181955797759606</v>
      </c>
      <c r="G44" s="197" t="str">
        <f t="shared" si="1"/>
        <v>Green</v>
      </c>
      <c r="H44" s="195">
        <f>C44+H43</f>
        <v>13212</v>
      </c>
      <c r="I44" s="662"/>
    </row>
    <row r="45" spans="1:11" ht="15.75" x14ac:dyDescent="0.25">
      <c r="A45" s="192" t="s">
        <v>283</v>
      </c>
      <c r="B45" s="482">
        <v>20176</v>
      </c>
      <c r="C45" s="195">
        <v>9127</v>
      </c>
      <c r="D45" s="195">
        <f>B45</f>
        <v>20176</v>
      </c>
      <c r="E45" s="195">
        <f>C45+E44</f>
        <v>22339</v>
      </c>
      <c r="F45" s="199">
        <f t="shared" si="5"/>
        <v>0.90317382156766191</v>
      </c>
      <c r="G45" s="197" t="str">
        <f t="shared" si="1"/>
        <v>Green</v>
      </c>
      <c r="H45" s="195">
        <f t="shared" ref="H45:H46" si="7">C45+H44</f>
        <v>22339</v>
      </c>
      <c r="I45" s="662"/>
    </row>
    <row r="46" spans="1:11" ht="15.75" x14ac:dyDescent="0.25">
      <c r="A46" s="192" t="s">
        <v>335</v>
      </c>
      <c r="B46" s="195"/>
      <c r="C46" s="195">
        <v>12181</v>
      </c>
      <c r="D46" s="195"/>
      <c r="E46" s="195">
        <v>34520.092066901758</v>
      </c>
      <c r="F46" s="199"/>
      <c r="G46" s="197" t="str">
        <f t="shared" si="1"/>
        <v/>
      </c>
      <c r="H46" s="195">
        <f t="shared" si="7"/>
        <v>34520</v>
      </c>
      <c r="I46" s="662"/>
    </row>
    <row r="47" spans="1:11" ht="15.75" x14ac:dyDescent="0.25">
      <c r="A47" s="192" t="s">
        <v>535</v>
      </c>
      <c r="B47" s="195"/>
      <c r="C47" s="195"/>
      <c r="D47" s="195"/>
      <c r="E47" s="195">
        <v>33040</v>
      </c>
      <c r="F47" s="199"/>
      <c r="G47" s="197" t="str">
        <f t="shared" si="1"/>
        <v/>
      </c>
      <c r="H47" s="195"/>
      <c r="I47" s="662"/>
    </row>
    <row r="48" spans="1:11" ht="15.75" x14ac:dyDescent="0.25">
      <c r="A48" s="192" t="s">
        <v>536</v>
      </c>
      <c r="B48" s="195"/>
      <c r="C48" s="195"/>
      <c r="D48" s="195"/>
      <c r="E48" s="195">
        <v>32501</v>
      </c>
      <c r="F48" s="199"/>
      <c r="G48" s="197" t="str">
        <f t="shared" si="1"/>
        <v/>
      </c>
      <c r="H48" s="195"/>
      <c r="I48" s="161"/>
    </row>
    <row r="49" spans="1:21" ht="15.75" x14ac:dyDescent="0.25">
      <c r="A49" s="161"/>
      <c r="B49" s="161"/>
      <c r="C49" s="161"/>
      <c r="D49" s="161"/>
      <c r="E49" s="161"/>
      <c r="F49" s="161"/>
      <c r="G49" s="161"/>
      <c r="H49" s="161"/>
      <c r="I49" s="161"/>
    </row>
    <row r="50" spans="1:21" ht="15.75" x14ac:dyDescent="0.25">
      <c r="A50" s="907" t="s">
        <v>537</v>
      </c>
      <c r="B50" s="906"/>
      <c r="C50" s="906"/>
      <c r="D50" s="161"/>
      <c r="E50" s="161"/>
      <c r="F50" s="161"/>
      <c r="G50" s="161"/>
      <c r="H50" s="161"/>
      <c r="I50" s="161"/>
    </row>
    <row r="51" spans="1:21" x14ac:dyDescent="0.2">
      <c r="A51" s="206"/>
      <c r="B51" s="206" t="s">
        <v>538</v>
      </c>
      <c r="C51" s="206" t="s">
        <v>539</v>
      </c>
      <c r="D51" s="206" t="s">
        <v>540</v>
      </c>
      <c r="E51" s="206" t="s">
        <v>541</v>
      </c>
      <c r="F51" s="193" t="s">
        <v>542</v>
      </c>
      <c r="G51" s="193" t="s">
        <v>543</v>
      </c>
      <c r="H51" s="193" t="s">
        <v>544</v>
      </c>
      <c r="I51" s="193" t="s">
        <v>545</v>
      </c>
      <c r="J51" s="600" t="s">
        <v>325</v>
      </c>
      <c r="K51" s="600" t="s">
        <v>326</v>
      </c>
      <c r="L51" s="600" t="s">
        <v>327</v>
      </c>
      <c r="M51" s="600" t="s">
        <v>328</v>
      </c>
      <c r="N51" s="600" t="s">
        <v>329</v>
      </c>
      <c r="O51" s="600" t="s">
        <v>330</v>
      </c>
      <c r="P51" s="600" t="s">
        <v>331</v>
      </c>
      <c r="Q51" s="600" t="s">
        <v>332</v>
      </c>
      <c r="R51" s="631" t="s">
        <v>333</v>
      </c>
      <c r="S51" s="631" t="s">
        <v>334</v>
      </c>
      <c r="T51" s="631" t="s">
        <v>283</v>
      </c>
      <c r="U51" s="631" t="s">
        <v>335</v>
      </c>
    </row>
    <row r="52" spans="1:21" x14ac:dyDescent="0.2">
      <c r="A52" s="200" t="s">
        <v>512</v>
      </c>
      <c r="B52" s="663">
        <v>1323.95</v>
      </c>
      <c r="C52" s="663">
        <v>817.25251079999998</v>
      </c>
      <c r="D52" s="663">
        <v>1084.8180947000001</v>
      </c>
      <c r="E52" s="664">
        <v>777</v>
      </c>
      <c r="F52" s="664">
        <v>898</v>
      </c>
      <c r="G52" s="427">
        <v>798</v>
      </c>
      <c r="H52" s="427">
        <v>1258.5086328529997</v>
      </c>
      <c r="I52" s="427">
        <v>1420</v>
      </c>
      <c r="J52" s="206">
        <v>657</v>
      </c>
      <c r="K52" s="206">
        <v>793</v>
      </c>
      <c r="L52" s="206">
        <v>861</v>
      </c>
      <c r="M52" s="206">
        <v>842</v>
      </c>
      <c r="N52" s="665">
        <v>638.59767731251839</v>
      </c>
      <c r="O52" s="206">
        <v>938</v>
      </c>
      <c r="P52" s="515">
        <v>969.30186319957693</v>
      </c>
      <c r="Q52" s="515">
        <v>999.4378089416989</v>
      </c>
      <c r="R52" s="515">
        <v>266.91189156933638</v>
      </c>
      <c r="S52" s="515">
        <v>508</v>
      </c>
      <c r="T52" s="666">
        <v>1765</v>
      </c>
      <c r="U52" s="515"/>
    </row>
    <row r="53" spans="1:21" x14ac:dyDescent="0.2">
      <c r="A53" s="200" t="s">
        <v>227</v>
      </c>
      <c r="B53" s="667">
        <v>3572.78</v>
      </c>
      <c r="C53" s="667">
        <v>3074.0936687558619</v>
      </c>
      <c r="D53" s="667">
        <v>3311.4386792870205</v>
      </c>
      <c r="E53" s="668">
        <v>2652</v>
      </c>
      <c r="F53" s="668">
        <v>2691</v>
      </c>
      <c r="G53" s="669">
        <v>1780</v>
      </c>
      <c r="H53" s="669">
        <v>2943.7</v>
      </c>
      <c r="I53" s="669">
        <v>3474</v>
      </c>
      <c r="J53" s="206">
        <v>2450</v>
      </c>
      <c r="K53" s="206">
        <v>2652</v>
      </c>
      <c r="L53" s="206">
        <v>2781</v>
      </c>
      <c r="M53" s="206">
        <v>2160</v>
      </c>
      <c r="N53" s="665">
        <v>1476.7774616291003</v>
      </c>
      <c r="O53" s="206">
        <v>2309</v>
      </c>
      <c r="P53" s="515">
        <v>2533</v>
      </c>
      <c r="Q53" s="515">
        <v>3087.5495465803001</v>
      </c>
      <c r="R53" s="515">
        <v>1413.5134280924999</v>
      </c>
      <c r="S53" s="515">
        <f>3908</f>
        <v>3908</v>
      </c>
      <c r="T53" s="666">
        <v>6706</v>
      </c>
      <c r="U53" s="515"/>
    </row>
    <row r="54" spans="1:21" x14ac:dyDescent="0.2">
      <c r="A54" s="200" t="s">
        <v>514</v>
      </c>
      <c r="B54" s="663">
        <v>4604.3915353616358</v>
      </c>
      <c r="C54" s="663">
        <v>3135.7278064664511</v>
      </c>
      <c r="D54" s="663">
        <v>3176.7934218593336</v>
      </c>
      <c r="E54" s="664">
        <v>2610</v>
      </c>
      <c r="F54" s="664">
        <v>2073</v>
      </c>
      <c r="G54" s="405">
        <f>915+252</f>
        <v>1167</v>
      </c>
      <c r="H54" s="405">
        <v>1499.7075884316998</v>
      </c>
      <c r="I54" s="405">
        <v>3390</v>
      </c>
      <c r="J54" s="206">
        <v>1596</v>
      </c>
      <c r="K54" s="206">
        <v>2621</v>
      </c>
      <c r="L54" s="206">
        <v>2009</v>
      </c>
      <c r="M54" s="206">
        <v>2329</v>
      </c>
      <c r="N54" s="665">
        <v>1014.2030814557816</v>
      </c>
      <c r="O54" s="206">
        <v>1666</v>
      </c>
      <c r="P54" s="515">
        <v>1818.2355812328929</v>
      </c>
      <c r="Q54" s="515">
        <v>2988.1099809986617</v>
      </c>
      <c r="R54" s="515">
        <v>1019.1090396089641</v>
      </c>
      <c r="S54" s="515">
        <f>2406.96</f>
        <v>2406.96</v>
      </c>
      <c r="T54" s="666">
        <v>3603</v>
      </c>
      <c r="U54" s="515"/>
    </row>
    <row r="55" spans="1:21" x14ac:dyDescent="0.2">
      <c r="A55" s="200" t="s">
        <v>515</v>
      </c>
      <c r="B55" s="663">
        <v>4675.7299999999996</v>
      </c>
      <c r="C55" s="663">
        <v>4592.2825457599947</v>
      </c>
      <c r="D55" s="663">
        <v>5434.3733739999998</v>
      </c>
      <c r="E55" s="664">
        <v>3105</v>
      </c>
      <c r="F55" s="664">
        <v>3284</v>
      </c>
      <c r="G55" s="427">
        <v>1554</v>
      </c>
      <c r="H55" s="405">
        <v>680.86891115999993</v>
      </c>
      <c r="I55" s="405">
        <v>6723</v>
      </c>
      <c r="J55" s="206">
        <v>2043</v>
      </c>
      <c r="K55" s="206">
        <v>3440</v>
      </c>
      <c r="L55" s="206">
        <v>3441</v>
      </c>
      <c r="M55" s="206">
        <v>7785</v>
      </c>
      <c r="N55" s="665">
        <v>1587.6934575800003</v>
      </c>
      <c r="O55" s="206">
        <v>1908</v>
      </c>
      <c r="P55" s="515">
        <v>2669.1855740599999</v>
      </c>
      <c r="Q55" s="515">
        <v>7867.3912878600004</v>
      </c>
      <c r="R55" s="515">
        <v>2583.7480613000007</v>
      </c>
      <c r="S55" s="515">
        <f>5224</f>
        <v>5224</v>
      </c>
      <c r="T55" s="666">
        <v>8102</v>
      </c>
      <c r="U55" s="515"/>
    </row>
    <row r="56" spans="1:21" ht="15.75" x14ac:dyDescent="0.25">
      <c r="A56" s="639"/>
      <c r="B56" s="639"/>
      <c r="C56" s="639"/>
      <c r="D56" s="639"/>
      <c r="E56" s="670"/>
      <c r="F56" s="670"/>
      <c r="G56" s="670"/>
      <c r="H56" s="161"/>
      <c r="I56" s="161"/>
    </row>
    <row r="57" spans="1:21" ht="15.75" x14ac:dyDescent="0.25">
      <c r="E57" s="161"/>
      <c r="F57" s="161"/>
      <c r="G57" s="161"/>
      <c r="H57" s="161"/>
      <c r="I57" s="161"/>
    </row>
    <row r="58" spans="1:21" ht="15.75" x14ac:dyDescent="0.25">
      <c r="A58" s="1034" t="s">
        <v>338</v>
      </c>
      <c r="B58" s="909"/>
      <c r="C58" s="909"/>
      <c r="D58" s="909"/>
      <c r="E58" s="909"/>
      <c r="F58" s="906"/>
      <c r="G58" s="906"/>
      <c r="H58" s="906"/>
      <c r="I58" s="161"/>
    </row>
    <row r="59" spans="1:21" ht="409.6" customHeight="1" x14ac:dyDescent="0.25">
      <c r="A59" s="1030" t="s">
        <v>546</v>
      </c>
      <c r="B59" s="911"/>
      <c r="C59" s="911"/>
      <c r="D59" s="911"/>
      <c r="E59" s="911"/>
      <c r="F59" s="1031" t="s">
        <v>547</v>
      </c>
      <c r="G59" s="1031"/>
      <c r="H59" s="1031"/>
      <c r="I59" s="1031"/>
      <c r="J59" s="1031"/>
      <c r="K59" s="1031"/>
    </row>
    <row r="60" spans="1:21" x14ac:dyDescent="0.2">
      <c r="A60" s="911"/>
      <c r="B60" s="911"/>
      <c r="C60" s="911"/>
      <c r="D60" s="911"/>
      <c r="E60" s="911"/>
    </row>
    <row r="61" spans="1:21" ht="15.75" x14ac:dyDescent="0.25">
      <c r="A61" s="911"/>
      <c r="B61" s="911"/>
      <c r="C61" s="911"/>
      <c r="D61" s="911"/>
      <c r="E61" s="911"/>
      <c r="F61" s="671"/>
      <c r="G61" s="672"/>
    </row>
    <row r="62" spans="1:21" ht="15.75" x14ac:dyDescent="0.25">
      <c r="A62" s="911"/>
      <c r="B62" s="911"/>
      <c r="C62" s="911"/>
      <c r="D62" s="911"/>
      <c r="E62" s="911"/>
      <c r="F62" s="673"/>
    </row>
    <row r="63" spans="1:21" ht="15.75" x14ac:dyDescent="0.25">
      <c r="A63" s="911"/>
      <c r="B63" s="911"/>
      <c r="C63" s="911"/>
      <c r="D63" s="911"/>
      <c r="E63" s="911"/>
      <c r="F63" s="673"/>
      <c r="G63" s="672"/>
    </row>
    <row r="64" spans="1:21" ht="15.75" x14ac:dyDescent="0.25">
      <c r="A64" s="911"/>
      <c r="B64" s="911"/>
      <c r="C64" s="911"/>
      <c r="D64" s="911"/>
      <c r="E64" s="911"/>
      <c r="F64" s="673"/>
    </row>
    <row r="65" spans="1:11" ht="15.75" x14ac:dyDescent="0.25">
      <c r="A65" s="911"/>
      <c r="B65" s="911"/>
      <c r="C65" s="911"/>
      <c r="D65" s="911"/>
      <c r="E65" s="911"/>
      <c r="F65" s="673"/>
    </row>
    <row r="66" spans="1:11" ht="15.75" x14ac:dyDescent="0.25">
      <c r="A66" s="911"/>
      <c r="B66" s="911"/>
      <c r="C66" s="911"/>
      <c r="D66" s="911"/>
      <c r="E66" s="911"/>
      <c r="F66" s="674"/>
    </row>
    <row r="67" spans="1:11" ht="15.75" x14ac:dyDescent="0.25">
      <c r="A67" s="911"/>
      <c r="B67" s="911"/>
      <c r="C67" s="911"/>
      <c r="D67" s="911"/>
      <c r="E67" s="911"/>
      <c r="F67" s="671"/>
    </row>
    <row r="68" spans="1:11" ht="15.75" x14ac:dyDescent="0.25">
      <c r="A68" s="911"/>
      <c r="B68" s="911"/>
      <c r="C68" s="911"/>
      <c r="D68" s="911"/>
      <c r="E68" s="911"/>
      <c r="F68" s="674"/>
    </row>
    <row r="69" spans="1:11" ht="15.75" x14ac:dyDescent="0.25">
      <c r="A69" s="911"/>
      <c r="B69" s="911"/>
      <c r="C69" s="911"/>
      <c r="D69" s="911"/>
      <c r="E69" s="911"/>
      <c r="H69" s="671"/>
    </row>
    <row r="70" spans="1:11" ht="15.75" x14ac:dyDescent="0.25">
      <c r="A70" s="911"/>
      <c r="B70" s="911"/>
      <c r="C70" s="911"/>
      <c r="D70" s="911"/>
      <c r="E70" s="911"/>
      <c r="H70" s="674"/>
    </row>
    <row r="72" spans="1:11" ht="15.75" x14ac:dyDescent="0.25">
      <c r="A72" s="912" t="s">
        <v>548</v>
      </c>
      <c r="B72" s="906"/>
      <c r="C72" s="906"/>
      <c r="D72" s="906"/>
      <c r="E72" s="906"/>
      <c r="F72" s="906"/>
      <c r="G72" s="906"/>
      <c r="H72" s="906"/>
      <c r="I72" s="906"/>
      <c r="J72" s="906"/>
    </row>
    <row r="73" spans="1:11" x14ac:dyDescent="0.2">
      <c r="A73" s="211" t="s">
        <v>110</v>
      </c>
      <c r="H73" s="211" t="s">
        <v>111</v>
      </c>
      <c r="K73" s="211" t="s">
        <v>112</v>
      </c>
    </row>
    <row r="74" spans="1:11" ht="43.5" customHeight="1" x14ac:dyDescent="0.2">
      <c r="A74" s="1032" t="s">
        <v>549</v>
      </c>
      <c r="B74" s="1032"/>
      <c r="C74" s="1032"/>
      <c r="D74" s="1032"/>
      <c r="E74" s="212"/>
      <c r="F74" s="212"/>
      <c r="G74" s="213"/>
      <c r="H74" s="831" t="s">
        <v>550</v>
      </c>
      <c r="I74" s="1033"/>
      <c r="K74" s="675" t="s">
        <v>507</v>
      </c>
    </row>
    <row r="75" spans="1:11" x14ac:dyDescent="0.2">
      <c r="E75" s="232"/>
      <c r="F75" s="232"/>
      <c r="G75" s="213"/>
    </row>
    <row r="76" spans="1:11" ht="28.5" customHeight="1" x14ac:dyDescent="0.2">
      <c r="A76" s="1018" t="s">
        <v>551</v>
      </c>
      <c r="B76" s="1018"/>
      <c r="C76" s="1018"/>
      <c r="D76" s="1018"/>
      <c r="E76" s="212"/>
      <c r="F76" s="212"/>
      <c r="G76" s="213"/>
      <c r="H76" s="830" t="s">
        <v>552</v>
      </c>
      <c r="I76" s="1027"/>
      <c r="K76" s="367" t="s">
        <v>507</v>
      </c>
    </row>
    <row r="77" spans="1:11" x14ac:dyDescent="0.2">
      <c r="E77" s="232"/>
      <c r="F77" s="232"/>
      <c r="G77" s="213"/>
    </row>
    <row r="78" spans="1:11" ht="31.5" customHeight="1" x14ac:dyDescent="0.2">
      <c r="A78" s="1018"/>
      <c r="B78" s="1018"/>
      <c r="C78" s="1018"/>
      <c r="D78" s="1018"/>
      <c r="E78" s="212"/>
      <c r="F78" s="212"/>
      <c r="G78" s="213"/>
      <c r="H78" s="830"/>
      <c r="I78" s="1027"/>
      <c r="K78" s="378"/>
    </row>
    <row r="79" spans="1:11" ht="15" customHeight="1" x14ac:dyDescent="0.2">
      <c r="E79" s="232"/>
      <c r="F79" s="232"/>
      <c r="G79" s="213"/>
    </row>
    <row r="80" spans="1:11" ht="15" customHeight="1" x14ac:dyDescent="0.2">
      <c r="A80" s="1018"/>
      <c r="B80" s="1018"/>
      <c r="C80" s="1018"/>
      <c r="D80" s="1018"/>
      <c r="E80" s="212"/>
      <c r="F80" s="212"/>
      <c r="G80" s="213"/>
      <c r="H80" s="1018"/>
      <c r="I80" s="1024"/>
      <c r="K80" s="378"/>
    </row>
    <row r="81" spans="1:6" ht="15" customHeight="1" x14ac:dyDescent="0.2"/>
    <row r="82" spans="1:6" ht="15" customHeight="1" x14ac:dyDescent="0.2">
      <c r="A82" s="905" t="s">
        <v>351</v>
      </c>
      <c r="B82" s="906"/>
      <c r="C82" s="906"/>
      <c r="D82" s="906"/>
      <c r="E82" s="906"/>
      <c r="F82" s="906"/>
    </row>
    <row r="83" spans="1:6" ht="15" customHeight="1" x14ac:dyDescent="0.2">
      <c r="A83" s="906"/>
      <c r="B83" s="906"/>
      <c r="C83" s="906"/>
      <c r="D83" s="906"/>
      <c r="E83" s="906"/>
      <c r="F83" s="906"/>
    </row>
    <row r="84" spans="1:6" ht="15" customHeight="1" x14ac:dyDescent="0.2">
      <c r="A84" s="906"/>
      <c r="B84" s="906"/>
      <c r="C84" s="906"/>
      <c r="D84" s="906"/>
      <c r="E84" s="906"/>
      <c r="F84" s="906"/>
    </row>
    <row r="85" spans="1:6" ht="15" customHeight="1" x14ac:dyDescent="0.2">
      <c r="A85" s="1018"/>
      <c r="B85" s="1018"/>
      <c r="C85" s="1018"/>
      <c r="D85" s="1018"/>
      <c r="E85" s="1018"/>
      <c r="F85" s="1018"/>
    </row>
    <row r="86" spans="1:6" ht="15" customHeight="1" x14ac:dyDescent="0.2">
      <c r="A86" s="1018"/>
      <c r="B86" s="1018"/>
      <c r="C86" s="1018"/>
      <c r="D86" s="1018"/>
      <c r="E86" s="1018"/>
      <c r="F86" s="1018"/>
    </row>
    <row r="87" spans="1:6" ht="15" customHeight="1" x14ac:dyDescent="0.2">
      <c r="A87" s="1018"/>
      <c r="B87" s="1018"/>
      <c r="C87" s="1018"/>
      <c r="D87" s="1018"/>
      <c r="E87" s="1018"/>
      <c r="F87" s="1018"/>
    </row>
    <row r="88" spans="1:6" ht="15" customHeight="1" x14ac:dyDescent="0.2">
      <c r="A88" s="1018"/>
      <c r="B88" s="1018"/>
      <c r="C88" s="1018"/>
      <c r="D88" s="1018"/>
      <c r="E88" s="1018"/>
      <c r="F88" s="1018"/>
    </row>
    <row r="89" spans="1:6" x14ac:dyDescent="0.2">
      <c r="A89" s="1018"/>
      <c r="B89" s="1018"/>
      <c r="C89" s="1018"/>
      <c r="D89" s="1018"/>
      <c r="E89" s="1018"/>
      <c r="F89" s="1018"/>
    </row>
    <row r="90" spans="1:6" x14ac:dyDescent="0.2">
      <c r="A90" s="1018"/>
      <c r="B90" s="1018"/>
      <c r="C90" s="1018"/>
      <c r="D90" s="1018"/>
      <c r="E90" s="1018"/>
      <c r="F90" s="1018"/>
    </row>
    <row r="91" spans="1:6" x14ac:dyDescent="0.2">
      <c r="A91" s="1018"/>
      <c r="B91" s="1018"/>
      <c r="C91" s="1018"/>
      <c r="D91" s="1018"/>
      <c r="E91" s="1018"/>
      <c r="F91" s="1018"/>
    </row>
    <row r="92" spans="1:6" x14ac:dyDescent="0.2">
      <c r="A92" s="1018"/>
      <c r="B92" s="1018"/>
      <c r="C92" s="1018"/>
      <c r="D92" s="1018"/>
      <c r="E92" s="1018"/>
      <c r="F92" s="1018"/>
    </row>
    <row r="93" spans="1:6" x14ac:dyDescent="0.2">
      <c r="A93" s="1018"/>
      <c r="B93" s="1018"/>
      <c r="C93" s="1018"/>
      <c r="D93" s="1018"/>
      <c r="E93" s="1018"/>
      <c r="F93" s="1018"/>
    </row>
    <row r="94" spans="1:6" x14ac:dyDescent="0.2">
      <c r="A94" s="1018"/>
      <c r="B94" s="1018"/>
      <c r="C94" s="1018"/>
      <c r="D94" s="1018"/>
      <c r="E94" s="1018"/>
      <c r="F94" s="1018"/>
    </row>
    <row r="95" spans="1:6" x14ac:dyDescent="0.2">
      <c r="A95" s="1018"/>
      <c r="B95" s="1018"/>
      <c r="C95" s="1018"/>
      <c r="D95" s="1018"/>
      <c r="E95" s="1018"/>
      <c r="F95" s="1018"/>
    </row>
    <row r="96" spans="1:6" x14ac:dyDescent="0.2">
      <c r="A96" s="1018"/>
      <c r="B96" s="1018"/>
      <c r="C96" s="1018"/>
      <c r="D96" s="1018"/>
      <c r="E96" s="1018"/>
      <c r="F96" s="1018"/>
    </row>
    <row r="97" spans="1:6" x14ac:dyDescent="0.2">
      <c r="A97" s="1018"/>
      <c r="B97" s="1018"/>
      <c r="C97" s="1018"/>
      <c r="D97" s="1018"/>
      <c r="E97" s="1018"/>
      <c r="F97" s="1018"/>
    </row>
  </sheetData>
  <sheetProtection selectLockedCells="1"/>
  <mergeCells count="19">
    <mergeCell ref="A58:H58"/>
    <mergeCell ref="A1:F1"/>
    <mergeCell ref="A2:G2"/>
    <mergeCell ref="A3:E4"/>
    <mergeCell ref="D7:I18"/>
    <mergeCell ref="A50:C50"/>
    <mergeCell ref="A85:F97"/>
    <mergeCell ref="A59:E70"/>
    <mergeCell ref="F59:K59"/>
    <mergeCell ref="A72:J72"/>
    <mergeCell ref="A74:D74"/>
    <mergeCell ref="H74:I74"/>
    <mergeCell ref="A76:D76"/>
    <mergeCell ref="H76:I76"/>
    <mergeCell ref="A78:D78"/>
    <mergeCell ref="H78:I78"/>
    <mergeCell ref="A80:D80"/>
    <mergeCell ref="H80:I80"/>
    <mergeCell ref="A82:F84"/>
  </mergeCells>
  <dataValidations xWindow="219" yWindow="305" count="4">
    <dataValidation allowBlank="1" showInputMessage="1" showErrorMessage="1" prompt="Quarterly target only" sqref="C31:C42"/>
    <dataValidation allowBlank="1" showInputMessage="1" showErrorMessage="1" prompt="Insert data for this quarter only_x000a_" sqref="B31:B42"/>
    <dataValidation errorStyle="information" allowBlank="1" showInputMessage="1" showErrorMessage="1" error="Please choose from the list provided" prompt="Please use the drop down list" sqref="B18"/>
    <dataValidation errorStyle="information" allowBlank="1" showInputMessage="1" showErrorMessage="1" error="Please choose from the list provided" prompt="Please use the drop down list" sqref="B13"/>
  </dataValidations>
  <pageMargins left="0.7" right="0.7" top="0.75" bottom="0.75" header="0.3" footer="0.3"/>
  <pageSetup paperSize="9" orientation="portrait" verticalDpi="12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52"/>
  <sheetViews>
    <sheetView showGridLines="0" zoomScale="90" zoomScaleNormal="90" workbookViewId="0">
      <selection activeCell="C7" sqref="C7"/>
    </sheetView>
  </sheetViews>
  <sheetFormatPr defaultRowHeight="15" x14ac:dyDescent="0.2"/>
  <cols>
    <col min="9" max="9" width="16.6640625" customWidth="1"/>
  </cols>
  <sheetData>
    <row r="1" spans="1:9" x14ac:dyDescent="0.2">
      <c r="A1" s="142"/>
      <c r="B1" s="142"/>
      <c r="C1" s="142"/>
      <c r="D1" s="142"/>
      <c r="E1" s="142"/>
      <c r="F1" s="142"/>
      <c r="G1" s="142"/>
      <c r="H1" s="142"/>
      <c r="I1" s="142"/>
    </row>
    <row r="2" spans="1:9" x14ac:dyDescent="0.2">
      <c r="A2" s="142"/>
      <c r="B2" s="142"/>
      <c r="C2" s="142"/>
      <c r="D2" s="142"/>
      <c r="E2" s="142"/>
      <c r="F2" s="142"/>
      <c r="G2" s="142"/>
      <c r="H2" s="142"/>
      <c r="I2" s="142"/>
    </row>
    <row r="3" spans="1:9" x14ac:dyDescent="0.2">
      <c r="A3" s="142"/>
      <c r="B3" s="142"/>
      <c r="C3" s="142"/>
      <c r="D3" s="142"/>
      <c r="E3" s="142"/>
      <c r="F3" s="142"/>
      <c r="G3" s="142"/>
      <c r="H3" s="142"/>
      <c r="I3" s="142"/>
    </row>
    <row r="4" spans="1:9" x14ac:dyDescent="0.2">
      <c r="A4" s="142"/>
      <c r="B4" s="142"/>
      <c r="C4" s="142"/>
      <c r="D4" s="142"/>
      <c r="E4" s="142"/>
      <c r="F4" s="142"/>
      <c r="G4" s="142"/>
      <c r="H4" s="142"/>
      <c r="I4" s="142"/>
    </row>
    <row r="5" spans="1:9" ht="26.45" customHeight="1" x14ac:dyDescent="0.2">
      <c r="A5" s="142"/>
      <c r="B5" s="142"/>
      <c r="C5" s="142"/>
      <c r="D5" s="142"/>
      <c r="E5" s="142"/>
      <c r="F5" s="142"/>
      <c r="G5" s="142"/>
      <c r="H5" s="142"/>
      <c r="I5" s="142"/>
    </row>
    <row r="6" spans="1:9" ht="16.5" thickBot="1" x14ac:dyDescent="0.3">
      <c r="A6" s="143" t="s">
        <v>49</v>
      </c>
      <c r="B6" s="143"/>
      <c r="C6" s="143" t="s">
        <v>50</v>
      </c>
      <c r="D6" s="143"/>
      <c r="E6" s="143" t="s">
        <v>51</v>
      </c>
      <c r="F6" s="792" t="s">
        <v>52</v>
      </c>
      <c r="G6" s="792"/>
      <c r="H6" s="793" t="s">
        <v>53</v>
      </c>
      <c r="I6" s="793"/>
    </row>
    <row r="7" spans="1:9" ht="16.5" thickBot="1" x14ac:dyDescent="0.25">
      <c r="A7" s="144" t="str">
        <f>'1 EA 1  Data Sheet'!B16</f>
        <v>Green</v>
      </c>
      <c r="B7" s="145"/>
      <c r="C7" s="146">
        <f>'1 EA 1  Data Sheet'!B14</f>
        <v>1155.67</v>
      </c>
      <c r="D7" s="143"/>
      <c r="E7" s="146">
        <f>'1 EA 1  Data Sheet'!B15</f>
        <v>1156</v>
      </c>
      <c r="F7" s="147" t="str">
        <f>'1 EA 1  Data Sheet'!B18</f>
        <v>Green</v>
      </c>
      <c r="G7" s="148"/>
      <c r="H7" s="794">
        <v>1500</v>
      </c>
      <c r="I7" s="794"/>
    </row>
    <row r="8" spans="1:9" ht="9" customHeight="1" x14ac:dyDescent="0.25">
      <c r="A8" s="149"/>
      <c r="B8" s="150"/>
      <c r="C8" s="150"/>
      <c r="D8" s="150"/>
      <c r="E8" s="150"/>
      <c r="F8" s="150"/>
      <c r="G8" s="150"/>
      <c r="H8" s="150"/>
      <c r="I8" s="149"/>
    </row>
    <row r="9" spans="1:9" ht="15.75" customHeight="1" x14ac:dyDescent="0.2">
      <c r="A9" s="795" t="s">
        <v>54</v>
      </c>
      <c r="B9" s="796"/>
      <c r="C9" s="796"/>
      <c r="D9" s="796"/>
      <c r="E9" s="796"/>
      <c r="F9" s="796"/>
      <c r="G9" s="797" t="str">
        <f>'1 EA 1  Data Sheet'!A42</f>
        <v>We continue to enhance the water environment to meet the new challenging target of 1,500km enhanced in the 2017/18 financial year. Work on diffuse sources of pollution make up one third of the report this quarter, with physical modification, point sources and invasive species making up the rest. Progress has been mainly from regulatory efforts in agriculture, the water industry and domestic properties. Other partners have also had a large contribution specifically in agriculture and the mining industry. Thanks to these contributions we have recorded a further 185km of enhancements this quarter, taking the total for the year so far to 1,156km and 2,386km since we updated the river basin management plans in December 2015.
The environment does not stand still, and we will continue to put effort into reversing and preventing deterioration to maintain the quality of the water environment. We have started a trial to collect information on what is being done and aim to report this regularly from the start of the next financial year. As an example, we have used regulatory approaches to contribute to reversing deterioration in 20km of river in Cumbria and Lancashire and West Midlands.  Deterioration has been prevented along 25km of rivers and canals through the area environment programme and by working with other partners in Lincolnshire, Northamptonshire and in the north east.
Most recent classification results show that just 14% of waters are achieving good status. To achieve more, a range of people and organisations need to continue to play their part to resolve complex environmental problems. The ‘km enhanced’ measure captures these contributions, and although we know it will take time we are confident that the work we are doing will lead to securing good status.</v>
      </c>
      <c r="H9" s="797"/>
      <c r="I9" s="797"/>
    </row>
    <row r="10" spans="1:9" ht="15.75" x14ac:dyDescent="0.2">
      <c r="D10" s="151"/>
      <c r="E10" s="152"/>
      <c r="F10" s="152"/>
      <c r="G10" s="797"/>
      <c r="H10" s="797"/>
      <c r="I10" s="797"/>
    </row>
    <row r="11" spans="1:9" x14ac:dyDescent="0.2">
      <c r="D11" s="151"/>
      <c r="E11" s="153"/>
      <c r="F11" s="153"/>
      <c r="G11" s="797"/>
      <c r="H11" s="797"/>
      <c r="I11" s="797"/>
    </row>
    <row r="12" spans="1:9" x14ac:dyDescent="0.2">
      <c r="D12" s="151"/>
      <c r="E12" s="153"/>
      <c r="F12" s="153"/>
      <c r="G12" s="797"/>
      <c r="H12" s="797"/>
      <c r="I12" s="797"/>
    </row>
    <row r="13" spans="1:9" x14ac:dyDescent="0.2">
      <c r="D13" s="151"/>
      <c r="E13" s="153"/>
      <c r="F13" s="153"/>
      <c r="G13" s="797"/>
      <c r="H13" s="797"/>
      <c r="I13" s="797"/>
    </row>
    <row r="14" spans="1:9" x14ac:dyDescent="0.2">
      <c r="D14" s="151"/>
      <c r="E14" s="153"/>
      <c r="F14" s="153"/>
      <c r="G14" s="797"/>
      <c r="H14" s="797"/>
      <c r="I14" s="797"/>
    </row>
    <row r="15" spans="1:9" x14ac:dyDescent="0.2">
      <c r="D15" s="151"/>
      <c r="E15" s="153"/>
      <c r="F15" s="153"/>
      <c r="G15" s="797"/>
      <c r="H15" s="797"/>
      <c r="I15" s="797"/>
    </row>
    <row r="16" spans="1:9" x14ac:dyDescent="0.2">
      <c r="D16" s="151"/>
      <c r="E16" s="153"/>
      <c r="F16" s="153"/>
      <c r="G16" s="797"/>
      <c r="H16" s="797"/>
      <c r="I16" s="797"/>
    </row>
    <row r="17" spans="1:9" x14ac:dyDescent="0.2">
      <c r="D17" s="151"/>
      <c r="E17" s="153"/>
      <c r="F17" s="153"/>
      <c r="G17" s="797"/>
      <c r="H17" s="797"/>
      <c r="I17" s="797"/>
    </row>
    <row r="18" spans="1:9" x14ac:dyDescent="0.2">
      <c r="D18" s="151"/>
      <c r="E18" s="153"/>
      <c r="F18" s="153"/>
      <c r="G18" s="797"/>
      <c r="H18" s="797"/>
      <c r="I18" s="797"/>
    </row>
    <row r="19" spans="1:9" x14ac:dyDescent="0.2">
      <c r="D19" s="151"/>
      <c r="E19" s="153"/>
      <c r="F19" s="153"/>
      <c r="G19" s="797"/>
      <c r="H19" s="797"/>
      <c r="I19" s="797"/>
    </row>
    <row r="20" spans="1:9" x14ac:dyDescent="0.2">
      <c r="D20" s="151"/>
      <c r="E20" s="153"/>
      <c r="F20" s="153"/>
      <c r="G20" s="797"/>
      <c r="H20" s="797"/>
      <c r="I20" s="797"/>
    </row>
    <row r="21" spans="1:9" x14ac:dyDescent="0.2">
      <c r="D21" s="151"/>
      <c r="E21" s="153"/>
      <c r="F21" s="153"/>
      <c r="G21" s="797"/>
      <c r="H21" s="797"/>
      <c r="I21" s="797"/>
    </row>
    <row r="22" spans="1:9" x14ac:dyDescent="0.2">
      <c r="D22" s="151"/>
      <c r="E22" s="153"/>
      <c r="F22" s="153"/>
      <c r="G22" s="797"/>
      <c r="H22" s="797"/>
      <c r="I22" s="797"/>
    </row>
    <row r="23" spans="1:9" x14ac:dyDescent="0.2">
      <c r="D23" s="151"/>
      <c r="E23" s="153"/>
      <c r="F23" s="153"/>
      <c r="G23" s="797"/>
      <c r="H23" s="797"/>
      <c r="I23" s="797"/>
    </row>
    <row r="24" spans="1:9" x14ac:dyDescent="0.2">
      <c r="D24" s="151"/>
      <c r="E24" s="153"/>
      <c r="F24" s="153"/>
      <c r="G24" s="797"/>
      <c r="H24" s="797"/>
      <c r="I24" s="797"/>
    </row>
    <row r="25" spans="1:9" x14ac:dyDescent="0.2">
      <c r="G25" s="797"/>
      <c r="H25" s="797"/>
      <c r="I25" s="797"/>
    </row>
    <row r="26" spans="1:9" x14ac:dyDescent="0.2">
      <c r="D26" s="151"/>
      <c r="G26" s="797"/>
      <c r="H26" s="797"/>
      <c r="I26" s="797"/>
    </row>
    <row r="27" spans="1:9" ht="15.75" x14ac:dyDescent="0.2">
      <c r="D27" s="151"/>
      <c r="E27" s="152"/>
      <c r="F27" s="152"/>
      <c r="G27" s="797"/>
      <c r="H27" s="797"/>
      <c r="I27" s="797"/>
    </row>
    <row r="28" spans="1:9" ht="15.75" x14ac:dyDescent="0.2">
      <c r="A28" s="795" t="s">
        <v>55</v>
      </c>
      <c r="B28" s="796"/>
      <c r="C28" s="796"/>
      <c r="D28" s="796"/>
      <c r="E28" s="796"/>
      <c r="F28" s="796"/>
      <c r="G28" s="797"/>
      <c r="H28" s="797"/>
      <c r="I28" s="797"/>
    </row>
    <row r="29" spans="1:9" x14ac:dyDescent="0.2">
      <c r="D29" s="151"/>
      <c r="E29" s="153"/>
      <c r="F29" s="153"/>
      <c r="G29" s="797"/>
      <c r="H29" s="797"/>
      <c r="I29" s="797"/>
    </row>
    <row r="30" spans="1:9" x14ac:dyDescent="0.2">
      <c r="D30" s="151"/>
      <c r="E30" s="153"/>
      <c r="F30" s="153"/>
      <c r="G30" s="797"/>
      <c r="H30" s="797"/>
      <c r="I30" s="797"/>
    </row>
    <row r="31" spans="1:9" x14ac:dyDescent="0.2">
      <c r="D31" s="151"/>
      <c r="E31" s="153"/>
      <c r="F31" s="153"/>
      <c r="G31" s="797"/>
      <c r="H31" s="797"/>
      <c r="I31" s="797"/>
    </row>
    <row r="32" spans="1:9" x14ac:dyDescent="0.2">
      <c r="D32" s="151"/>
      <c r="E32" s="153"/>
      <c r="F32" s="153"/>
      <c r="G32" s="797"/>
      <c r="H32" s="797"/>
      <c r="I32" s="797"/>
    </row>
    <row r="33" spans="1:9" x14ac:dyDescent="0.2">
      <c r="D33" s="151"/>
      <c r="E33" s="153"/>
      <c r="F33" s="153"/>
      <c r="G33" s="797"/>
      <c r="H33" s="797"/>
      <c r="I33" s="797"/>
    </row>
    <row r="34" spans="1:9" x14ac:dyDescent="0.2">
      <c r="D34" s="151"/>
      <c r="E34" s="153"/>
      <c r="F34" s="153"/>
      <c r="G34" s="797"/>
      <c r="H34" s="797"/>
      <c r="I34" s="797"/>
    </row>
    <row r="35" spans="1:9" x14ac:dyDescent="0.2">
      <c r="D35" s="151"/>
      <c r="E35" s="153"/>
      <c r="F35" s="153"/>
      <c r="G35" s="797"/>
      <c r="H35" s="797"/>
      <c r="I35" s="797"/>
    </row>
    <row r="36" spans="1:9" x14ac:dyDescent="0.2">
      <c r="D36" s="151"/>
      <c r="E36" s="153"/>
      <c r="F36" s="153"/>
      <c r="G36" s="797"/>
      <c r="H36" s="797"/>
      <c r="I36" s="797"/>
    </row>
    <row r="37" spans="1:9" x14ac:dyDescent="0.2">
      <c r="D37" s="151"/>
      <c r="E37" s="153"/>
      <c r="F37" s="153"/>
      <c r="G37" s="797"/>
      <c r="H37" s="797"/>
      <c r="I37" s="797"/>
    </row>
    <row r="38" spans="1:9" x14ac:dyDescent="0.2">
      <c r="D38" s="151"/>
      <c r="E38" s="153"/>
      <c r="F38" s="153"/>
      <c r="G38" s="797"/>
      <c r="H38" s="797"/>
      <c r="I38" s="797"/>
    </row>
    <row r="39" spans="1:9" x14ac:dyDescent="0.2">
      <c r="D39" s="151"/>
      <c r="E39" s="153"/>
      <c r="F39" s="153"/>
      <c r="G39" s="797"/>
      <c r="H39" s="797"/>
      <c r="I39" s="797"/>
    </row>
    <row r="40" spans="1:9" x14ac:dyDescent="0.2">
      <c r="D40" s="151"/>
      <c r="E40" s="153"/>
      <c r="F40" s="153"/>
      <c r="G40" s="797"/>
      <c r="H40" s="797"/>
      <c r="I40" s="797"/>
    </row>
    <row r="41" spans="1:9" ht="37.5" customHeight="1" x14ac:dyDescent="0.2">
      <c r="D41" s="151"/>
      <c r="E41" s="153"/>
      <c r="F41" s="153"/>
      <c r="G41" s="797"/>
      <c r="H41" s="797"/>
      <c r="I41" s="797"/>
    </row>
    <row r="42" spans="1:9" ht="18.75" customHeight="1" x14ac:dyDescent="0.2">
      <c r="D42" s="151"/>
      <c r="E42" s="153"/>
      <c r="F42" s="153"/>
      <c r="G42" s="797"/>
      <c r="H42" s="797"/>
      <c r="I42" s="797"/>
    </row>
    <row r="43" spans="1:9" ht="17.25" customHeight="1" x14ac:dyDescent="0.2">
      <c r="D43" s="151"/>
      <c r="E43" s="153"/>
      <c r="F43" s="153"/>
      <c r="G43" s="797"/>
      <c r="H43" s="797"/>
      <c r="I43" s="797"/>
    </row>
    <row r="44" spans="1:9" ht="17.25" customHeight="1" x14ac:dyDescent="0.2">
      <c r="D44" s="151"/>
      <c r="E44" s="153"/>
      <c r="F44" s="153"/>
      <c r="G44" s="797"/>
      <c r="H44" s="797"/>
      <c r="I44" s="797"/>
    </row>
    <row r="45" spans="1:9" ht="15.75" customHeight="1" x14ac:dyDescent="0.2">
      <c r="D45" s="151"/>
      <c r="E45" s="153"/>
      <c r="F45" s="153"/>
      <c r="G45" s="797"/>
      <c r="H45" s="797"/>
      <c r="I45" s="797"/>
    </row>
    <row r="46" spans="1:9" ht="5.45" customHeight="1" x14ac:dyDescent="0.2">
      <c r="D46" s="151"/>
      <c r="E46" s="153"/>
      <c r="F46" s="153"/>
      <c r="G46" s="798"/>
      <c r="H46" s="798"/>
      <c r="I46" s="798"/>
    </row>
    <row r="47" spans="1:9" ht="25.9" customHeight="1" x14ac:dyDescent="0.2">
      <c r="A47" s="785" t="s">
        <v>56</v>
      </c>
      <c r="B47" s="786"/>
      <c r="C47" s="786"/>
      <c r="D47" s="786"/>
      <c r="E47" s="786"/>
      <c r="F47" s="786"/>
      <c r="G47" s="787"/>
      <c r="H47" s="787"/>
      <c r="I47" s="788"/>
    </row>
    <row r="48" spans="1:9" ht="19.149999999999999" customHeight="1" x14ac:dyDescent="0.25">
      <c r="A48" s="154" t="s">
        <v>57</v>
      </c>
      <c r="B48" s="155"/>
      <c r="C48" s="155"/>
      <c r="D48" s="155"/>
      <c r="E48" s="155"/>
      <c r="F48" s="156"/>
      <c r="G48" s="157" t="s">
        <v>58</v>
      </c>
      <c r="H48" s="158"/>
      <c r="I48" s="157" t="s">
        <v>59</v>
      </c>
    </row>
    <row r="49" spans="1:9" ht="18" customHeight="1" x14ac:dyDescent="0.25">
      <c r="A49" s="789" t="str">
        <f>IF('1 EA 1  Data Sheet'!A55=0,"",'1 EA 1  Data Sheet'!A55)</f>
        <v/>
      </c>
      <c r="B49" s="790"/>
      <c r="C49" s="790"/>
      <c r="D49" s="790"/>
      <c r="E49" s="790"/>
      <c r="F49" s="791"/>
      <c r="G49" s="783" t="str">
        <f>IF('1 EA 1  Data Sheet'!F55=0,"",'1 EA 1  Data Sheet'!F55)</f>
        <v/>
      </c>
      <c r="H49" s="784"/>
      <c r="I49" s="159" t="str">
        <f>IF('1 EA 1  Data Sheet'!I55=0,"",'1 EA 1  Data Sheet'!I55)</f>
        <v/>
      </c>
    </row>
    <row r="50" spans="1:9" ht="15" customHeight="1" x14ac:dyDescent="0.25">
      <c r="A50" s="780" t="str">
        <f>IF('1 EA 1  Data Sheet'!A57=0,"",'1 EA 1  Data Sheet'!A57)</f>
        <v/>
      </c>
      <c r="B50" s="781"/>
      <c r="C50" s="781"/>
      <c r="D50" s="781"/>
      <c r="E50" s="781"/>
      <c r="F50" s="782"/>
      <c r="G50" s="783" t="str">
        <f>IF('1 EA 1  Data Sheet'!F57=0,"",'1 EA 1  Data Sheet'!F57)</f>
        <v/>
      </c>
      <c r="H50" s="784"/>
      <c r="I50" s="159" t="str">
        <f>IF('1 EA 1  Data Sheet'!I57=0,"",'1 EA 1  Data Sheet'!I57)</f>
        <v/>
      </c>
    </row>
    <row r="51" spans="1:9" ht="18.75" customHeight="1" x14ac:dyDescent="0.25">
      <c r="A51" s="780" t="str">
        <f>IF('1 EA 1  Data Sheet'!A59=0,"",'1 EA 1  Data Sheet'!A59)</f>
        <v/>
      </c>
      <c r="B51" s="781"/>
      <c r="C51" s="781"/>
      <c r="D51" s="781"/>
      <c r="E51" s="781"/>
      <c r="F51" s="782"/>
      <c r="G51" s="783" t="str">
        <f>IF('1 EA 1  Data Sheet'!F59=0,"",'1 EA 1  Data Sheet'!F59)</f>
        <v/>
      </c>
      <c r="H51" s="784"/>
      <c r="I51" s="159" t="str">
        <f>IF('1 EA 1  Data Sheet'!I59=0,"",'1 EA 1  Data Sheet'!I59)</f>
        <v/>
      </c>
    </row>
    <row r="52" spans="1:9" ht="15.75" customHeight="1" x14ac:dyDescent="0.25">
      <c r="A52" s="780" t="str">
        <f>IF('1 EA 1  Data Sheet'!A61=0,"",'1 EA 1  Data Sheet'!A61)</f>
        <v/>
      </c>
      <c r="B52" s="781"/>
      <c r="C52" s="781"/>
      <c r="D52" s="781"/>
      <c r="E52" s="781"/>
      <c r="F52" s="782"/>
      <c r="G52" s="783" t="str">
        <f>IF('1 EA 1  Data Sheet'!F61=0,"",'1 EA 1  Data Sheet'!F61)</f>
        <v/>
      </c>
      <c r="H52" s="784"/>
      <c r="I52" s="160" t="str">
        <f>IF('1 EA 1  Data Sheet'!I61=0,"",'1 EA 1  Data Sheet'!I61)</f>
        <v/>
      </c>
    </row>
  </sheetData>
  <sheetProtection password="BBC7" sheet="1" objects="1" scenarios="1" selectLockedCells="1" selectUnlockedCells="1"/>
  <mergeCells count="15">
    <mergeCell ref="F6:G6"/>
    <mergeCell ref="H6:I6"/>
    <mergeCell ref="H7:I7"/>
    <mergeCell ref="A9:F9"/>
    <mergeCell ref="G9:I46"/>
    <mergeCell ref="A28:F28"/>
    <mergeCell ref="A52:F52"/>
    <mergeCell ref="G52:H52"/>
    <mergeCell ref="A47:I47"/>
    <mergeCell ref="A49:F49"/>
    <mergeCell ref="G49:H49"/>
    <mergeCell ref="A50:F50"/>
    <mergeCell ref="G50:H50"/>
    <mergeCell ref="A51:F51"/>
    <mergeCell ref="G51:H51"/>
  </mergeCells>
  <conditionalFormatting sqref="B7">
    <cfRule type="containsText" dxfId="38" priority="1" operator="containsText" text="RED">
      <formula>NOT(ISERROR(SEARCH("RED",B7)))</formula>
    </cfRule>
    <cfRule type="containsText" dxfId="37" priority="2" operator="containsText" text="AMBER">
      <formula>NOT(ISERROR(SEARCH("AMBER",B7)))</formula>
    </cfRule>
    <cfRule type="containsText" dxfId="36" priority="3" operator="containsText" text="GREEN">
      <formula>NOT(ISERROR(SEARCH("GREEN",B7)))</formula>
    </cfRule>
  </conditionalFormatting>
  <pageMargins left="0.25" right="0.25" top="0.75" bottom="0.75" header="0.3" footer="0.3"/>
  <pageSetup paperSize="9" scale="52" orientation="portrait"/>
  <headerFooter>
    <oddFooter>&amp;R&amp;9Page 2</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76"/>
  <sheetViews>
    <sheetView showGridLines="0" topLeftCell="A8" zoomScale="80" zoomScaleNormal="80" workbookViewId="0">
      <selection activeCell="B16" sqref="B16"/>
    </sheetView>
  </sheetViews>
  <sheetFormatPr defaultColWidth="12.88671875" defaultRowHeight="15" x14ac:dyDescent="0.2"/>
  <cols>
    <col min="2" max="2" width="19" bestFit="1" customWidth="1"/>
    <col min="3" max="3" width="30.44140625" bestFit="1" customWidth="1"/>
    <col min="4" max="4" width="12.88671875" customWidth="1"/>
    <col min="13" max="13" width="4.5546875" bestFit="1" customWidth="1"/>
  </cols>
  <sheetData>
    <row r="1" spans="1:14" ht="18.75" x14ac:dyDescent="0.3">
      <c r="A1" s="914" t="s">
        <v>473</v>
      </c>
      <c r="B1" s="915"/>
      <c r="C1" s="915"/>
      <c r="D1" s="915"/>
      <c r="E1" s="915"/>
      <c r="F1" s="915"/>
      <c r="G1" s="906"/>
      <c r="H1" s="906"/>
      <c r="I1" s="906"/>
      <c r="J1" s="906"/>
    </row>
    <row r="2" spans="1:14" ht="15.75" x14ac:dyDescent="0.25">
      <c r="A2" s="916" t="s">
        <v>474</v>
      </c>
      <c r="B2" s="917"/>
      <c r="C2" s="917"/>
      <c r="D2" s="917"/>
      <c r="E2" s="917"/>
      <c r="F2" s="917"/>
      <c r="G2" s="917"/>
      <c r="H2" s="161"/>
      <c r="I2" s="161"/>
    </row>
    <row r="3" spans="1:14" ht="15" customHeight="1" x14ac:dyDescent="0.2">
      <c r="A3" s="918" t="s">
        <v>475</v>
      </c>
      <c r="B3" s="906"/>
      <c r="C3" s="906"/>
      <c r="D3" s="906"/>
      <c r="E3" s="906"/>
      <c r="F3" s="151"/>
      <c r="G3" s="151"/>
      <c r="H3" s="151"/>
      <c r="I3" s="151"/>
      <c r="J3" s="151"/>
    </row>
    <row r="4" spans="1:14" x14ac:dyDescent="0.2">
      <c r="A4" s="906"/>
      <c r="B4" s="906"/>
      <c r="C4" s="906"/>
      <c r="D4" s="906"/>
      <c r="E4" s="906"/>
      <c r="F4" s="151"/>
      <c r="G4" s="151"/>
      <c r="H4" s="151"/>
      <c r="I4" s="151"/>
      <c r="J4" s="151"/>
    </row>
    <row r="5" spans="1:14" ht="15.75" x14ac:dyDescent="0.25">
      <c r="A5" s="162"/>
      <c r="B5" s="162"/>
      <c r="C5" s="161"/>
      <c r="D5" s="161"/>
      <c r="E5" s="161"/>
      <c r="F5" s="161"/>
      <c r="G5" s="161"/>
      <c r="H5" s="161"/>
      <c r="I5" s="161"/>
      <c r="K5" t="s">
        <v>476</v>
      </c>
    </row>
    <row r="6" spans="1:14" ht="15.75" x14ac:dyDescent="0.25">
      <c r="A6" s="163" t="s">
        <v>63</v>
      </c>
      <c r="B6" s="164">
        <v>10000000000</v>
      </c>
      <c r="C6" s="161"/>
      <c r="D6" s="165" t="s">
        <v>64</v>
      </c>
      <c r="E6" s="166"/>
      <c r="F6" s="167"/>
      <c r="G6" s="167"/>
      <c r="H6" s="167"/>
      <c r="I6" s="167"/>
      <c r="K6" s="625" t="s">
        <v>477</v>
      </c>
      <c r="L6" s="626">
        <v>2743</v>
      </c>
      <c r="M6" s="627">
        <f>N6</f>
        <v>0.22611491220839172</v>
      </c>
      <c r="N6" s="627">
        <f>L6/$L$19</f>
        <v>0.22611491220839172</v>
      </c>
    </row>
    <row r="7" spans="1:14" ht="15.6" customHeight="1" x14ac:dyDescent="0.25">
      <c r="A7" s="168" t="s">
        <v>65</v>
      </c>
      <c r="B7" s="169">
        <v>0.95</v>
      </c>
      <c r="C7" s="161"/>
      <c r="D7" s="919" t="s">
        <v>66</v>
      </c>
      <c r="E7" s="920"/>
      <c r="F7" s="920"/>
      <c r="G7" s="920"/>
      <c r="H7" s="920"/>
      <c r="I7" s="921"/>
      <c r="K7" s="628" t="s">
        <v>478</v>
      </c>
      <c r="L7" s="626">
        <v>2669</v>
      </c>
      <c r="M7" s="627">
        <f>M6+N7</f>
        <v>0.44612975022669193</v>
      </c>
      <c r="N7" s="627">
        <f t="shared" ref="N7:N18" si="0">L7/$L$19</f>
        <v>0.22001483801830021</v>
      </c>
    </row>
    <row r="8" spans="1:14" ht="15.75" x14ac:dyDescent="0.25">
      <c r="A8" s="170" t="s">
        <v>67</v>
      </c>
      <c r="B8" s="171">
        <v>0.95</v>
      </c>
      <c r="C8" s="161"/>
      <c r="D8" s="920"/>
      <c r="E8" s="920"/>
      <c r="F8" s="920"/>
      <c r="G8" s="920"/>
      <c r="H8" s="920"/>
      <c r="I8" s="921"/>
      <c r="K8" s="628" t="s">
        <v>479</v>
      </c>
      <c r="L8" s="626">
        <v>6089</v>
      </c>
      <c r="M8" s="627">
        <f t="shared" ref="M8:M18" si="1">M7+N8</f>
        <v>0.94806693594922109</v>
      </c>
      <c r="N8" s="627">
        <f t="shared" si="0"/>
        <v>0.5019371857225291</v>
      </c>
    </row>
    <row r="9" spans="1:14" ht="15" customHeight="1" x14ac:dyDescent="0.25">
      <c r="A9" s="170" t="s">
        <v>68</v>
      </c>
      <c r="B9" s="171">
        <v>0.9</v>
      </c>
      <c r="C9" s="161"/>
      <c r="D9" s="920"/>
      <c r="E9" s="920"/>
      <c r="F9" s="920"/>
      <c r="G9" s="920"/>
      <c r="H9" s="920"/>
      <c r="I9" s="921"/>
      <c r="K9" s="628" t="s">
        <v>480</v>
      </c>
      <c r="L9" s="626">
        <v>336</v>
      </c>
      <c r="M9" s="627">
        <f t="shared" si="1"/>
        <v>0.97576457010963658</v>
      </c>
      <c r="N9" s="627">
        <f t="shared" si="0"/>
        <v>2.7697634160415464E-2</v>
      </c>
    </row>
    <row r="10" spans="1:14" ht="15" customHeight="1" x14ac:dyDescent="0.25">
      <c r="A10" s="172" t="s">
        <v>69</v>
      </c>
      <c r="B10" s="173">
        <v>0.9</v>
      </c>
      <c r="C10" s="161"/>
      <c r="D10" s="920"/>
      <c r="E10" s="920"/>
      <c r="F10" s="920"/>
      <c r="G10" s="920"/>
      <c r="H10" s="920"/>
      <c r="I10" s="921"/>
      <c r="K10" s="628" t="s">
        <v>481</v>
      </c>
      <c r="L10" s="626">
        <v>110</v>
      </c>
      <c r="M10" s="627">
        <f t="shared" si="1"/>
        <v>0.98483224795977264</v>
      </c>
      <c r="N10" s="627">
        <f t="shared" si="0"/>
        <v>9.0676778501360151E-3</v>
      </c>
    </row>
    <row r="11" spans="1:14" ht="15.75" x14ac:dyDescent="0.25">
      <c r="A11" s="174" t="s">
        <v>70</v>
      </c>
      <c r="B11" s="175">
        <v>0</v>
      </c>
      <c r="C11" s="161"/>
      <c r="D11" s="922"/>
      <c r="E11" s="922"/>
      <c r="F11" s="922"/>
      <c r="G11" s="922"/>
      <c r="H11" s="922"/>
      <c r="I11" s="921"/>
      <c r="K11" s="628" t="s">
        <v>482</v>
      </c>
      <c r="L11" s="626">
        <v>71</v>
      </c>
      <c r="M11" s="627">
        <f t="shared" si="1"/>
        <v>0.9906850218448604</v>
      </c>
      <c r="N11" s="627">
        <f t="shared" si="0"/>
        <v>5.8527738850877916E-3</v>
      </c>
    </row>
    <row r="12" spans="1:14" ht="15.75" x14ac:dyDescent="0.25">
      <c r="A12" s="162"/>
      <c r="B12" s="162"/>
      <c r="C12" s="161"/>
      <c r="D12" s="922"/>
      <c r="E12" s="922"/>
      <c r="F12" s="922"/>
      <c r="G12" s="922"/>
      <c r="H12" s="922"/>
      <c r="I12" s="921"/>
      <c r="K12" s="628" t="s">
        <v>483</v>
      </c>
      <c r="L12" s="626">
        <v>35</v>
      </c>
      <c r="M12" s="627">
        <f t="shared" si="1"/>
        <v>0.99357019206990371</v>
      </c>
      <c r="N12" s="627">
        <f t="shared" si="0"/>
        <v>2.8851702250432777E-3</v>
      </c>
    </row>
    <row r="13" spans="1:14" ht="15.75" x14ac:dyDescent="0.25">
      <c r="A13" s="176" t="s">
        <v>71</v>
      </c>
      <c r="B13" s="306" t="s">
        <v>283</v>
      </c>
      <c r="C13" s="161"/>
      <c r="D13" s="922"/>
      <c r="E13" s="922"/>
      <c r="F13" s="922"/>
      <c r="G13" s="922"/>
      <c r="H13" s="922"/>
      <c r="I13" s="921"/>
      <c r="K13" s="628" t="s">
        <v>484</v>
      </c>
      <c r="L13" s="626">
        <v>18</v>
      </c>
      <c r="M13" s="627">
        <f t="shared" si="1"/>
        <v>0.99505399389992599</v>
      </c>
      <c r="N13" s="627">
        <f t="shared" si="0"/>
        <v>1.483801830022257E-3</v>
      </c>
    </row>
    <row r="14" spans="1:14" ht="15.75" x14ac:dyDescent="0.25">
      <c r="A14" s="178" t="s">
        <v>73</v>
      </c>
      <c r="B14" s="629">
        <f>VLOOKUP($B$13,$A$27:$J$35,10,FALSE)</f>
        <v>0.94814936938422223</v>
      </c>
      <c r="C14" s="161"/>
      <c r="D14" s="922"/>
      <c r="E14" s="922"/>
      <c r="F14" s="922"/>
      <c r="G14" s="922"/>
      <c r="H14" s="922"/>
      <c r="I14" s="921"/>
      <c r="K14" s="628" t="s">
        <v>485</v>
      </c>
      <c r="L14" s="626">
        <v>16</v>
      </c>
      <c r="M14" s="627">
        <f t="shared" si="1"/>
        <v>0.99637292885994577</v>
      </c>
      <c r="N14" s="627">
        <f t="shared" si="0"/>
        <v>1.3189349600197841E-3</v>
      </c>
    </row>
    <row r="15" spans="1:14" ht="15.75" x14ac:dyDescent="0.25">
      <c r="A15" s="178" t="s">
        <v>74</v>
      </c>
      <c r="B15" s="598">
        <v>0.95</v>
      </c>
      <c r="C15" s="161"/>
      <c r="D15" s="922"/>
      <c r="E15" s="922"/>
      <c r="F15" s="922"/>
      <c r="G15" s="922"/>
      <c r="H15" s="922"/>
      <c r="I15" s="921"/>
      <c r="K15" s="628" t="s">
        <v>486</v>
      </c>
      <c r="L15" s="626">
        <v>12</v>
      </c>
      <c r="M15" s="627">
        <f t="shared" si="1"/>
        <v>0.99736213007996066</v>
      </c>
      <c r="N15" s="627">
        <f t="shared" si="0"/>
        <v>9.8920122001483804E-4</v>
      </c>
    </row>
    <row r="16" spans="1:14" ht="15.75" x14ac:dyDescent="0.25">
      <c r="A16" s="178" t="s">
        <v>75</v>
      </c>
      <c r="B16" s="598" t="str">
        <f>VLOOKUP($B$13,$A$27:$J$35,7,FALSE)</f>
        <v>Amber</v>
      </c>
      <c r="C16" s="161"/>
      <c r="D16" s="922"/>
      <c r="E16" s="922"/>
      <c r="F16" s="922"/>
      <c r="G16" s="922"/>
      <c r="H16" s="922"/>
      <c r="I16" s="921"/>
      <c r="K16" s="628" t="s">
        <v>487</v>
      </c>
      <c r="L16" s="626">
        <v>6</v>
      </c>
      <c r="M16" s="627">
        <f t="shared" si="1"/>
        <v>0.99785673068996805</v>
      </c>
      <c r="N16" s="627">
        <f t="shared" si="0"/>
        <v>4.9460061000741902E-4</v>
      </c>
    </row>
    <row r="17" spans="1:14" ht="15.75" x14ac:dyDescent="0.25">
      <c r="A17" s="162"/>
      <c r="B17" s="182"/>
      <c r="C17" s="161"/>
      <c r="D17" s="922"/>
      <c r="E17" s="922"/>
      <c r="F17" s="922"/>
      <c r="G17" s="922"/>
      <c r="H17" s="922"/>
      <c r="I17" s="921"/>
      <c r="K17" s="628" t="s">
        <v>488</v>
      </c>
      <c r="L17" s="626">
        <v>4</v>
      </c>
      <c r="M17" s="627">
        <f t="shared" si="1"/>
        <v>0.99818646442997305</v>
      </c>
      <c r="N17" s="627">
        <f t="shared" si="0"/>
        <v>3.2973374000494601E-4</v>
      </c>
    </row>
    <row r="18" spans="1:14" ht="15.75" x14ac:dyDescent="0.25">
      <c r="A18" s="178" t="s">
        <v>52</v>
      </c>
      <c r="B18" s="184" t="s">
        <v>41</v>
      </c>
      <c r="C18" s="161"/>
      <c r="D18" s="922"/>
      <c r="E18" s="922"/>
      <c r="F18" s="922"/>
      <c r="G18" s="922"/>
      <c r="H18" s="922"/>
      <c r="I18" s="921"/>
      <c r="K18" s="628" t="s">
        <v>489</v>
      </c>
      <c r="L18" s="626">
        <v>22</v>
      </c>
      <c r="M18" s="627">
        <f t="shared" si="1"/>
        <v>1.0000000000000002</v>
      </c>
      <c r="N18" s="627">
        <f t="shared" si="0"/>
        <v>1.813535570027203E-3</v>
      </c>
    </row>
    <row r="19" spans="1:14" ht="15.75" x14ac:dyDescent="0.25">
      <c r="B19" s="162"/>
      <c r="C19" s="161"/>
      <c r="D19" s="161"/>
      <c r="E19" s="161"/>
      <c r="F19" s="161"/>
      <c r="G19" s="161"/>
      <c r="H19" s="161"/>
      <c r="I19" s="161"/>
      <c r="L19" s="630">
        <f>SUM($L$6:$L$18)</f>
        <v>12131</v>
      </c>
    </row>
    <row r="20" spans="1:14" ht="15.75" x14ac:dyDescent="0.25">
      <c r="A20" s="162"/>
      <c r="B20" s="162"/>
      <c r="C20" s="161"/>
      <c r="D20" s="161"/>
      <c r="E20" s="161"/>
      <c r="F20" s="161"/>
      <c r="G20" s="161"/>
      <c r="H20" s="161"/>
      <c r="I20" s="161"/>
    </row>
    <row r="21" spans="1:14" ht="15.6" hidden="1" customHeight="1" x14ac:dyDescent="0.25">
      <c r="A21" s="200" t="s">
        <v>139</v>
      </c>
      <c r="B21" s="204"/>
      <c r="C21" s="204"/>
      <c r="D21" s="196" t="str">
        <f>IF(B21="","",B21/C21)</f>
        <v/>
      </c>
      <c r="E21" s="197" t="str">
        <f>IF(D21="","",IF(D21&gt;=$B$7,"GREEN",IF(D21&gt;=$B$9, "AMBER",IF(D21&gt;=$B$11,"RED"))))</f>
        <v/>
      </c>
      <c r="G21" s="161"/>
    </row>
    <row r="22" spans="1:14" ht="15.6" customHeight="1" x14ac:dyDescent="0.25">
      <c r="A22" s="188" t="s">
        <v>490</v>
      </c>
      <c r="B22" s="161"/>
      <c r="C22" s="161"/>
      <c r="D22" s="161"/>
      <c r="E22" s="161"/>
      <c r="F22" s="161"/>
      <c r="G22" s="161"/>
      <c r="H22" s="161"/>
      <c r="I22" s="161"/>
    </row>
    <row r="23" spans="1:14" ht="15.6" customHeight="1" x14ac:dyDescent="0.2">
      <c r="A23" s="192" t="s">
        <v>82</v>
      </c>
      <c r="B23" s="193" t="s">
        <v>491</v>
      </c>
      <c r="C23" s="193" t="s">
        <v>492</v>
      </c>
      <c r="D23" s="193" t="s">
        <v>493</v>
      </c>
      <c r="E23" s="631" t="s">
        <v>452</v>
      </c>
      <c r="F23" s="193" t="s">
        <v>84</v>
      </c>
      <c r="G23" s="194" t="s">
        <v>75</v>
      </c>
      <c r="H23" s="193" t="s">
        <v>494</v>
      </c>
      <c r="I23" s="193" t="s">
        <v>495</v>
      </c>
      <c r="J23" s="632" t="s">
        <v>496</v>
      </c>
    </row>
    <row r="24" spans="1:14" ht="15.6" hidden="1" customHeight="1" x14ac:dyDescent="0.2">
      <c r="A24" s="200" t="s">
        <v>139</v>
      </c>
      <c r="B24" s="427">
        <v>32484</v>
      </c>
      <c r="C24" s="427">
        <v>30294</v>
      </c>
      <c r="D24" s="205">
        <f t="shared" ref="D24:D36" si="2">B24*0.95</f>
        <v>30859.8</v>
      </c>
      <c r="E24" s="203">
        <v>0.95</v>
      </c>
      <c r="F24" s="203">
        <f t="shared" ref="F24:F36" si="3">IF(C24="","",C24/B24)</f>
        <v>0.93258219431104539</v>
      </c>
      <c r="G24" s="197" t="str">
        <f>IF(J24="","",IF(J24&gt;=$B$7,"GREEN",IF(J24&gt;=$B$9, "AMBER",IF(J24&gt;=$B$11,"RED"))))</f>
        <v>AMBER</v>
      </c>
      <c r="H24" s="205">
        <v>30294</v>
      </c>
      <c r="I24" s="205">
        <v>32484</v>
      </c>
      <c r="J24" s="633">
        <f t="shared" ref="J24:J36" si="4">H24/I24</f>
        <v>0.93258219431104539</v>
      </c>
    </row>
    <row r="25" spans="1:14" ht="15.6" hidden="1" customHeight="1" x14ac:dyDescent="0.2">
      <c r="A25" s="200" t="s">
        <v>325</v>
      </c>
      <c r="B25" s="427">
        <v>5543</v>
      </c>
      <c r="C25" s="427">
        <v>5090</v>
      </c>
      <c r="D25" s="205">
        <f t="shared" si="2"/>
        <v>5265.8499999999995</v>
      </c>
      <c r="E25" s="203">
        <v>0.95</v>
      </c>
      <c r="F25" s="203">
        <f t="shared" si="3"/>
        <v>0.91827530218293341</v>
      </c>
      <c r="G25" s="197" t="str">
        <f>IF(J25="","",IF(J25&gt;=$B$7,"GREEN",IF(J25&gt;=$B$9, "AMBER",IF(J25&gt;=$B$11,"RED"))))</f>
        <v>AMBER</v>
      </c>
      <c r="H25" s="205">
        <f>C25</f>
        <v>5090</v>
      </c>
      <c r="I25" s="205">
        <f>B25</f>
        <v>5543</v>
      </c>
      <c r="J25" s="633">
        <f t="shared" si="4"/>
        <v>0.91827530218293341</v>
      </c>
    </row>
    <row r="26" spans="1:14" ht="15.6" hidden="1" customHeight="1" x14ac:dyDescent="0.2">
      <c r="A26" s="200" t="s">
        <v>326</v>
      </c>
      <c r="B26" s="427">
        <v>5836</v>
      </c>
      <c r="C26" s="427">
        <v>5309</v>
      </c>
      <c r="D26" s="205">
        <f t="shared" si="2"/>
        <v>5544.2</v>
      </c>
      <c r="E26" s="203">
        <v>0.95</v>
      </c>
      <c r="F26" s="203">
        <f t="shared" si="3"/>
        <v>0.90969842357779296</v>
      </c>
      <c r="G26" s="197" t="str">
        <f>IF(J26="","",IF(J26&gt;=$B$7,"GREEN",IF(J26&gt;=$B$9, "AMBER",IF(J26&gt;=$B$11,"RED"))))</f>
        <v>AMBER</v>
      </c>
      <c r="H26" s="205">
        <f>H25+C26</f>
        <v>10399</v>
      </c>
      <c r="I26" s="205">
        <f>I25+B26</f>
        <v>11379</v>
      </c>
      <c r="J26" s="633">
        <f t="shared" si="4"/>
        <v>0.91387643905439842</v>
      </c>
    </row>
    <row r="27" spans="1:14" ht="15.6" customHeight="1" x14ac:dyDescent="0.2">
      <c r="A27" s="200" t="s">
        <v>327</v>
      </c>
      <c r="B27" s="427">
        <v>5113</v>
      </c>
      <c r="C27" s="427">
        <v>4729</v>
      </c>
      <c r="D27" s="205">
        <f t="shared" si="2"/>
        <v>4857.3499999999995</v>
      </c>
      <c r="E27" s="203">
        <v>0.95</v>
      </c>
      <c r="F27" s="203">
        <f t="shared" si="3"/>
        <v>0.92489732055544693</v>
      </c>
      <c r="G27" s="197" t="str">
        <f>IF(J27="","",IF(J27&gt;=$B$7,"Green",IF(J27&gt;=$B$9, "Amber",IF(J27&gt;=$B$11,"Red"))))</f>
        <v>Amber</v>
      </c>
      <c r="H27" s="205">
        <f>H26+C27</f>
        <v>15128</v>
      </c>
      <c r="I27" s="205">
        <f>I26+B27</f>
        <v>16492</v>
      </c>
      <c r="J27" s="634">
        <f t="shared" si="4"/>
        <v>0.91729323308270672</v>
      </c>
    </row>
    <row r="28" spans="1:14" ht="15.6" customHeight="1" x14ac:dyDescent="0.2">
      <c r="A28" s="200" t="s">
        <v>328</v>
      </c>
      <c r="B28" s="427">
        <v>4292</v>
      </c>
      <c r="C28" s="427">
        <v>3976</v>
      </c>
      <c r="D28" s="205">
        <f t="shared" si="2"/>
        <v>4077.3999999999996</v>
      </c>
      <c r="E28" s="203">
        <v>0.95</v>
      </c>
      <c r="F28" s="203">
        <f t="shared" si="3"/>
        <v>0.9263746505125815</v>
      </c>
      <c r="G28" s="197" t="str">
        <f t="shared" ref="G28:G36" si="5">IF(J28="","",IF(J28&gt;=$B$7,"Green",IF(J28&gt;=$B$9, "Amber",IF(J28&gt;=$B$11,"Red"))))</f>
        <v>Amber</v>
      </c>
      <c r="H28" s="205">
        <f>H27+C28</f>
        <v>19104</v>
      </c>
      <c r="I28" s="205">
        <f>I27+B28</f>
        <v>20784</v>
      </c>
      <c r="J28" s="634">
        <f t="shared" si="4"/>
        <v>0.91916859122401851</v>
      </c>
    </row>
    <row r="29" spans="1:14" ht="15.6" customHeight="1" x14ac:dyDescent="0.2">
      <c r="A29" s="608" t="s">
        <v>329</v>
      </c>
      <c r="B29" s="427">
        <v>4386</v>
      </c>
      <c r="C29" s="427">
        <v>4137</v>
      </c>
      <c r="D29" s="205">
        <f t="shared" si="2"/>
        <v>4166.7</v>
      </c>
      <c r="E29" s="203">
        <v>0.95</v>
      </c>
      <c r="F29" s="203">
        <f t="shared" si="3"/>
        <v>0.94322845417236667</v>
      </c>
      <c r="G29" s="197" t="str">
        <f t="shared" si="5"/>
        <v>Amber</v>
      </c>
      <c r="H29" s="205">
        <f>C29</f>
        <v>4137</v>
      </c>
      <c r="I29" s="205">
        <f>B29</f>
        <v>4386</v>
      </c>
      <c r="J29" s="634">
        <f t="shared" si="4"/>
        <v>0.94322845417236667</v>
      </c>
    </row>
    <row r="30" spans="1:14" ht="15.6" customHeight="1" x14ac:dyDescent="0.2">
      <c r="A30" s="608" t="s">
        <v>330</v>
      </c>
      <c r="B30" s="427">
        <v>5484</v>
      </c>
      <c r="C30" s="427">
        <v>5310</v>
      </c>
      <c r="D30" s="205">
        <f t="shared" si="2"/>
        <v>5209.8</v>
      </c>
      <c r="E30" s="203">
        <v>0.95</v>
      </c>
      <c r="F30" s="203">
        <f t="shared" si="3"/>
        <v>0.96827133479212257</v>
      </c>
      <c r="G30" s="197" t="str">
        <f t="shared" si="5"/>
        <v>Green</v>
      </c>
      <c r="H30" s="205">
        <f>C30+H29</f>
        <v>9447</v>
      </c>
      <c r="I30" s="205">
        <f>B30+I29</f>
        <v>9870</v>
      </c>
      <c r="J30" s="634">
        <f t="shared" si="4"/>
        <v>0.95714285714285718</v>
      </c>
    </row>
    <row r="31" spans="1:14" ht="15.6" customHeight="1" x14ac:dyDescent="0.2">
      <c r="A31" s="608" t="s">
        <v>331</v>
      </c>
      <c r="B31" s="427">
        <v>4634</v>
      </c>
      <c r="C31" s="427">
        <v>4443</v>
      </c>
      <c r="D31" s="205">
        <f t="shared" si="2"/>
        <v>4402.3</v>
      </c>
      <c r="E31" s="203">
        <v>0.95</v>
      </c>
      <c r="F31" s="203">
        <f t="shared" si="3"/>
        <v>0.95878290893396634</v>
      </c>
      <c r="G31" s="197" t="str">
        <f t="shared" si="5"/>
        <v>Green</v>
      </c>
      <c r="H31" s="205">
        <f>C31+H30</f>
        <v>13890</v>
      </c>
      <c r="I31" s="205">
        <f>B31+I30</f>
        <v>14504</v>
      </c>
      <c r="J31" s="634">
        <f t="shared" si="4"/>
        <v>0.95766685052399336</v>
      </c>
    </row>
    <row r="32" spans="1:14" ht="15.6" customHeight="1" x14ac:dyDescent="0.2">
      <c r="A32" s="608" t="s">
        <v>332</v>
      </c>
      <c r="B32" s="427">
        <v>4171</v>
      </c>
      <c r="C32" s="427">
        <v>3963</v>
      </c>
      <c r="D32" s="205">
        <f t="shared" si="2"/>
        <v>3962.45</v>
      </c>
      <c r="E32" s="203">
        <v>0.95</v>
      </c>
      <c r="F32" s="203">
        <f t="shared" si="3"/>
        <v>0.95013186286262286</v>
      </c>
      <c r="G32" s="197" t="str">
        <f t="shared" si="5"/>
        <v>Green</v>
      </c>
      <c r="H32" s="205">
        <f>C32+H31</f>
        <v>17853</v>
      </c>
      <c r="I32" s="205">
        <f>B32+I31</f>
        <v>18675</v>
      </c>
      <c r="J32" s="634">
        <f t="shared" si="4"/>
        <v>0.95598393574297191</v>
      </c>
    </row>
    <row r="33" spans="1:10" ht="18.75" customHeight="1" x14ac:dyDescent="0.2">
      <c r="A33" s="608" t="s">
        <v>333</v>
      </c>
      <c r="B33" s="427">
        <v>4006</v>
      </c>
      <c r="C33" s="427">
        <v>3806</v>
      </c>
      <c r="D33" s="205">
        <f t="shared" si="2"/>
        <v>3805.7</v>
      </c>
      <c r="E33" s="203">
        <v>0.95</v>
      </c>
      <c r="F33" s="203">
        <f t="shared" si="3"/>
        <v>0.95007488766849724</v>
      </c>
      <c r="G33" s="197" t="str">
        <f t="shared" si="5"/>
        <v>Green</v>
      </c>
      <c r="H33" s="205">
        <f>C33</f>
        <v>3806</v>
      </c>
      <c r="I33" s="205">
        <f>B33</f>
        <v>4006</v>
      </c>
      <c r="J33" s="634">
        <f t="shared" si="4"/>
        <v>0.95007488766849724</v>
      </c>
    </row>
    <row r="34" spans="1:10" ht="23.25" customHeight="1" x14ac:dyDescent="0.2">
      <c r="A34" s="608" t="s">
        <v>334</v>
      </c>
      <c r="B34" s="427">
        <v>4003</v>
      </c>
      <c r="C34" s="427">
        <v>3806</v>
      </c>
      <c r="D34" s="205">
        <f t="shared" si="2"/>
        <v>3802.85</v>
      </c>
      <c r="E34" s="203">
        <v>0.95</v>
      </c>
      <c r="F34" s="203">
        <f t="shared" si="3"/>
        <v>0.95078690981763681</v>
      </c>
      <c r="G34" s="197" t="str">
        <f t="shared" si="5"/>
        <v>Green</v>
      </c>
      <c r="H34" s="205">
        <f>C34+H33</f>
        <v>7612</v>
      </c>
      <c r="I34" s="205">
        <f>B34+I33</f>
        <v>8009</v>
      </c>
      <c r="J34" s="634">
        <f t="shared" si="4"/>
        <v>0.95043076538893745</v>
      </c>
    </row>
    <row r="35" spans="1:10" ht="18.75" customHeight="1" x14ac:dyDescent="0.2">
      <c r="A35" s="608" t="s">
        <v>283</v>
      </c>
      <c r="B35" s="204">
        <v>4122</v>
      </c>
      <c r="C35" s="204">
        <v>3890</v>
      </c>
      <c r="D35" s="205">
        <f t="shared" si="2"/>
        <v>3915.8999999999996</v>
      </c>
      <c r="E35" s="203">
        <v>0.95</v>
      </c>
      <c r="F35" s="203">
        <f t="shared" si="3"/>
        <v>0.94371664240659869</v>
      </c>
      <c r="G35" s="197" t="str">
        <f t="shared" si="5"/>
        <v>Amber</v>
      </c>
      <c r="H35" s="205">
        <f>C35+H34</f>
        <v>11502</v>
      </c>
      <c r="I35" s="205">
        <f>B35+I34</f>
        <v>12131</v>
      </c>
      <c r="J35" s="634">
        <f t="shared" si="4"/>
        <v>0.94814936938422223</v>
      </c>
    </row>
    <row r="36" spans="1:10" ht="33.75" hidden="1" customHeight="1" x14ac:dyDescent="0.2">
      <c r="A36" s="608" t="s">
        <v>335</v>
      </c>
      <c r="B36" s="204"/>
      <c r="C36" s="204">
        <v>3963</v>
      </c>
      <c r="D36" s="205">
        <f t="shared" si="2"/>
        <v>0</v>
      </c>
      <c r="E36" s="203">
        <v>0.95</v>
      </c>
      <c r="F36" s="203" t="e">
        <f t="shared" si="3"/>
        <v>#DIV/0!</v>
      </c>
      <c r="G36" s="197" t="str">
        <f t="shared" si="5"/>
        <v>Green</v>
      </c>
      <c r="H36" s="205">
        <f>C36+H35</f>
        <v>15465</v>
      </c>
      <c r="I36" s="205">
        <f>B36+I35</f>
        <v>12131</v>
      </c>
      <c r="J36" s="634">
        <f t="shared" si="4"/>
        <v>1.2748330722941226</v>
      </c>
    </row>
    <row r="37" spans="1:10" ht="15.6" customHeight="1" x14ac:dyDescent="0.25">
      <c r="A37" s="419"/>
      <c r="B37" s="420"/>
      <c r="C37" s="420"/>
      <c r="D37" s="421"/>
      <c r="E37" s="267"/>
      <c r="F37" s="161"/>
      <c r="G37" s="161"/>
      <c r="H37" s="161"/>
      <c r="I37" s="161"/>
    </row>
    <row r="38" spans="1:10" ht="15.6" customHeight="1" x14ac:dyDescent="0.25">
      <c r="A38" s="419"/>
      <c r="B38" s="420"/>
      <c r="C38" s="420"/>
      <c r="D38" s="421"/>
      <c r="E38" s="267"/>
      <c r="F38" s="161"/>
      <c r="G38" s="161"/>
      <c r="H38" s="161"/>
      <c r="I38" s="161"/>
    </row>
    <row r="39" spans="1:10" ht="15.75" x14ac:dyDescent="0.25">
      <c r="A39" s="908" t="s">
        <v>497</v>
      </c>
      <c r="B39" s="909"/>
      <c r="C39" s="909"/>
      <c r="D39" s="909"/>
      <c r="E39" s="909"/>
      <c r="F39" s="906"/>
      <c r="G39" s="906"/>
      <c r="H39" s="161"/>
      <c r="I39" s="161"/>
    </row>
    <row r="40" spans="1:10" ht="15.75" customHeight="1" x14ac:dyDescent="0.25">
      <c r="A40" s="1037" t="s">
        <v>498</v>
      </c>
      <c r="B40" s="1038"/>
      <c r="C40" s="1038"/>
      <c r="D40" s="1038"/>
      <c r="E40" s="1038"/>
      <c r="F40" s="161"/>
      <c r="G40" s="185" t="s">
        <v>499</v>
      </c>
      <c r="H40" s="185"/>
      <c r="I40" s="186" t="s">
        <v>77</v>
      </c>
      <c r="J40" s="187" t="s">
        <v>78</v>
      </c>
    </row>
    <row r="41" spans="1:10" x14ac:dyDescent="0.2">
      <c r="A41" s="1038"/>
      <c r="B41" s="1038"/>
      <c r="C41" s="1038"/>
      <c r="D41" s="1038"/>
      <c r="E41" s="1038"/>
      <c r="G41" s="189" t="s">
        <v>80</v>
      </c>
      <c r="H41" s="189" t="s">
        <v>500</v>
      </c>
      <c r="I41" s="190"/>
      <c r="J41" s="190"/>
    </row>
    <row r="42" spans="1:10" x14ac:dyDescent="0.2">
      <c r="A42" s="1038"/>
      <c r="B42" s="1038"/>
      <c r="C42" s="1038"/>
      <c r="D42" s="1038"/>
      <c r="E42" s="1038"/>
      <c r="G42" s="189" t="s">
        <v>85</v>
      </c>
      <c r="H42" s="189" t="s">
        <v>501</v>
      </c>
      <c r="I42" s="190"/>
      <c r="J42" s="190"/>
    </row>
    <row r="43" spans="1:10" x14ac:dyDescent="0.2">
      <c r="A43" s="1038"/>
      <c r="B43" s="1038"/>
      <c r="C43" s="1038"/>
      <c r="D43" s="1038"/>
      <c r="E43" s="1038"/>
      <c r="G43" s="189" t="s">
        <v>88</v>
      </c>
      <c r="H43" s="189" t="s">
        <v>502</v>
      </c>
      <c r="I43" s="190"/>
      <c r="J43" s="190"/>
    </row>
    <row r="44" spans="1:10" x14ac:dyDescent="0.2">
      <c r="A44" s="1038"/>
      <c r="B44" s="1038"/>
      <c r="C44" s="1038"/>
      <c r="D44" s="1038"/>
      <c r="E44" s="1038"/>
      <c r="G44" s="189" t="s">
        <v>91</v>
      </c>
      <c r="H44" s="198" t="s">
        <v>503</v>
      </c>
      <c r="I44" s="190"/>
      <c r="J44" s="190"/>
    </row>
    <row r="45" spans="1:10" x14ac:dyDescent="0.2">
      <c r="A45" s="1038"/>
      <c r="B45" s="1038"/>
      <c r="C45" s="1038"/>
      <c r="D45" s="1038"/>
      <c r="E45" s="1038"/>
      <c r="G45" s="189" t="s">
        <v>94</v>
      </c>
      <c r="H45" s="198" t="s">
        <v>95</v>
      </c>
      <c r="I45" s="190"/>
      <c r="J45" s="190"/>
    </row>
    <row r="46" spans="1:10" x14ac:dyDescent="0.2">
      <c r="A46" s="1038"/>
      <c r="B46" s="1038"/>
      <c r="C46" s="1038"/>
      <c r="D46" s="1038"/>
      <c r="E46" s="1038"/>
    </row>
    <row r="47" spans="1:10" x14ac:dyDescent="0.2">
      <c r="A47" s="1038"/>
      <c r="B47" s="1038"/>
      <c r="C47" s="1038"/>
      <c r="D47" s="1038"/>
      <c r="E47" s="1038"/>
    </row>
    <row r="48" spans="1:10" x14ac:dyDescent="0.2">
      <c r="A48" s="1038"/>
      <c r="B48" s="1038"/>
      <c r="C48" s="1038"/>
      <c r="D48" s="1038"/>
      <c r="E48" s="1038"/>
    </row>
    <row r="49" spans="1:12" ht="45" customHeight="1" x14ac:dyDescent="0.2">
      <c r="A49" s="1038"/>
      <c r="B49" s="1038"/>
      <c r="C49" s="1038"/>
      <c r="D49" s="1038"/>
      <c r="E49" s="1038"/>
    </row>
    <row r="51" spans="1:12" ht="15.75" x14ac:dyDescent="0.25">
      <c r="A51" s="912" t="s">
        <v>504</v>
      </c>
      <c r="B51" s="906"/>
      <c r="C51" s="906"/>
      <c r="D51" s="906"/>
      <c r="E51" s="906"/>
      <c r="F51" s="906"/>
      <c r="G51" s="906"/>
      <c r="H51" s="906"/>
    </row>
    <row r="52" spans="1:12" x14ac:dyDescent="0.2">
      <c r="A52" s="211" t="s">
        <v>110</v>
      </c>
      <c r="F52" s="211" t="s">
        <v>111</v>
      </c>
      <c r="I52" s="211" t="s">
        <v>112</v>
      </c>
    </row>
    <row r="53" spans="1:12" ht="28.15" customHeight="1" x14ac:dyDescent="0.2">
      <c r="A53" s="1036" t="s">
        <v>505</v>
      </c>
      <c r="B53" s="1036"/>
      <c r="C53" s="1036"/>
      <c r="D53" s="1036"/>
      <c r="E53" s="212"/>
      <c r="F53" s="830" t="s">
        <v>506</v>
      </c>
      <c r="G53" s="1027"/>
      <c r="H53" s="213"/>
      <c r="I53" s="635" t="s">
        <v>507</v>
      </c>
      <c r="J53" s="213"/>
      <c r="K53" s="213"/>
      <c r="L53" s="213"/>
    </row>
    <row r="54" spans="1:12" x14ac:dyDescent="0.2">
      <c r="E54" s="213"/>
      <c r="H54" s="213"/>
      <c r="J54" s="213"/>
      <c r="K54" s="213"/>
      <c r="L54" s="213"/>
    </row>
    <row r="55" spans="1:12" x14ac:dyDescent="0.2">
      <c r="A55" s="832"/>
      <c r="B55" s="832"/>
      <c r="C55" s="832"/>
      <c r="D55" s="832"/>
      <c r="E55" s="212"/>
      <c r="F55" s="1018"/>
      <c r="G55" s="1024"/>
      <c r="H55" s="213"/>
      <c r="I55" s="378"/>
      <c r="J55" s="213"/>
      <c r="K55" s="213"/>
      <c r="L55" s="213"/>
    </row>
    <row r="56" spans="1:12" x14ac:dyDescent="0.2">
      <c r="E56" s="213"/>
      <c r="H56" s="213"/>
      <c r="J56" s="213"/>
      <c r="K56" s="213"/>
      <c r="L56" s="213"/>
    </row>
    <row r="57" spans="1:12" x14ac:dyDescent="0.2">
      <c r="A57" s="1018"/>
      <c r="B57" s="1018"/>
      <c r="C57" s="1018"/>
      <c r="D57" s="1018"/>
      <c r="E57" s="212"/>
      <c r="F57" s="1018"/>
      <c r="G57" s="1024"/>
      <c r="H57" s="213"/>
      <c r="I57" s="378"/>
      <c r="J57" s="213"/>
      <c r="K57" s="213"/>
      <c r="L57" s="213"/>
    </row>
    <row r="58" spans="1:12" x14ac:dyDescent="0.2">
      <c r="E58" s="213"/>
      <c r="H58" s="213"/>
      <c r="J58" s="213"/>
      <c r="K58" s="213"/>
      <c r="L58" s="213"/>
    </row>
    <row r="59" spans="1:12" x14ac:dyDescent="0.2">
      <c r="A59" s="1018"/>
      <c r="B59" s="1018"/>
      <c r="C59" s="1018"/>
      <c r="D59" s="1018"/>
      <c r="E59" s="212"/>
      <c r="F59" s="1018"/>
      <c r="G59" s="1024"/>
      <c r="H59" s="213"/>
      <c r="I59" s="378"/>
      <c r="J59" s="213"/>
      <c r="K59" s="213"/>
      <c r="L59" s="213"/>
    </row>
    <row r="61" spans="1:12" x14ac:dyDescent="0.2">
      <c r="A61" s="905" t="s">
        <v>113</v>
      </c>
      <c r="B61" s="906"/>
      <c r="C61" s="906"/>
      <c r="D61" s="906"/>
      <c r="E61" s="906"/>
      <c r="F61" s="906"/>
    </row>
    <row r="62" spans="1:12" ht="15" customHeight="1" x14ac:dyDescent="0.2">
      <c r="A62" s="906"/>
      <c r="B62" s="906"/>
      <c r="C62" s="906"/>
      <c r="D62" s="906"/>
      <c r="E62" s="906"/>
      <c r="F62" s="906"/>
    </row>
    <row r="63" spans="1:12" ht="15" customHeight="1" x14ac:dyDescent="0.2">
      <c r="A63" s="906"/>
      <c r="B63" s="906"/>
      <c r="C63" s="906"/>
      <c r="D63" s="906"/>
      <c r="E63" s="906"/>
      <c r="F63" s="906"/>
    </row>
    <row r="64" spans="1:12" ht="15" customHeight="1" x14ac:dyDescent="0.2">
      <c r="A64" s="830"/>
      <c r="B64" s="1018"/>
      <c r="C64" s="1018"/>
      <c r="D64" s="1018"/>
      <c r="E64" s="1018"/>
      <c r="F64" s="1018"/>
    </row>
    <row r="65" spans="1:6" ht="15" customHeight="1" x14ac:dyDescent="0.2">
      <c r="A65" s="1018"/>
      <c r="B65" s="1018"/>
      <c r="C65" s="1018"/>
      <c r="D65" s="1018"/>
      <c r="E65" s="1018"/>
      <c r="F65" s="1018"/>
    </row>
    <row r="66" spans="1:6" ht="15" customHeight="1" x14ac:dyDescent="0.2">
      <c r="A66" s="1018"/>
      <c r="B66" s="1018"/>
      <c r="C66" s="1018"/>
      <c r="D66" s="1018"/>
      <c r="E66" s="1018"/>
      <c r="F66" s="1018"/>
    </row>
    <row r="67" spans="1:6" ht="15" customHeight="1" x14ac:dyDescent="0.2">
      <c r="A67" s="1018"/>
      <c r="B67" s="1018"/>
      <c r="C67" s="1018"/>
      <c r="D67" s="1018"/>
      <c r="E67" s="1018"/>
      <c r="F67" s="1018"/>
    </row>
    <row r="68" spans="1:6" ht="15" customHeight="1" x14ac:dyDescent="0.2">
      <c r="A68" s="1018"/>
      <c r="B68" s="1018"/>
      <c r="C68" s="1018"/>
      <c r="D68" s="1018"/>
      <c r="E68" s="1018"/>
      <c r="F68" s="1018"/>
    </row>
    <row r="69" spans="1:6" ht="15" customHeight="1" x14ac:dyDescent="0.2">
      <c r="A69" s="1018"/>
      <c r="B69" s="1018"/>
      <c r="C69" s="1018"/>
      <c r="D69" s="1018"/>
      <c r="E69" s="1018"/>
      <c r="F69" s="1018"/>
    </row>
    <row r="70" spans="1:6" ht="15" customHeight="1" x14ac:dyDescent="0.2">
      <c r="A70" s="1018"/>
      <c r="B70" s="1018"/>
      <c r="C70" s="1018"/>
      <c r="D70" s="1018"/>
      <c r="E70" s="1018"/>
      <c r="F70" s="1018"/>
    </row>
    <row r="71" spans="1:6" ht="15" customHeight="1" x14ac:dyDescent="0.2">
      <c r="A71" s="1018"/>
      <c r="B71" s="1018"/>
      <c r="C71" s="1018"/>
      <c r="D71" s="1018"/>
      <c r="E71" s="1018"/>
      <c r="F71" s="1018"/>
    </row>
    <row r="72" spans="1:6" ht="15" customHeight="1" x14ac:dyDescent="0.2">
      <c r="A72" s="1018"/>
      <c r="B72" s="1018"/>
      <c r="C72" s="1018"/>
      <c r="D72" s="1018"/>
      <c r="E72" s="1018"/>
      <c r="F72" s="1018"/>
    </row>
    <row r="73" spans="1:6" ht="15" customHeight="1" x14ac:dyDescent="0.2">
      <c r="A73" s="1018"/>
      <c r="B73" s="1018"/>
      <c r="C73" s="1018"/>
      <c r="D73" s="1018"/>
      <c r="E73" s="1018"/>
      <c r="F73" s="1018"/>
    </row>
    <row r="74" spans="1:6" ht="15" customHeight="1" x14ac:dyDescent="0.2">
      <c r="A74" s="1018"/>
      <c r="B74" s="1018"/>
      <c r="C74" s="1018"/>
      <c r="D74" s="1018"/>
      <c r="E74" s="1018"/>
      <c r="F74" s="1018"/>
    </row>
    <row r="75" spans="1:6" x14ac:dyDescent="0.2">
      <c r="A75" s="1018"/>
      <c r="B75" s="1018"/>
      <c r="C75" s="1018"/>
      <c r="D75" s="1018"/>
      <c r="E75" s="1018"/>
      <c r="F75" s="1018"/>
    </row>
    <row r="76" spans="1:6" x14ac:dyDescent="0.2">
      <c r="A76" s="1018"/>
      <c r="B76" s="1018"/>
      <c r="C76" s="1018"/>
      <c r="D76" s="1018"/>
      <c r="E76" s="1018"/>
      <c r="F76" s="1018"/>
    </row>
  </sheetData>
  <sheetProtection selectLockedCells="1"/>
  <mergeCells count="17">
    <mergeCell ref="A40:E49"/>
    <mergeCell ref="A1:J1"/>
    <mergeCell ref="A2:G2"/>
    <mergeCell ref="A3:E4"/>
    <mergeCell ref="D7:I18"/>
    <mergeCell ref="A39:G39"/>
    <mergeCell ref="A59:D59"/>
    <mergeCell ref="F59:G59"/>
    <mergeCell ref="A61:F63"/>
    <mergeCell ref="A64:F76"/>
    <mergeCell ref="A51:H51"/>
    <mergeCell ref="A53:D53"/>
    <mergeCell ref="F53:G53"/>
    <mergeCell ref="A55:D55"/>
    <mergeCell ref="F55:G55"/>
    <mergeCell ref="A57:D57"/>
    <mergeCell ref="F57:G57"/>
  </mergeCells>
  <dataValidations count="5">
    <dataValidation allowBlank="1" showInputMessage="1" showErrorMessage="1" prompt="Good or better " sqref="B21"/>
    <dataValidation allowBlank="1" showInputMessage="1" showErrorMessage="1" prompt="Within 21 days or over but with agreement" sqref="C24:C27 H24:H36"/>
    <dataValidation allowBlank="1" showInputMessage="1" showErrorMessage="1" prompt="Total no. of applications received" sqref="B24:B27"/>
    <dataValidation errorStyle="information" allowBlank="1" showInputMessage="1" showErrorMessage="1" error="Please choose from the list provided" prompt="Please use the drop down list" sqref="B18"/>
    <dataValidation errorStyle="information" allowBlank="1" showErrorMessage="1" error="Please choose from the list provided" prompt="Please use the drop down list" sqref="B13"/>
  </dataValidations>
  <pageMargins left="0.7" right="0.7" top="0.75" bottom="0.75" header="0.3" footer="0.3"/>
  <pageSetup paperSize="9" orientation="portrait" verticalDpi="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L87"/>
  <sheetViews>
    <sheetView showGridLines="0" topLeftCell="A5" zoomScaleNormal="100" workbookViewId="0">
      <selection activeCell="C16" sqref="C16"/>
    </sheetView>
  </sheetViews>
  <sheetFormatPr defaultColWidth="12.6640625" defaultRowHeight="15" x14ac:dyDescent="0.2"/>
  <cols>
    <col min="7" max="7" width="13.6640625" customWidth="1"/>
  </cols>
  <sheetData>
    <row r="1" spans="1:10" ht="18.75" x14ac:dyDescent="0.3">
      <c r="A1" s="914" t="s">
        <v>445</v>
      </c>
      <c r="B1" s="915"/>
      <c r="C1" s="915"/>
      <c r="D1" s="915"/>
      <c r="E1" s="915"/>
      <c r="F1" s="915"/>
      <c r="G1" s="906"/>
      <c r="H1" s="906"/>
      <c r="I1" s="906"/>
    </row>
    <row r="2" spans="1:10" ht="15.75" x14ac:dyDescent="0.25">
      <c r="A2" s="916" t="s">
        <v>446</v>
      </c>
      <c r="B2" s="917"/>
      <c r="C2" s="917"/>
      <c r="D2" s="917"/>
      <c r="E2" s="917"/>
      <c r="F2" s="917"/>
      <c r="G2" s="917"/>
      <c r="H2" s="161"/>
      <c r="I2" s="161"/>
    </row>
    <row r="3" spans="1:10" x14ac:dyDescent="0.2">
      <c r="A3" s="1026" t="s">
        <v>447</v>
      </c>
      <c r="B3" s="906"/>
      <c r="C3" s="906"/>
      <c r="D3" s="906"/>
      <c r="E3" s="906"/>
      <c r="F3" s="151"/>
      <c r="G3" s="151"/>
      <c r="H3" s="151"/>
      <c r="I3" s="151"/>
      <c r="J3" s="151"/>
    </row>
    <row r="4" spans="1:10" x14ac:dyDescent="0.2">
      <c r="A4" s="906"/>
      <c r="B4" s="906"/>
      <c r="C4" s="906"/>
      <c r="D4" s="906"/>
      <c r="E4" s="906"/>
      <c r="F4" s="151"/>
      <c r="G4" s="151"/>
      <c r="H4" s="151"/>
      <c r="I4" s="151"/>
      <c r="J4" s="151"/>
    </row>
    <row r="5" spans="1:10" ht="15.75" x14ac:dyDescent="0.25">
      <c r="A5" s="162"/>
      <c r="B5" s="162"/>
      <c r="C5" s="161"/>
      <c r="D5" s="161"/>
      <c r="E5" s="161"/>
      <c r="F5" s="161"/>
      <c r="G5" s="161"/>
      <c r="H5" s="161"/>
      <c r="I5" s="161"/>
    </row>
    <row r="6" spans="1:10" ht="15.75" x14ac:dyDescent="0.25">
      <c r="A6" s="593" t="s">
        <v>63</v>
      </c>
      <c r="B6" s="594">
        <v>1.02</v>
      </c>
      <c r="C6" s="161"/>
      <c r="D6" s="165" t="s">
        <v>64</v>
      </c>
      <c r="E6" s="166"/>
      <c r="F6" s="167"/>
      <c r="G6" s="167"/>
      <c r="H6" s="167"/>
      <c r="I6" s="167"/>
    </row>
    <row r="7" spans="1:10" ht="15.75" x14ac:dyDescent="0.25">
      <c r="A7" s="595" t="s">
        <v>65</v>
      </c>
      <c r="B7" s="596">
        <v>0.95</v>
      </c>
      <c r="C7" s="161"/>
      <c r="D7" s="919" t="s">
        <v>66</v>
      </c>
      <c r="E7" s="920"/>
      <c r="F7" s="920"/>
      <c r="G7" s="920"/>
      <c r="H7" s="920"/>
      <c r="I7" s="921"/>
    </row>
    <row r="8" spans="1:10" ht="15.75" x14ac:dyDescent="0.25">
      <c r="A8" s="172" t="s">
        <v>67</v>
      </c>
      <c r="B8" s="171">
        <v>1.05</v>
      </c>
      <c r="C8" s="161"/>
      <c r="D8" s="920"/>
      <c r="E8" s="920"/>
      <c r="F8" s="920"/>
      <c r="G8" s="920"/>
      <c r="H8" s="920"/>
      <c r="I8" s="921"/>
    </row>
    <row r="9" spans="1:10" ht="15.75" x14ac:dyDescent="0.25">
      <c r="A9" s="172" t="s">
        <v>68</v>
      </c>
      <c r="B9" s="171">
        <v>0.9</v>
      </c>
      <c r="C9" s="161"/>
      <c r="D9" s="920"/>
      <c r="E9" s="920"/>
      <c r="F9" s="920"/>
      <c r="G9" s="920"/>
      <c r="H9" s="920"/>
      <c r="I9" s="921"/>
    </row>
    <row r="10" spans="1:10" ht="15.75" x14ac:dyDescent="0.25">
      <c r="A10" s="507" t="s">
        <v>69</v>
      </c>
      <c r="B10" s="508">
        <v>1000000</v>
      </c>
      <c r="C10" s="161"/>
      <c r="D10" s="920"/>
      <c r="E10" s="920"/>
      <c r="F10" s="920"/>
      <c r="G10" s="920"/>
      <c r="H10" s="920"/>
      <c r="I10" s="921"/>
    </row>
    <row r="11" spans="1:10" ht="15.75" x14ac:dyDescent="0.25">
      <c r="A11" s="509" t="s">
        <v>70</v>
      </c>
      <c r="B11" s="510">
        <v>0</v>
      </c>
      <c r="C11" s="161"/>
      <c r="D11" s="922"/>
      <c r="E11" s="922"/>
      <c r="F11" s="922"/>
      <c r="G11" s="922"/>
      <c r="H11" s="922"/>
      <c r="I11" s="921"/>
    </row>
    <row r="12" spans="1:10" ht="15.75" x14ac:dyDescent="0.25">
      <c r="A12" s="162"/>
      <c r="B12" s="162"/>
      <c r="C12" s="161"/>
      <c r="D12" s="922"/>
      <c r="E12" s="922"/>
      <c r="F12" s="922"/>
      <c r="G12" s="922"/>
      <c r="H12" s="922"/>
      <c r="I12" s="921"/>
    </row>
    <row r="13" spans="1:10" ht="15.75" x14ac:dyDescent="0.25">
      <c r="A13" s="176" t="s">
        <v>71</v>
      </c>
      <c r="B13" s="306" t="s">
        <v>283</v>
      </c>
      <c r="C13" s="161"/>
      <c r="D13" s="922"/>
      <c r="E13" s="922"/>
      <c r="F13" s="922"/>
      <c r="G13" s="922"/>
      <c r="H13" s="922"/>
      <c r="I13" s="921"/>
    </row>
    <row r="14" spans="1:10" ht="15.75" x14ac:dyDescent="0.25">
      <c r="A14" s="178" t="s">
        <v>73</v>
      </c>
      <c r="B14" s="597">
        <f>D45</f>
        <v>795</v>
      </c>
      <c r="C14" s="161"/>
      <c r="D14" s="922"/>
      <c r="E14" s="922"/>
      <c r="F14" s="922"/>
      <c r="G14" s="922"/>
      <c r="H14" s="922"/>
      <c r="I14" s="921"/>
    </row>
    <row r="15" spans="1:10" ht="15.75" x14ac:dyDescent="0.25">
      <c r="A15" s="178" t="s">
        <v>74</v>
      </c>
      <c r="B15" s="597">
        <f>E45</f>
        <v>854</v>
      </c>
      <c r="C15" s="161"/>
      <c r="D15" s="922"/>
      <c r="E15" s="922"/>
      <c r="F15" s="922"/>
      <c r="G15" s="922"/>
      <c r="H15" s="922"/>
      <c r="I15" s="921"/>
    </row>
    <row r="16" spans="1:10" ht="15.75" x14ac:dyDescent="0.25">
      <c r="A16" s="178" t="s">
        <v>75</v>
      </c>
      <c r="B16" s="598" t="str">
        <f>VLOOKUP($B$13,$A$22:$H$46,8,FALSE)</f>
        <v>Amber</v>
      </c>
      <c r="C16" s="161"/>
      <c r="D16" s="922"/>
      <c r="E16" s="922"/>
      <c r="F16" s="922"/>
      <c r="G16" s="922"/>
      <c r="H16" s="922"/>
      <c r="I16" s="921"/>
    </row>
    <row r="17" spans="1:10" ht="15.75" x14ac:dyDescent="0.25">
      <c r="A17" s="162"/>
      <c r="B17" s="182"/>
      <c r="C17" s="161"/>
      <c r="D17" s="922"/>
      <c r="E17" s="922"/>
      <c r="F17" s="922"/>
      <c r="G17" s="922"/>
      <c r="H17" s="922"/>
      <c r="I17" s="921"/>
    </row>
    <row r="18" spans="1:10" ht="15.75" x14ac:dyDescent="0.25">
      <c r="A18" s="183" t="s">
        <v>122</v>
      </c>
      <c r="B18" s="184" t="s">
        <v>41</v>
      </c>
      <c r="C18" s="161"/>
      <c r="D18" s="922"/>
      <c r="E18" s="922"/>
      <c r="F18" s="922"/>
      <c r="G18" s="922"/>
      <c r="H18" s="922"/>
      <c r="I18" s="921"/>
    </row>
    <row r="19" spans="1:10" ht="15.75" x14ac:dyDescent="0.25">
      <c r="B19" s="162"/>
      <c r="C19" s="161"/>
      <c r="D19" s="161"/>
      <c r="E19" s="161"/>
      <c r="F19" s="161"/>
      <c r="G19" s="161"/>
      <c r="H19" s="161"/>
      <c r="I19" s="161"/>
    </row>
    <row r="20" spans="1:10" ht="15.75" x14ac:dyDescent="0.25">
      <c r="A20" s="162"/>
      <c r="B20" s="162"/>
      <c r="C20" s="161"/>
      <c r="D20" s="599"/>
      <c r="E20" s="161"/>
      <c r="F20" s="161"/>
      <c r="G20" s="161"/>
      <c r="H20" s="161"/>
      <c r="I20" s="161"/>
    </row>
    <row r="21" spans="1:10" ht="15.75" x14ac:dyDescent="0.25">
      <c r="A21" s="188" t="s">
        <v>285</v>
      </c>
      <c r="B21" s="188"/>
      <c r="C21" s="162"/>
      <c r="D21" s="162"/>
      <c r="E21" s="162"/>
      <c r="F21" s="162"/>
      <c r="G21" s="162"/>
      <c r="H21" s="162"/>
      <c r="I21" s="161"/>
    </row>
    <row r="22" spans="1:10" ht="38.25" x14ac:dyDescent="0.2">
      <c r="A22" s="192" t="s">
        <v>82</v>
      </c>
      <c r="B22" s="600" t="s">
        <v>448</v>
      </c>
      <c r="C22" s="514" t="s">
        <v>449</v>
      </c>
      <c r="D22" s="601" t="s">
        <v>450</v>
      </c>
      <c r="E22" s="601" t="s">
        <v>451</v>
      </c>
      <c r="F22" s="193" t="s">
        <v>84</v>
      </c>
      <c r="G22" s="194" t="s">
        <v>452</v>
      </c>
      <c r="H22" s="194" t="s">
        <v>75</v>
      </c>
      <c r="I22" s="602" t="s">
        <v>453</v>
      </c>
      <c r="J22" s="602" t="s">
        <v>454</v>
      </c>
    </row>
    <row r="23" spans="1:10" hidden="1" x14ac:dyDescent="0.2">
      <c r="A23" s="192" t="s">
        <v>455</v>
      </c>
      <c r="B23" s="600">
        <v>241</v>
      </c>
      <c r="C23" s="600">
        <v>260</v>
      </c>
      <c r="D23" s="600">
        <f>B23</f>
        <v>241</v>
      </c>
      <c r="E23" s="600">
        <f>C23</f>
        <v>260</v>
      </c>
      <c r="F23" s="603">
        <f t="shared" ref="F23:F46" si="0">IF(B23="","",D23/E23)</f>
        <v>0.92692307692307696</v>
      </c>
      <c r="G23" s="604">
        <v>1</v>
      </c>
      <c r="H23" s="181" t="s">
        <v>456</v>
      </c>
    </row>
    <row r="24" spans="1:10" hidden="1" x14ac:dyDescent="0.2">
      <c r="A24" s="192" t="s">
        <v>457</v>
      </c>
      <c r="B24" s="600">
        <v>263</v>
      </c>
      <c r="C24" s="600">
        <v>264</v>
      </c>
      <c r="D24" s="600">
        <f t="shared" ref="D24:E26" si="1">D23+B24</f>
        <v>504</v>
      </c>
      <c r="E24" s="600">
        <f t="shared" si="1"/>
        <v>524</v>
      </c>
      <c r="F24" s="603">
        <f t="shared" si="0"/>
        <v>0.96183206106870234</v>
      </c>
      <c r="G24" s="604">
        <v>1</v>
      </c>
      <c r="H24" s="181" t="s">
        <v>425</v>
      </c>
    </row>
    <row r="25" spans="1:10" hidden="1" x14ac:dyDescent="0.2">
      <c r="A25" s="192" t="s">
        <v>458</v>
      </c>
      <c r="B25" s="600">
        <v>290</v>
      </c>
      <c r="C25" s="600">
        <v>291</v>
      </c>
      <c r="D25" s="600">
        <f t="shared" si="1"/>
        <v>794</v>
      </c>
      <c r="E25" s="600">
        <f t="shared" si="1"/>
        <v>815</v>
      </c>
      <c r="F25" s="603">
        <f t="shared" si="0"/>
        <v>0.97423312883435587</v>
      </c>
      <c r="G25" s="604">
        <v>1</v>
      </c>
      <c r="H25" s="181" t="s">
        <v>425</v>
      </c>
    </row>
    <row r="26" spans="1:10" hidden="1" x14ac:dyDescent="0.2">
      <c r="A26" s="192" t="s">
        <v>459</v>
      </c>
      <c r="B26" s="600">
        <v>393</v>
      </c>
      <c r="C26" s="600">
        <v>374</v>
      </c>
      <c r="D26" s="600">
        <f t="shared" si="1"/>
        <v>1187</v>
      </c>
      <c r="E26" s="600">
        <f t="shared" si="1"/>
        <v>1189</v>
      </c>
      <c r="F26" s="603">
        <f t="shared" si="0"/>
        <v>0.99831791421362492</v>
      </c>
      <c r="G26" s="604">
        <v>1</v>
      </c>
      <c r="H26" s="181" t="s">
        <v>425</v>
      </c>
    </row>
    <row r="27" spans="1:10" hidden="1" x14ac:dyDescent="0.2">
      <c r="A27" s="192" t="s">
        <v>318</v>
      </c>
      <c r="B27" s="600">
        <v>246</v>
      </c>
      <c r="C27" s="600">
        <v>248</v>
      </c>
      <c r="D27" s="600">
        <f>B27</f>
        <v>246</v>
      </c>
      <c r="E27" s="600">
        <f>C27</f>
        <v>248</v>
      </c>
      <c r="F27" s="603">
        <f t="shared" si="0"/>
        <v>0.99193548387096775</v>
      </c>
      <c r="G27" s="604">
        <v>1</v>
      </c>
      <c r="H27" s="181" t="s">
        <v>425</v>
      </c>
    </row>
    <row r="28" spans="1:10" hidden="1" x14ac:dyDescent="0.2">
      <c r="A28" s="192" t="s">
        <v>460</v>
      </c>
      <c r="B28" s="600">
        <v>272</v>
      </c>
      <c r="C28" s="600">
        <v>274</v>
      </c>
      <c r="D28" s="600">
        <f t="shared" ref="D28:E30" si="2">D27+B28</f>
        <v>518</v>
      </c>
      <c r="E28" s="600">
        <f t="shared" si="2"/>
        <v>522</v>
      </c>
      <c r="F28" s="603">
        <f t="shared" si="0"/>
        <v>0.9923371647509579</v>
      </c>
      <c r="G28" s="604">
        <v>1</v>
      </c>
      <c r="H28" s="181" t="s">
        <v>425</v>
      </c>
    </row>
    <row r="29" spans="1:10" hidden="1" x14ac:dyDescent="0.2">
      <c r="A29" s="192" t="s">
        <v>320</v>
      </c>
      <c r="B29" s="600">
        <v>258</v>
      </c>
      <c r="C29" s="600">
        <v>267</v>
      </c>
      <c r="D29" s="600">
        <f t="shared" si="2"/>
        <v>776</v>
      </c>
      <c r="E29" s="600">
        <f t="shared" si="2"/>
        <v>789</v>
      </c>
      <c r="F29" s="603">
        <f t="shared" si="0"/>
        <v>0.98352344740177444</v>
      </c>
      <c r="G29" s="604">
        <v>1</v>
      </c>
      <c r="H29" s="181" t="s">
        <v>425</v>
      </c>
    </row>
    <row r="30" spans="1:10" hidden="1" x14ac:dyDescent="0.2">
      <c r="A30" s="192" t="s">
        <v>321</v>
      </c>
      <c r="B30" s="600">
        <v>375</v>
      </c>
      <c r="C30" s="600">
        <v>364</v>
      </c>
      <c r="D30" s="600">
        <f t="shared" si="2"/>
        <v>1151</v>
      </c>
      <c r="E30" s="600">
        <f t="shared" si="2"/>
        <v>1153</v>
      </c>
      <c r="F30" s="603">
        <f t="shared" si="0"/>
        <v>0.99826539462272335</v>
      </c>
      <c r="G30" s="604">
        <v>1</v>
      </c>
      <c r="H30" s="181" t="s">
        <v>425</v>
      </c>
    </row>
    <row r="31" spans="1:10" hidden="1" x14ac:dyDescent="0.2">
      <c r="A31" s="200" t="s">
        <v>323</v>
      </c>
      <c r="B31" s="600">
        <v>246</v>
      </c>
      <c r="C31" s="600">
        <v>258</v>
      </c>
      <c r="D31" s="600">
        <f>B31</f>
        <v>246</v>
      </c>
      <c r="E31" s="600">
        <f>C31</f>
        <v>258</v>
      </c>
      <c r="F31" s="603">
        <f t="shared" si="0"/>
        <v>0.95348837209302328</v>
      </c>
      <c r="G31" s="604">
        <v>1</v>
      </c>
      <c r="H31" s="181" t="s">
        <v>425</v>
      </c>
    </row>
    <row r="32" spans="1:10" hidden="1" x14ac:dyDescent="0.2">
      <c r="A32" s="200" t="s">
        <v>323</v>
      </c>
      <c r="B32" s="600">
        <v>284</v>
      </c>
      <c r="C32" s="600">
        <v>322</v>
      </c>
      <c r="D32" s="600">
        <f t="shared" ref="D32:E34" si="3">D31+B32</f>
        <v>530</v>
      </c>
      <c r="E32" s="605">
        <f t="shared" si="3"/>
        <v>580</v>
      </c>
      <c r="F32" s="603">
        <f t="shared" si="0"/>
        <v>0.91379310344827591</v>
      </c>
      <c r="G32" s="604">
        <v>1</v>
      </c>
      <c r="H32" s="181" t="s">
        <v>456</v>
      </c>
    </row>
    <row r="33" spans="1:12" hidden="1" x14ac:dyDescent="0.2">
      <c r="A33" s="200" t="s">
        <v>324</v>
      </c>
      <c r="B33" s="606">
        <f>835-530</f>
        <v>305</v>
      </c>
      <c r="C33" s="606">
        <f>881-580</f>
        <v>301</v>
      </c>
      <c r="D33" s="600">
        <f t="shared" si="3"/>
        <v>835</v>
      </c>
      <c r="E33" s="605">
        <f t="shared" si="3"/>
        <v>881</v>
      </c>
      <c r="F33" s="603">
        <f t="shared" si="0"/>
        <v>0.94778660612939836</v>
      </c>
      <c r="G33" s="604">
        <v>1</v>
      </c>
      <c r="H33" s="181" t="s">
        <v>456</v>
      </c>
    </row>
    <row r="34" spans="1:12" hidden="1" x14ac:dyDescent="0.2">
      <c r="A34" s="200" t="s">
        <v>139</v>
      </c>
      <c r="B34" s="606">
        <f>1272-835</f>
        <v>437</v>
      </c>
      <c r="C34" s="606">
        <f>1278-881</f>
        <v>397</v>
      </c>
      <c r="D34" s="337">
        <f t="shared" si="3"/>
        <v>1272</v>
      </c>
      <c r="E34" s="607">
        <f t="shared" si="3"/>
        <v>1278</v>
      </c>
      <c r="F34" s="603">
        <f t="shared" si="0"/>
        <v>0.99530516431924887</v>
      </c>
      <c r="G34" s="604">
        <v>1</v>
      </c>
      <c r="H34" s="181" t="s">
        <v>425</v>
      </c>
    </row>
    <row r="35" spans="1:12" hidden="1" x14ac:dyDescent="0.2">
      <c r="A35" s="608" t="s">
        <v>328</v>
      </c>
      <c r="B35" s="609">
        <v>1160</v>
      </c>
      <c r="C35" s="609">
        <v>1160</v>
      </c>
      <c r="D35" s="600">
        <f>B35</f>
        <v>1160</v>
      </c>
      <c r="E35" s="600">
        <f>C35</f>
        <v>1160</v>
      </c>
      <c r="F35" s="603">
        <f t="shared" si="0"/>
        <v>1</v>
      </c>
      <c r="G35" s="604">
        <v>1</v>
      </c>
      <c r="H35" s="181" t="s">
        <v>425</v>
      </c>
      <c r="J35" s="610"/>
      <c r="K35">
        <f>D42-D35</f>
        <v>123</v>
      </c>
      <c r="L35" s="611">
        <f>K35/E35</f>
        <v>0.10603448275862069</v>
      </c>
    </row>
    <row r="36" spans="1:12" hidden="1" x14ac:dyDescent="0.2">
      <c r="A36" s="608" t="s">
        <v>326</v>
      </c>
      <c r="B36" s="609">
        <f>416+97-B35</f>
        <v>-647</v>
      </c>
      <c r="C36" s="609">
        <f>433+97-C35</f>
        <v>-630</v>
      </c>
      <c r="D36" s="600">
        <f t="shared" ref="D36:E38" si="4">D35+B36</f>
        <v>513</v>
      </c>
      <c r="E36" s="605">
        <f t="shared" si="4"/>
        <v>530</v>
      </c>
      <c r="F36" s="603">
        <f t="shared" si="0"/>
        <v>0.9679245283018868</v>
      </c>
      <c r="G36" s="604">
        <v>1</v>
      </c>
      <c r="H36" s="181" t="s">
        <v>425</v>
      </c>
    </row>
    <row r="37" spans="1:12" hidden="1" x14ac:dyDescent="0.2">
      <c r="A37" s="608" t="s">
        <v>327</v>
      </c>
      <c r="B37" s="609">
        <f>767-B36-B35</f>
        <v>254</v>
      </c>
      <c r="C37" s="609">
        <f>784-C36-C35</f>
        <v>254</v>
      </c>
      <c r="D37" s="600">
        <f t="shared" si="4"/>
        <v>767</v>
      </c>
      <c r="E37" s="605">
        <f t="shared" si="4"/>
        <v>784</v>
      </c>
      <c r="F37" s="603">
        <f t="shared" si="0"/>
        <v>0.97831632653061229</v>
      </c>
      <c r="G37" s="604">
        <v>1</v>
      </c>
      <c r="H37" s="181" t="s">
        <v>425</v>
      </c>
    </row>
    <row r="38" spans="1:12" ht="3.75" hidden="1" customHeight="1" x14ac:dyDescent="0.2">
      <c r="A38" s="608" t="s">
        <v>328</v>
      </c>
      <c r="B38" s="609">
        <f>1160-B37-B36-B35</f>
        <v>393</v>
      </c>
      <c r="C38" s="609">
        <f>1151-C37-C36-C35+9</f>
        <v>376</v>
      </c>
      <c r="D38" s="600">
        <f t="shared" si="4"/>
        <v>1160</v>
      </c>
      <c r="E38" s="605">
        <f t="shared" si="4"/>
        <v>1160</v>
      </c>
      <c r="F38" s="603">
        <f t="shared" si="0"/>
        <v>1</v>
      </c>
      <c r="G38" s="604">
        <v>1</v>
      </c>
      <c r="H38" s="181" t="s">
        <v>425</v>
      </c>
    </row>
    <row r="39" spans="1:12" ht="15.75" hidden="1" x14ac:dyDescent="0.25">
      <c r="A39" s="608" t="s">
        <v>329</v>
      </c>
      <c r="B39" s="609">
        <v>244</v>
      </c>
      <c r="C39" s="609">
        <f>228+10</f>
        <v>238</v>
      </c>
      <c r="D39" s="605">
        <f>B39</f>
        <v>244</v>
      </c>
      <c r="E39" s="605">
        <f>C39</f>
        <v>238</v>
      </c>
      <c r="F39" s="603">
        <f t="shared" si="0"/>
        <v>1.0252100840336134</v>
      </c>
      <c r="G39" s="604">
        <v>1</v>
      </c>
      <c r="H39" s="181" t="s">
        <v>41</v>
      </c>
      <c r="I39" s="161">
        <v>1223</v>
      </c>
      <c r="J39" s="610">
        <f>B39/I39</f>
        <v>0.19950940310711365</v>
      </c>
    </row>
    <row r="40" spans="1:12" ht="14.25" hidden="1" customHeight="1" x14ac:dyDescent="0.25">
      <c r="A40" s="608" t="s">
        <v>330</v>
      </c>
      <c r="B40" s="609">
        <f>539-B39</f>
        <v>295</v>
      </c>
      <c r="C40" s="609">
        <f>589-C39</f>
        <v>351</v>
      </c>
      <c r="D40" s="600">
        <f t="shared" ref="D40:E42" si="5">D39+B40</f>
        <v>539</v>
      </c>
      <c r="E40" s="605">
        <f t="shared" si="5"/>
        <v>589</v>
      </c>
      <c r="F40" s="603">
        <f t="shared" si="0"/>
        <v>0.91511035653650252</v>
      </c>
      <c r="G40" s="604">
        <v>1</v>
      </c>
      <c r="H40" s="181" t="s">
        <v>40</v>
      </c>
      <c r="I40" s="612"/>
      <c r="J40" s="613"/>
    </row>
    <row r="41" spans="1:12" ht="13.5" hidden="1" customHeight="1" x14ac:dyDescent="0.25">
      <c r="A41" s="608" t="s">
        <v>331</v>
      </c>
      <c r="B41" s="609">
        <f>862-B40-B39</f>
        <v>323</v>
      </c>
      <c r="C41" s="609">
        <f>904-C40-C39</f>
        <v>315</v>
      </c>
      <c r="D41" s="600">
        <f t="shared" si="5"/>
        <v>862</v>
      </c>
      <c r="E41" s="605">
        <f t="shared" si="5"/>
        <v>904</v>
      </c>
      <c r="F41" s="603">
        <f t="shared" si="0"/>
        <v>0.95353982300884954</v>
      </c>
      <c r="G41" s="604">
        <v>1</v>
      </c>
      <c r="H41" s="181" t="s">
        <v>41</v>
      </c>
      <c r="I41" s="612">
        <f>1302</f>
        <v>1302</v>
      </c>
      <c r="J41" s="614">
        <f>D41/I41</f>
        <v>0.66205837173579107</v>
      </c>
    </row>
    <row r="42" spans="1:12" ht="27.75" hidden="1" customHeight="1" x14ac:dyDescent="0.25">
      <c r="A42" s="608" t="s">
        <v>332</v>
      </c>
      <c r="B42" s="609">
        <f>1283-D41</f>
        <v>421</v>
      </c>
      <c r="C42" s="609">
        <f>1283+3-E41</f>
        <v>382</v>
      </c>
      <c r="D42" s="600">
        <f t="shared" si="5"/>
        <v>1283</v>
      </c>
      <c r="E42" s="605">
        <f t="shared" si="5"/>
        <v>1286</v>
      </c>
      <c r="F42" s="603">
        <f t="shared" si="0"/>
        <v>0.99766718506998442</v>
      </c>
      <c r="G42" s="604">
        <v>1</v>
      </c>
      <c r="H42" s="181" t="s">
        <v>41</v>
      </c>
      <c r="I42" s="612"/>
      <c r="J42" s="613"/>
    </row>
    <row r="43" spans="1:12" ht="15.75" x14ac:dyDescent="0.25">
      <c r="A43" s="608" t="s">
        <v>333</v>
      </c>
      <c r="B43" s="609">
        <v>251</v>
      </c>
      <c r="C43" s="609">
        <v>242</v>
      </c>
      <c r="D43" s="605">
        <f>B43</f>
        <v>251</v>
      </c>
      <c r="E43" s="605">
        <f>C43</f>
        <v>242</v>
      </c>
      <c r="F43" s="603">
        <f t="shared" si="0"/>
        <v>1.0371900826446281</v>
      </c>
      <c r="G43" s="604">
        <v>1</v>
      </c>
      <c r="H43" s="181" t="s">
        <v>41</v>
      </c>
      <c r="I43" s="612">
        <v>1204</v>
      </c>
      <c r="J43" s="614">
        <f>D43/I43</f>
        <v>0.2084717607973422</v>
      </c>
    </row>
    <row r="44" spans="1:12" ht="19.5" customHeight="1" x14ac:dyDescent="0.25">
      <c r="A44" s="608" t="s">
        <v>334</v>
      </c>
      <c r="B44" s="609">
        <v>259</v>
      </c>
      <c r="C44" s="609">
        <v>324</v>
      </c>
      <c r="D44" s="600">
        <f t="shared" ref="D44:E46" si="6">D43+B44</f>
        <v>510</v>
      </c>
      <c r="E44" s="605">
        <f t="shared" si="6"/>
        <v>566</v>
      </c>
      <c r="F44" s="603">
        <f t="shared" si="0"/>
        <v>0.90106007067137805</v>
      </c>
      <c r="G44" s="604">
        <v>1</v>
      </c>
      <c r="H44" s="181" t="s">
        <v>40</v>
      </c>
      <c r="I44" s="612">
        <v>1197</v>
      </c>
      <c r="J44" s="614">
        <f>D44/I44</f>
        <v>0.42606516290726815</v>
      </c>
    </row>
    <row r="45" spans="1:12" ht="13.5" customHeight="1" x14ac:dyDescent="0.25">
      <c r="A45" s="608" t="s">
        <v>283</v>
      </c>
      <c r="B45" s="615">
        <f>795-D44</f>
        <v>285</v>
      </c>
      <c r="C45" s="615">
        <f>854-E44</f>
        <v>288</v>
      </c>
      <c r="D45" s="600">
        <f t="shared" si="6"/>
        <v>795</v>
      </c>
      <c r="E45" s="605">
        <f t="shared" si="6"/>
        <v>854</v>
      </c>
      <c r="F45" s="603">
        <f t="shared" si="0"/>
        <v>0.93091334894613587</v>
      </c>
      <c r="G45" s="604">
        <v>1</v>
      </c>
      <c r="H45" s="181" t="str">
        <f t="shared" ref="H45:H46" si="7">IF(F45="","",IF(AND(F45&gt;=$B$7,F45&lt;=$B$6),"Green",IF(OR(AND(F45&gt;=$B$9,F45&lt;=$B$7),AND(F45&lt;=B$8,F45&gt;=B$6)),"Amber","Red")))</f>
        <v>Amber</v>
      </c>
      <c r="I45" s="612">
        <v>1173</v>
      </c>
      <c r="J45" s="614">
        <f>D45/I45</f>
        <v>0.67774936061381075</v>
      </c>
    </row>
    <row r="46" spans="1:12" ht="15" customHeight="1" x14ac:dyDescent="0.25">
      <c r="A46" s="608" t="s">
        <v>335</v>
      </c>
      <c r="B46" s="609"/>
      <c r="C46" s="609"/>
      <c r="D46" s="600">
        <f t="shared" si="6"/>
        <v>795</v>
      </c>
      <c r="E46" s="605">
        <f t="shared" si="6"/>
        <v>854</v>
      </c>
      <c r="F46" s="603" t="str">
        <f t="shared" si="0"/>
        <v/>
      </c>
      <c r="G46" s="604">
        <v>1</v>
      </c>
      <c r="H46" s="181" t="str">
        <f t="shared" si="7"/>
        <v/>
      </c>
      <c r="I46" s="612"/>
      <c r="J46" s="613"/>
    </row>
    <row r="47" spans="1:12" ht="15.75" x14ac:dyDescent="0.25">
      <c r="E47" s="161"/>
      <c r="F47" s="161"/>
      <c r="G47" s="161"/>
      <c r="H47" s="161"/>
      <c r="I47" s="161"/>
    </row>
    <row r="48" spans="1:12" ht="15.75" x14ac:dyDescent="0.25">
      <c r="A48" s="908" t="s">
        <v>268</v>
      </c>
      <c r="B48" s="908"/>
      <c r="C48" s="908"/>
      <c r="D48" s="908"/>
      <c r="E48" s="908"/>
      <c r="F48" s="908"/>
      <c r="G48" s="908"/>
      <c r="H48" s="908"/>
      <c r="I48" s="161"/>
    </row>
    <row r="49" spans="1:10" ht="15.6" customHeight="1" x14ac:dyDescent="0.25">
      <c r="A49" s="1039" t="s">
        <v>461</v>
      </c>
      <c r="B49" s="1040"/>
      <c r="C49" s="1040"/>
      <c r="D49" s="1040"/>
      <c r="E49" s="1040"/>
      <c r="F49" s="161"/>
      <c r="G49" s="161"/>
      <c r="H49" s="161"/>
      <c r="I49" s="161"/>
    </row>
    <row r="50" spans="1:10" x14ac:dyDescent="0.2">
      <c r="A50" s="1040"/>
      <c r="B50" s="1040"/>
      <c r="C50" s="1040"/>
      <c r="D50" s="1040"/>
      <c r="E50" s="1040"/>
      <c r="G50" s="185" t="s">
        <v>462</v>
      </c>
      <c r="H50" s="185"/>
      <c r="I50" s="186" t="s">
        <v>77</v>
      </c>
      <c r="J50" s="187" t="s">
        <v>78</v>
      </c>
    </row>
    <row r="51" spans="1:10" x14ac:dyDescent="0.2">
      <c r="A51" s="1040"/>
      <c r="B51" s="1040"/>
      <c r="C51" s="1040"/>
      <c r="D51" s="1040"/>
      <c r="E51" s="1040"/>
      <c r="G51" s="189" t="s">
        <v>80</v>
      </c>
      <c r="H51" s="189" t="s">
        <v>463</v>
      </c>
      <c r="I51" s="187"/>
      <c r="J51" s="616">
        <v>43111</v>
      </c>
    </row>
    <row r="52" spans="1:10" x14ac:dyDescent="0.2">
      <c r="A52" s="1040"/>
      <c r="B52" s="1040"/>
      <c r="C52" s="1040"/>
      <c r="D52" s="1040"/>
      <c r="E52" s="1040"/>
      <c r="G52" s="189" t="s">
        <v>85</v>
      </c>
      <c r="H52" s="189" t="s">
        <v>464</v>
      </c>
      <c r="I52" s="187"/>
      <c r="J52" s="616">
        <v>43111</v>
      </c>
    </row>
    <row r="53" spans="1:10" x14ac:dyDescent="0.2">
      <c r="A53" s="1040"/>
      <c r="B53" s="1040"/>
      <c r="C53" s="1040"/>
      <c r="D53" s="1040"/>
      <c r="E53" s="1040"/>
      <c r="G53" s="189" t="s">
        <v>88</v>
      </c>
      <c r="H53" s="189" t="s">
        <v>465</v>
      </c>
      <c r="I53" s="187"/>
      <c r="J53" s="616"/>
    </row>
    <row r="54" spans="1:10" x14ac:dyDescent="0.2">
      <c r="A54" s="1040"/>
      <c r="B54" s="1040"/>
      <c r="C54" s="1040"/>
      <c r="D54" s="1040"/>
      <c r="E54" s="1040"/>
      <c r="G54" s="189" t="s">
        <v>91</v>
      </c>
      <c r="H54" s="198"/>
      <c r="I54" s="187"/>
      <c r="J54" s="465"/>
    </row>
    <row r="55" spans="1:10" x14ac:dyDescent="0.2">
      <c r="A55" s="1040"/>
      <c r="B55" s="1040"/>
      <c r="C55" s="1040"/>
      <c r="D55" s="1040"/>
      <c r="E55" s="1040"/>
      <c r="G55" s="189" t="s">
        <v>94</v>
      </c>
      <c r="H55" s="198" t="s">
        <v>466</v>
      </c>
      <c r="I55" s="187"/>
      <c r="J55" s="616"/>
    </row>
    <row r="56" spans="1:10" x14ac:dyDescent="0.2">
      <c r="A56" s="1040"/>
      <c r="B56" s="1040"/>
      <c r="C56" s="1040"/>
      <c r="D56" s="1040"/>
      <c r="E56" s="1040"/>
    </row>
    <row r="57" spans="1:10" x14ac:dyDescent="0.2">
      <c r="A57" s="1040"/>
      <c r="B57" s="1040"/>
      <c r="C57" s="1040"/>
      <c r="D57" s="1040"/>
      <c r="E57" s="1040"/>
    </row>
    <row r="58" spans="1:10" x14ac:dyDescent="0.2">
      <c r="A58" s="1040"/>
      <c r="B58" s="1040"/>
      <c r="C58" s="1040"/>
      <c r="D58" s="1040"/>
      <c r="E58" s="1040"/>
    </row>
    <row r="59" spans="1:10" ht="62.25" customHeight="1" x14ac:dyDescent="0.2">
      <c r="A59" s="1040"/>
      <c r="B59" s="1040"/>
      <c r="C59" s="1040"/>
      <c r="D59" s="1040"/>
      <c r="E59" s="1040"/>
    </row>
    <row r="60" spans="1:10" ht="83.25" customHeight="1" x14ac:dyDescent="0.2">
      <c r="A60" s="1040"/>
      <c r="B60" s="1040"/>
      <c r="C60" s="1040"/>
      <c r="D60" s="1040"/>
      <c r="E60" s="1040"/>
    </row>
    <row r="62" spans="1:10" ht="15.75" x14ac:dyDescent="0.25">
      <c r="A62" s="912" t="s">
        <v>270</v>
      </c>
      <c r="B62" s="912"/>
      <c r="C62" s="912"/>
      <c r="D62" s="912"/>
      <c r="E62" s="912"/>
      <c r="F62" s="912"/>
      <c r="G62" s="912"/>
      <c r="H62" s="912"/>
    </row>
    <row r="63" spans="1:10" x14ac:dyDescent="0.2">
      <c r="A63" s="211" t="s">
        <v>110</v>
      </c>
      <c r="F63" s="211" t="s">
        <v>111</v>
      </c>
      <c r="I63" s="211" t="s">
        <v>467</v>
      </c>
    </row>
    <row r="64" spans="1:10" x14ac:dyDescent="0.2">
      <c r="A64" s="1018" t="s">
        <v>468</v>
      </c>
      <c r="B64" s="1018"/>
      <c r="C64" s="1018"/>
      <c r="D64" s="1018"/>
      <c r="F64" s="1018" t="s">
        <v>469</v>
      </c>
      <c r="G64" s="1024"/>
      <c r="I64" s="367">
        <v>43190</v>
      </c>
    </row>
    <row r="66" spans="1:9" x14ac:dyDescent="0.2">
      <c r="A66" s="1018"/>
      <c r="B66" s="1018"/>
      <c r="C66" s="1018"/>
      <c r="D66" s="1018"/>
      <c r="F66" s="1018"/>
      <c r="G66" s="1024"/>
      <c r="I66" s="367"/>
    </row>
    <row r="68" spans="1:9" x14ac:dyDescent="0.2">
      <c r="A68" s="1018"/>
      <c r="B68" s="1018"/>
      <c r="C68" s="1018"/>
      <c r="D68" s="1018"/>
      <c r="F68" s="1018"/>
      <c r="G68" s="1024"/>
      <c r="I68" s="378"/>
    </row>
    <row r="70" spans="1:9" x14ac:dyDescent="0.2">
      <c r="A70" s="1018"/>
      <c r="B70" s="1018"/>
      <c r="C70" s="1018"/>
      <c r="D70" s="1018"/>
      <c r="F70" s="1018"/>
      <c r="G70" s="1024"/>
      <c r="I70" s="378"/>
    </row>
    <row r="72" spans="1:9" ht="15" customHeight="1" x14ac:dyDescent="0.2">
      <c r="A72" s="905" t="s">
        <v>113</v>
      </c>
      <c r="B72" s="905"/>
      <c r="C72" s="905"/>
      <c r="D72" s="905"/>
      <c r="E72" s="905"/>
      <c r="F72" s="905"/>
    </row>
    <row r="73" spans="1:9" x14ac:dyDescent="0.2">
      <c r="A73" s="905"/>
      <c r="B73" s="905"/>
      <c r="C73" s="905"/>
      <c r="D73" s="905"/>
      <c r="E73" s="905"/>
      <c r="F73" s="905"/>
    </row>
    <row r="74" spans="1:9" x14ac:dyDescent="0.2">
      <c r="A74" s="905"/>
      <c r="B74" s="905"/>
      <c r="C74" s="905"/>
      <c r="D74" s="905"/>
      <c r="E74" s="905"/>
      <c r="F74" s="905"/>
    </row>
    <row r="75" spans="1:9" ht="15" customHeight="1" x14ac:dyDescent="0.2">
      <c r="A75" s="831" t="s">
        <v>470</v>
      </c>
      <c r="B75" s="831"/>
      <c r="C75" s="831"/>
      <c r="D75" s="831"/>
      <c r="E75" s="831"/>
      <c r="F75" s="831"/>
    </row>
    <row r="76" spans="1:9" ht="15" customHeight="1" x14ac:dyDescent="0.2">
      <c r="A76" s="831"/>
      <c r="B76" s="831"/>
      <c r="C76" s="831"/>
      <c r="D76" s="831"/>
      <c r="E76" s="831"/>
      <c r="F76" s="831"/>
    </row>
    <row r="77" spans="1:9" ht="15" customHeight="1" x14ac:dyDescent="0.2">
      <c r="A77" s="831"/>
      <c r="B77" s="831"/>
      <c r="C77" s="831"/>
      <c r="D77" s="831"/>
      <c r="E77" s="831"/>
      <c r="F77" s="831"/>
    </row>
    <row r="78" spans="1:9" ht="15" customHeight="1" x14ac:dyDescent="0.2">
      <c r="A78" s="831"/>
      <c r="B78" s="831"/>
      <c r="C78" s="831"/>
      <c r="D78" s="831"/>
      <c r="E78" s="831"/>
      <c r="F78" s="831"/>
    </row>
    <row r="79" spans="1:9" ht="15" customHeight="1" x14ac:dyDescent="0.2">
      <c r="A79" s="831"/>
      <c r="B79" s="831"/>
      <c r="C79" s="831"/>
      <c r="D79" s="831"/>
      <c r="E79" s="831"/>
      <c r="F79" s="831"/>
    </row>
    <row r="80" spans="1:9" ht="15" customHeight="1" x14ac:dyDescent="0.2">
      <c r="A80" s="831"/>
      <c r="B80" s="831"/>
      <c r="C80" s="831"/>
      <c r="D80" s="831"/>
      <c r="E80" s="831"/>
      <c r="F80" s="831"/>
    </row>
    <row r="81" spans="1:6" ht="15" customHeight="1" x14ac:dyDescent="0.2">
      <c r="A81" s="831"/>
      <c r="B81" s="831"/>
      <c r="C81" s="831"/>
      <c r="D81" s="831"/>
      <c r="E81" s="831"/>
      <c r="F81" s="831"/>
    </row>
    <row r="82" spans="1:6" ht="15" customHeight="1" x14ac:dyDescent="0.2">
      <c r="A82" s="831"/>
      <c r="B82" s="831"/>
      <c r="C82" s="831"/>
      <c r="D82" s="831"/>
      <c r="E82" s="831"/>
      <c r="F82" s="831"/>
    </row>
    <row r="83" spans="1:6" ht="15" customHeight="1" x14ac:dyDescent="0.2">
      <c r="A83" s="831"/>
      <c r="B83" s="831"/>
      <c r="C83" s="831"/>
      <c r="D83" s="831"/>
      <c r="E83" s="831"/>
      <c r="F83" s="831"/>
    </row>
    <row r="84" spans="1:6" ht="15" customHeight="1" x14ac:dyDescent="0.2">
      <c r="A84" s="831"/>
      <c r="B84" s="831"/>
      <c r="C84" s="831"/>
      <c r="D84" s="831"/>
      <c r="E84" s="831"/>
      <c r="F84" s="831"/>
    </row>
    <row r="85" spans="1:6" ht="15" customHeight="1" x14ac:dyDescent="0.2">
      <c r="A85" s="831"/>
      <c r="B85" s="831"/>
      <c r="C85" s="831"/>
      <c r="D85" s="831"/>
      <c r="E85" s="831"/>
      <c r="F85" s="831"/>
    </row>
    <row r="86" spans="1:6" x14ac:dyDescent="0.2">
      <c r="A86" s="831"/>
      <c r="B86" s="831"/>
      <c r="C86" s="831"/>
      <c r="D86" s="831"/>
      <c r="E86" s="831"/>
      <c r="F86" s="831"/>
    </row>
    <row r="87" spans="1:6" x14ac:dyDescent="0.2">
      <c r="A87" s="831"/>
      <c r="B87" s="831"/>
      <c r="C87" s="831"/>
      <c r="D87" s="831"/>
      <c r="E87" s="831"/>
      <c r="F87" s="831"/>
    </row>
  </sheetData>
  <sheetProtection selectLockedCells="1"/>
  <mergeCells count="17">
    <mergeCell ref="A49:E60"/>
    <mergeCell ref="A1:I1"/>
    <mergeCell ref="A2:G2"/>
    <mergeCell ref="A3:E4"/>
    <mergeCell ref="D7:I18"/>
    <mergeCell ref="A48:H48"/>
    <mergeCell ref="A70:D70"/>
    <mergeCell ref="F70:G70"/>
    <mergeCell ref="A72:F74"/>
    <mergeCell ref="A75:F87"/>
    <mergeCell ref="A62:H62"/>
    <mergeCell ref="A64:D64"/>
    <mergeCell ref="F64:G64"/>
    <mergeCell ref="A66:D66"/>
    <mergeCell ref="F66:G66"/>
    <mergeCell ref="A68:D68"/>
    <mergeCell ref="F68:G68"/>
  </mergeCells>
  <conditionalFormatting sqref="O31:O33 I31:I32 H23:H38">
    <cfRule type="containsText" dxfId="2" priority="2" operator="containsText" text="RED">
      <formula>NOT(ISERROR(SEARCH("RED",H23)))</formula>
    </cfRule>
    <cfRule type="containsText" dxfId="1" priority="3" operator="containsText" text="AMBER">
      <formula>NOT(ISERROR(SEARCH("AMBER",H23)))</formula>
    </cfRule>
    <cfRule type="containsText" dxfId="0" priority="4" operator="containsText" text="GREEN">
      <formula>NOT(ISERROR(SEARCH("GREEN",H23)))</formula>
    </cfRule>
  </conditionalFormatting>
  <conditionalFormatting sqref="A1:XFD17 A47:XFD1048576 A39:G39 I39:XFD39 A19:XFD38 A18 C18:XFD18 A40:A46 K40:XFD46">
    <cfRule type="colorScale" priority="1">
      <colorScale>
        <cfvo type="min"/>
        <cfvo type="percentile" val="50"/>
        <cfvo type="max"/>
        <color rgb="FFF8696B"/>
        <color rgb="FFFFEB84"/>
        <color rgb="FF63BE7B"/>
      </colorScale>
    </cfRule>
  </conditionalFormatting>
  <dataValidations count="2">
    <dataValidation errorStyle="information" allowBlank="1" showInputMessage="1" showErrorMessage="1" error="Please choose from the list provided" prompt="Please use the drop down list" sqref="B18"/>
    <dataValidation errorStyle="information" allowBlank="1" showInputMessage="1" showErrorMessage="1" error="Please choose from the list provided" prompt="Please use the drop down list" sqref="B13"/>
  </dataValidations>
  <pageMargins left="0.7" right="0.7" top="0.75" bottom="0.75" header="0.3" footer="0.3"/>
  <pageSetup paperSize="9" orientation="portrait" verticalDpi="0"/>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sheetPr>
  <dimension ref="A1:J101"/>
  <sheetViews>
    <sheetView showGridLines="0" workbookViewId="0">
      <selection activeCell="B13" sqref="B13"/>
    </sheetView>
  </sheetViews>
  <sheetFormatPr defaultColWidth="8.77734375" defaultRowHeight="15" x14ac:dyDescent="0.2"/>
  <cols>
    <col min="1" max="1" width="18.21875" customWidth="1"/>
    <col min="2" max="2" width="13.5546875" bestFit="1" customWidth="1"/>
    <col min="3" max="3" width="12.77734375" bestFit="1" customWidth="1"/>
    <col min="4" max="4" width="14.21875" customWidth="1"/>
    <col min="5" max="5" width="9.44140625" customWidth="1"/>
    <col min="6" max="6" width="12.44140625" customWidth="1"/>
    <col min="12" max="12" width="11.21875" customWidth="1"/>
  </cols>
  <sheetData>
    <row r="1" spans="1:10" ht="18.75" x14ac:dyDescent="0.3">
      <c r="A1" s="914" t="s">
        <v>419</v>
      </c>
      <c r="B1" s="915"/>
      <c r="C1" s="915"/>
      <c r="D1" s="915"/>
      <c r="E1" s="915"/>
      <c r="F1" s="915"/>
      <c r="G1" s="906"/>
      <c r="H1" s="906"/>
      <c r="I1" s="906"/>
    </row>
    <row r="2" spans="1:10" ht="15.75" x14ac:dyDescent="0.25">
      <c r="A2" s="916" t="s">
        <v>420</v>
      </c>
      <c r="B2" s="917"/>
      <c r="C2" s="917"/>
      <c r="D2" s="917"/>
      <c r="E2" s="917"/>
      <c r="F2" s="917"/>
      <c r="G2" s="917"/>
      <c r="H2" s="161"/>
      <c r="I2" s="161"/>
    </row>
    <row r="3" spans="1:10" ht="15" customHeight="1" x14ac:dyDescent="0.2">
      <c r="A3" s="918" t="s">
        <v>421</v>
      </c>
      <c r="B3" s="906"/>
      <c r="C3" s="906"/>
      <c r="D3" s="906"/>
      <c r="E3" s="906"/>
      <c r="F3" s="151"/>
      <c r="G3" s="151"/>
      <c r="H3" s="151"/>
      <c r="I3" s="151"/>
      <c r="J3" s="151"/>
    </row>
    <row r="4" spans="1:10" x14ac:dyDescent="0.2">
      <c r="A4" s="906"/>
      <c r="B4" s="906"/>
      <c r="C4" s="906"/>
      <c r="D4" s="906"/>
      <c r="E4" s="906"/>
      <c r="F4" s="151"/>
      <c r="G4" s="151"/>
      <c r="H4" s="151"/>
      <c r="I4" s="151"/>
      <c r="J4" s="151"/>
    </row>
    <row r="5" spans="1:10" ht="15.75" x14ac:dyDescent="0.25">
      <c r="A5" s="162"/>
      <c r="B5" s="162"/>
      <c r="C5" s="161"/>
      <c r="D5" s="161"/>
      <c r="E5" s="161"/>
      <c r="F5" s="161"/>
      <c r="G5" s="161"/>
      <c r="H5" s="161"/>
      <c r="I5" s="161"/>
    </row>
    <row r="6" spans="1:10" ht="15.75" x14ac:dyDescent="0.25">
      <c r="A6" s="163" t="s">
        <v>63</v>
      </c>
      <c r="B6" s="559">
        <v>150000</v>
      </c>
      <c r="C6" s="161"/>
      <c r="D6" s="165" t="s">
        <v>64</v>
      </c>
      <c r="E6" s="166"/>
      <c r="F6" s="167"/>
      <c r="G6" s="167"/>
      <c r="H6" s="167"/>
      <c r="I6" s="167"/>
    </row>
    <row r="7" spans="1:10" ht="15.4" customHeight="1" x14ac:dyDescent="0.25">
      <c r="A7" s="168" t="s">
        <v>65</v>
      </c>
      <c r="B7" s="560">
        <v>6500</v>
      </c>
      <c r="C7" s="161"/>
      <c r="D7" s="919" t="s">
        <v>66</v>
      </c>
      <c r="E7" s="920"/>
      <c r="F7" s="920"/>
      <c r="G7" s="920"/>
      <c r="H7" s="920"/>
      <c r="I7" s="921"/>
    </row>
    <row r="8" spans="1:10" ht="15.75" x14ac:dyDescent="0.25">
      <c r="A8" s="170" t="s">
        <v>67</v>
      </c>
      <c r="B8" s="561">
        <v>6500</v>
      </c>
      <c r="C8" s="161"/>
      <c r="D8" s="920"/>
      <c r="E8" s="920"/>
      <c r="F8" s="920"/>
      <c r="G8" s="920"/>
      <c r="H8" s="920"/>
      <c r="I8" s="921"/>
    </row>
    <row r="9" spans="1:10" ht="15.75" x14ac:dyDescent="0.25">
      <c r="A9" s="170" t="s">
        <v>68</v>
      </c>
      <c r="B9" s="561">
        <v>6001</v>
      </c>
      <c r="C9" s="161"/>
      <c r="D9" s="920"/>
      <c r="E9" s="920"/>
      <c r="F9" s="920"/>
      <c r="G9" s="920"/>
      <c r="H9" s="920"/>
      <c r="I9" s="921"/>
    </row>
    <row r="10" spans="1:10" ht="15.75" x14ac:dyDescent="0.25">
      <c r="A10" s="172" t="s">
        <v>69</v>
      </c>
      <c r="B10" s="562">
        <v>6001</v>
      </c>
      <c r="C10" s="161"/>
      <c r="D10" s="920"/>
      <c r="E10" s="920"/>
      <c r="F10" s="920"/>
      <c r="G10" s="920"/>
      <c r="H10" s="920"/>
      <c r="I10" s="921"/>
    </row>
    <row r="11" spans="1:10" ht="15.75" x14ac:dyDescent="0.25">
      <c r="A11" s="174" t="s">
        <v>70</v>
      </c>
      <c r="B11" s="563">
        <v>0</v>
      </c>
      <c r="C11" s="161"/>
      <c r="D11" s="922"/>
      <c r="E11" s="922"/>
      <c r="F11" s="922"/>
      <c r="G11" s="922"/>
      <c r="H11" s="922"/>
      <c r="I11" s="921"/>
    </row>
    <row r="12" spans="1:10" ht="15.75" x14ac:dyDescent="0.25">
      <c r="A12" s="162"/>
      <c r="B12" s="162"/>
      <c r="C12" s="161"/>
      <c r="D12" s="922"/>
      <c r="E12" s="922"/>
      <c r="F12" s="922"/>
      <c r="G12" s="922"/>
      <c r="H12" s="922"/>
      <c r="I12" s="921"/>
    </row>
    <row r="13" spans="1:10" ht="15.75" x14ac:dyDescent="0.25">
      <c r="A13" s="176" t="s">
        <v>71</v>
      </c>
      <c r="B13" s="306" t="s">
        <v>283</v>
      </c>
      <c r="C13" s="161"/>
      <c r="D13" s="922"/>
      <c r="E13" s="922"/>
      <c r="F13" s="922"/>
      <c r="G13" s="922"/>
      <c r="H13" s="922"/>
      <c r="I13" s="921"/>
    </row>
    <row r="14" spans="1:10" ht="15.75" x14ac:dyDescent="0.25">
      <c r="A14" s="178" t="s">
        <v>73</v>
      </c>
      <c r="B14" s="564">
        <f>VLOOKUP(B13,A23:E30,2,FALSE)</f>
        <v>6626</v>
      </c>
      <c r="C14" s="161"/>
      <c r="D14" s="922"/>
      <c r="E14" s="922"/>
      <c r="F14" s="922"/>
      <c r="G14" s="922"/>
      <c r="H14" s="922"/>
      <c r="I14" s="921"/>
    </row>
    <row r="15" spans="1:10" ht="15.75" x14ac:dyDescent="0.25">
      <c r="A15" s="178" t="s">
        <v>74</v>
      </c>
      <c r="B15" s="565">
        <f>VLOOKUP(B13,A23:E30,3,FALSE)</f>
        <v>6500</v>
      </c>
      <c r="C15" s="161"/>
      <c r="D15" s="922"/>
      <c r="E15" s="922"/>
      <c r="F15" s="922"/>
      <c r="G15" s="922"/>
      <c r="H15" s="922"/>
      <c r="I15" s="921"/>
    </row>
    <row r="16" spans="1:10" ht="15.75" x14ac:dyDescent="0.25">
      <c r="A16" s="180" t="s">
        <v>75</v>
      </c>
      <c r="B16" s="181" t="str">
        <f>VLOOKUP(B13,A23:E30,5,FALSE)</f>
        <v>Green</v>
      </c>
      <c r="C16" s="161"/>
      <c r="D16" s="922"/>
      <c r="E16" s="922"/>
      <c r="F16" s="922"/>
      <c r="G16" s="922"/>
      <c r="H16" s="922"/>
      <c r="I16" s="921"/>
    </row>
    <row r="17" spans="1:9" ht="15.75" x14ac:dyDescent="0.25">
      <c r="A17" s="180" t="s">
        <v>122</v>
      </c>
      <c r="B17" s="566">
        <v>6800</v>
      </c>
      <c r="C17" s="161"/>
      <c r="D17" s="922"/>
      <c r="E17" s="922"/>
      <c r="F17" s="922"/>
      <c r="G17" s="922"/>
      <c r="H17" s="922"/>
      <c r="I17" s="921"/>
    </row>
    <row r="18" spans="1:9" x14ac:dyDescent="0.2">
      <c r="D18" s="922"/>
      <c r="E18" s="922"/>
      <c r="F18" s="922"/>
      <c r="G18" s="922"/>
      <c r="H18" s="922"/>
      <c r="I18" s="921"/>
    </row>
    <row r="19" spans="1:9" ht="15.75" x14ac:dyDescent="0.25">
      <c r="B19" s="162"/>
      <c r="C19" s="161"/>
      <c r="D19" s="161"/>
      <c r="E19" s="161"/>
      <c r="F19" s="161"/>
      <c r="G19" s="161"/>
      <c r="H19" s="161"/>
      <c r="I19" s="161"/>
    </row>
    <row r="20" spans="1:9" ht="15.75" x14ac:dyDescent="0.25">
      <c r="A20" s="188" t="s">
        <v>422</v>
      </c>
      <c r="B20" s="188"/>
      <c r="C20" s="162"/>
      <c r="D20" s="162"/>
      <c r="E20" s="162"/>
      <c r="F20" s="162"/>
      <c r="G20" s="162"/>
      <c r="H20" s="162"/>
      <c r="I20" s="161"/>
    </row>
    <row r="21" spans="1:9" ht="63.75" x14ac:dyDescent="0.2">
      <c r="A21" s="192" t="s">
        <v>82</v>
      </c>
      <c r="B21" s="513" t="s">
        <v>423</v>
      </c>
      <c r="C21" s="514" t="s">
        <v>424</v>
      </c>
      <c r="D21" s="514" t="s">
        <v>395</v>
      </c>
      <c r="E21" s="194" t="s">
        <v>75</v>
      </c>
      <c r="F21" s="567" t="s">
        <v>138</v>
      </c>
    </row>
    <row r="22" spans="1:9" hidden="1" x14ac:dyDescent="0.2">
      <c r="A22" s="192" t="s">
        <v>286</v>
      </c>
      <c r="B22" s="513">
        <v>6068</v>
      </c>
      <c r="C22" s="514"/>
      <c r="D22" s="514"/>
      <c r="E22" s="194"/>
      <c r="F22" s="184" t="s">
        <v>425</v>
      </c>
    </row>
    <row r="23" spans="1:9" x14ac:dyDescent="0.2">
      <c r="A23" s="519" t="s">
        <v>329</v>
      </c>
      <c r="B23" s="513">
        <v>6330</v>
      </c>
      <c r="C23" s="482">
        <v>6500</v>
      </c>
      <c r="D23" s="516">
        <f>IF(B23="","",B23/C23)</f>
        <v>0.97384615384615381</v>
      </c>
      <c r="E23" s="181" t="str">
        <f>IF(B23="","",IF(B23&gt;=$B$7,"Green",IF(B23&gt;=$B$9, "Amber",IF(B23&gt;=$B$11,"Red"))))</f>
        <v>Amber</v>
      </c>
      <c r="F23" s="184" t="s">
        <v>41</v>
      </c>
    </row>
    <row r="24" spans="1:9" x14ac:dyDescent="0.2">
      <c r="A24" s="521" t="s">
        <v>330</v>
      </c>
      <c r="B24" s="513">
        <v>6512</v>
      </c>
      <c r="C24" s="482">
        <v>6500</v>
      </c>
      <c r="D24" s="516">
        <f t="shared" ref="D24:D30" si="0">IF(B24="","",B24/C24)</f>
        <v>1.0018461538461538</v>
      </c>
      <c r="E24" s="181" t="str">
        <f t="shared" ref="E24:E29" si="1">IF(B24="","",IF(B24&gt;=$B$7,"Green",IF(B24&gt;=$B$9, "Amber",IF(B24&gt;=$B$11,"Red"))))</f>
        <v>Green</v>
      </c>
      <c r="F24" s="184" t="s">
        <v>41</v>
      </c>
    </row>
    <row r="25" spans="1:9" x14ac:dyDescent="0.2">
      <c r="A25" s="521" t="s">
        <v>331</v>
      </c>
      <c r="B25" s="513">
        <v>6577</v>
      </c>
      <c r="C25" s="482">
        <v>6500</v>
      </c>
      <c r="D25" s="516">
        <f t="shared" si="0"/>
        <v>1.0118461538461538</v>
      </c>
      <c r="E25" s="181" t="str">
        <f t="shared" si="1"/>
        <v>Green</v>
      </c>
      <c r="F25" s="184" t="s">
        <v>41</v>
      </c>
    </row>
    <row r="26" spans="1:9" x14ac:dyDescent="0.2">
      <c r="A26" s="521" t="s">
        <v>332</v>
      </c>
      <c r="B26" s="513">
        <v>6716</v>
      </c>
      <c r="C26" s="482">
        <v>6500</v>
      </c>
      <c r="D26" s="516">
        <f t="shared" si="0"/>
        <v>1.0332307692307692</v>
      </c>
      <c r="E26" s="181" t="str">
        <f t="shared" si="1"/>
        <v>Green</v>
      </c>
      <c r="F26" s="184" t="s">
        <v>41</v>
      </c>
    </row>
    <row r="27" spans="1:9" x14ac:dyDescent="0.2">
      <c r="A27" s="521" t="s">
        <v>333</v>
      </c>
      <c r="B27" s="513">
        <v>6267</v>
      </c>
      <c r="C27" s="482">
        <v>6500</v>
      </c>
      <c r="D27" s="516">
        <f t="shared" si="0"/>
        <v>0.96415384615384614</v>
      </c>
      <c r="E27" s="181" t="str">
        <f t="shared" si="1"/>
        <v>Amber</v>
      </c>
      <c r="F27" s="184" t="s">
        <v>41</v>
      </c>
    </row>
    <row r="28" spans="1:9" x14ac:dyDescent="0.2">
      <c r="A28" s="521" t="s">
        <v>334</v>
      </c>
      <c r="B28" s="513">
        <v>6431</v>
      </c>
      <c r="C28" s="482">
        <v>6500</v>
      </c>
      <c r="D28" s="516">
        <f t="shared" si="0"/>
        <v>0.98938461538461542</v>
      </c>
      <c r="E28" s="181" t="str">
        <f t="shared" si="1"/>
        <v>Amber</v>
      </c>
      <c r="F28" s="184" t="s">
        <v>41</v>
      </c>
    </row>
    <row r="29" spans="1:9" x14ac:dyDescent="0.2">
      <c r="A29" s="521" t="s">
        <v>283</v>
      </c>
      <c r="B29" s="568">
        <v>6626</v>
      </c>
      <c r="C29" s="482">
        <v>6500</v>
      </c>
      <c r="D29" s="516">
        <f t="shared" si="0"/>
        <v>1.0193846153846153</v>
      </c>
      <c r="E29" s="181" t="str">
        <f t="shared" si="1"/>
        <v>Green</v>
      </c>
      <c r="F29" s="184" t="s">
        <v>41</v>
      </c>
    </row>
    <row r="30" spans="1:9" hidden="1" x14ac:dyDescent="0.2">
      <c r="A30" s="521" t="s">
        <v>335</v>
      </c>
      <c r="B30" s="569"/>
      <c r="C30" s="482">
        <v>6500</v>
      </c>
      <c r="D30" s="516" t="str">
        <f t="shared" si="0"/>
        <v/>
      </c>
      <c r="E30" s="181" t="str">
        <f t="shared" ref="E30" si="2">IF(B30="","",IF(B30&gt;=$B$7,"GREEN",IF(B30&gt;=$B$9, "AMBER",IF(B30&gt;=$B$11,"RED"))))</f>
        <v/>
      </c>
    </row>
    <row r="31" spans="1:9" ht="16.149999999999999" customHeight="1" x14ac:dyDescent="0.2"/>
    <row r="32" spans="1:9" ht="16.149999999999999" hidden="1" customHeight="1" x14ac:dyDescent="0.2">
      <c r="A32" s="522"/>
      <c r="B32" s="570"/>
      <c r="C32" s="570"/>
      <c r="D32" s="523"/>
      <c r="E32" s="524"/>
      <c r="F32" s="524"/>
      <c r="G32" s="525"/>
      <c r="H32" s="526"/>
      <c r="I32" s="527"/>
    </row>
    <row r="33" spans="1:9" hidden="1" x14ac:dyDescent="0.2"/>
    <row r="34" spans="1:9" ht="15.75" x14ac:dyDescent="0.25">
      <c r="A34" s="188" t="s">
        <v>426</v>
      </c>
      <c r="B34" s="188"/>
      <c r="C34" s="162"/>
      <c r="D34" s="162"/>
      <c r="E34" s="162"/>
      <c r="F34" s="162"/>
      <c r="G34" s="162"/>
      <c r="H34" s="162"/>
      <c r="I34" s="161"/>
    </row>
    <row r="35" spans="1:9" ht="38.25" x14ac:dyDescent="0.2">
      <c r="A35" s="192" t="s">
        <v>82</v>
      </c>
      <c r="B35" s="513" t="s">
        <v>427</v>
      </c>
      <c r="C35" s="514" t="s">
        <v>428</v>
      </c>
      <c r="D35" s="194" t="s">
        <v>75</v>
      </c>
      <c r="E35" s="567" t="s">
        <v>138</v>
      </c>
    </row>
    <row r="36" spans="1:9" x14ac:dyDescent="0.2">
      <c r="A36" s="192" t="s">
        <v>117</v>
      </c>
      <c r="B36" s="571">
        <v>0.73</v>
      </c>
      <c r="C36" s="572">
        <v>0.73</v>
      </c>
      <c r="D36" s="194"/>
      <c r="E36" s="184" t="s">
        <v>41</v>
      </c>
    </row>
    <row r="37" spans="1:9" x14ac:dyDescent="0.2">
      <c r="A37" s="519" t="s">
        <v>333</v>
      </c>
      <c r="B37" s="571">
        <v>0.7</v>
      </c>
      <c r="C37" s="573">
        <v>0.74</v>
      </c>
      <c r="D37" s="181" t="str">
        <f>IF(B37="","",IF(B37&gt;=0.8,"Green",IF(B37&gt;=0.7, "Amber",IF(B37&gt;=0,"Red"))))</f>
        <v>Amber</v>
      </c>
      <c r="E37" s="184" t="s">
        <v>41</v>
      </c>
    </row>
    <row r="38" spans="1:9" x14ac:dyDescent="0.2">
      <c r="A38" s="521" t="s">
        <v>334</v>
      </c>
      <c r="B38" s="571">
        <v>0.69</v>
      </c>
      <c r="C38" s="573">
        <v>0.76</v>
      </c>
      <c r="D38" s="181" t="str">
        <f t="shared" ref="D38:D40" si="3">IF(B38="","",IF(B38&gt;=0.8,"Green",IF(B38&gt;=0.7, "Amber",IF(B38&gt;=0,"Red"))))</f>
        <v>Red</v>
      </c>
      <c r="E38" s="184" t="s">
        <v>41</v>
      </c>
    </row>
    <row r="39" spans="1:9" x14ac:dyDescent="0.2">
      <c r="A39" s="521" t="s">
        <v>283</v>
      </c>
      <c r="B39" s="574">
        <v>0.69</v>
      </c>
      <c r="C39" s="573">
        <v>0.74</v>
      </c>
      <c r="D39" s="181" t="str">
        <f>IF(B39="","",IF(B39&gt;=0.8,"Green",IF(B39&gt;=0.7, "Amber",IF(B39&gt;=0,"Red"))))</f>
        <v>Red</v>
      </c>
      <c r="E39" s="184" t="s">
        <v>40</v>
      </c>
    </row>
    <row r="40" spans="1:9" hidden="1" x14ac:dyDescent="0.2">
      <c r="A40" s="521" t="s">
        <v>335</v>
      </c>
      <c r="B40" s="575"/>
      <c r="C40" s="573">
        <v>0.8</v>
      </c>
      <c r="D40" s="181" t="str">
        <f t="shared" si="3"/>
        <v/>
      </c>
      <c r="E40" s="184" t="s">
        <v>41</v>
      </c>
    </row>
    <row r="41" spans="1:9" x14ac:dyDescent="0.2">
      <c r="A41" s="192"/>
      <c r="B41" s="576"/>
      <c r="C41" s="577"/>
      <c r="D41" s="516" t="str">
        <f t="shared" ref="D41" si="4">IF(B41="","",B41/C41)</f>
        <v/>
      </c>
      <c r="E41" s="181" t="str">
        <f t="shared" ref="E41" si="5">IF(D41="","",IF(D41&gt;=$B$7,"GREEN",IF(D41&gt;=$B$9, "AMBER",IF(D41&gt;=$B$11,"RED"))))</f>
        <v/>
      </c>
    </row>
    <row r="42" spans="1:9" s="579" customFormat="1" x14ac:dyDescent="0.2">
      <c r="A42" s="578"/>
      <c r="B42" s="578"/>
      <c r="C42" s="578"/>
      <c r="D42" s="578"/>
      <c r="E42" s="578"/>
    </row>
    <row r="43" spans="1:9" ht="15.75" x14ac:dyDescent="0.25">
      <c r="A43" s="188" t="s">
        <v>429</v>
      </c>
      <c r="B43" s="188"/>
      <c r="C43" s="162"/>
      <c r="D43" s="162"/>
      <c r="E43" s="162"/>
      <c r="F43" s="162"/>
      <c r="G43" s="162"/>
      <c r="H43" s="162"/>
      <c r="I43" s="161"/>
    </row>
    <row r="44" spans="1:9" ht="63.75" hidden="1" x14ac:dyDescent="0.2">
      <c r="A44" s="192" t="s">
        <v>82</v>
      </c>
      <c r="B44" s="513" t="s">
        <v>430</v>
      </c>
      <c r="C44" s="514" t="s">
        <v>431</v>
      </c>
      <c r="D44" s="514" t="s">
        <v>395</v>
      </c>
      <c r="E44" s="194"/>
    </row>
    <row r="45" spans="1:9" hidden="1" x14ac:dyDescent="0.2">
      <c r="A45" s="192" t="s">
        <v>286</v>
      </c>
      <c r="B45" s="513">
        <v>3542</v>
      </c>
      <c r="C45" s="514"/>
      <c r="D45" s="514"/>
      <c r="E45" s="194"/>
    </row>
    <row r="46" spans="1:9" hidden="1" x14ac:dyDescent="0.2">
      <c r="A46" s="519" t="s">
        <v>329</v>
      </c>
      <c r="B46" s="580">
        <v>3598</v>
      </c>
      <c r="C46" s="482">
        <v>3704</v>
      </c>
      <c r="D46" s="516">
        <f>IF(B46="","",B46/C46)</f>
        <v>0.97138228941684668</v>
      </c>
      <c r="E46" s="181"/>
    </row>
    <row r="47" spans="1:9" hidden="1" x14ac:dyDescent="0.2">
      <c r="A47" s="521" t="s">
        <v>330</v>
      </c>
      <c r="B47" s="580">
        <v>3704</v>
      </c>
      <c r="C47" s="482">
        <v>3704</v>
      </c>
      <c r="D47" s="516">
        <f t="shared" ref="D47:D50" si="6">IF(B47="","",B47/C47)</f>
        <v>1</v>
      </c>
      <c r="E47" s="181"/>
    </row>
    <row r="48" spans="1:9" hidden="1" x14ac:dyDescent="0.2">
      <c r="A48" s="521" t="s">
        <v>331</v>
      </c>
      <c r="B48" s="569">
        <v>3782</v>
      </c>
      <c r="C48" s="482">
        <v>3704</v>
      </c>
      <c r="D48" s="516">
        <f t="shared" si="6"/>
        <v>1.0210583153347732</v>
      </c>
      <c r="E48" s="181"/>
    </row>
    <row r="49" spans="1:5" hidden="1" x14ac:dyDescent="0.2">
      <c r="A49" s="521" t="s">
        <v>332</v>
      </c>
      <c r="B49" s="515"/>
      <c r="C49" s="482">
        <v>3704</v>
      </c>
      <c r="D49" s="516" t="str">
        <f t="shared" si="6"/>
        <v/>
      </c>
      <c r="E49" s="181"/>
    </row>
    <row r="50" spans="1:5" hidden="1" x14ac:dyDescent="0.2">
      <c r="A50" s="192"/>
      <c r="B50" s="517"/>
      <c r="C50" s="518"/>
      <c r="D50" s="516" t="str">
        <f t="shared" si="6"/>
        <v/>
      </c>
      <c r="E50" s="181" t="str">
        <f t="shared" ref="E50" si="7">IF(D50="","",IF(D50&gt;=$B$7,"GREEN",IF(D50&gt;=$B$9, "AMBER",IF(D50&gt;=$B$11,"RED"))))</f>
        <v/>
      </c>
    </row>
    <row r="51" spans="1:5" ht="16.149999999999999" hidden="1" customHeight="1" x14ac:dyDescent="0.2">
      <c r="A51" s="1047"/>
      <c r="B51" s="1048"/>
      <c r="C51" s="1048"/>
      <c r="D51" s="1048"/>
      <c r="E51" s="1048"/>
    </row>
    <row r="52" spans="1:5" ht="16.149999999999999" hidden="1" customHeight="1" x14ac:dyDescent="0.2">
      <c r="A52" s="1048"/>
      <c r="B52" s="1048"/>
      <c r="C52" s="1048"/>
      <c r="D52" s="1048"/>
      <c r="E52" s="1048"/>
    </row>
    <row r="53" spans="1:5" ht="16.149999999999999" hidden="1" customHeight="1" x14ac:dyDescent="0.2">
      <c r="A53" s="1048"/>
      <c r="B53" s="1048"/>
      <c r="C53" s="1048"/>
      <c r="D53" s="1048"/>
      <c r="E53" s="1048"/>
    </row>
    <row r="54" spans="1:5" ht="16.149999999999999" hidden="1" customHeight="1" x14ac:dyDescent="0.2">
      <c r="A54" s="1048"/>
      <c r="B54" s="1048"/>
      <c r="C54" s="1048"/>
      <c r="D54" s="1048"/>
      <c r="E54" s="1048"/>
    </row>
    <row r="55" spans="1:5" ht="16.149999999999999" hidden="1" customHeight="1" x14ac:dyDescent="0.2">
      <c r="A55" s="1048"/>
      <c r="B55" s="1048"/>
      <c r="C55" s="1048"/>
      <c r="D55" s="1048"/>
      <c r="E55" s="1048"/>
    </row>
    <row r="56" spans="1:5" ht="15" hidden="1" customHeight="1" x14ac:dyDescent="0.2">
      <c r="A56" s="1048"/>
      <c r="B56" s="1048"/>
      <c r="C56" s="1048"/>
      <c r="D56" s="1048"/>
      <c r="E56" s="1048"/>
    </row>
    <row r="57" spans="1:5" ht="16.149999999999999" hidden="1" customHeight="1" x14ac:dyDescent="0.2">
      <c r="A57" s="1048"/>
      <c r="B57" s="1048"/>
      <c r="C57" s="1048"/>
      <c r="D57" s="1048"/>
      <c r="E57" s="1048"/>
    </row>
    <row r="58" spans="1:5" ht="16.149999999999999" hidden="1" customHeight="1" x14ac:dyDescent="0.2">
      <c r="A58" s="1048"/>
      <c r="B58" s="1048"/>
      <c r="C58" s="1048"/>
      <c r="D58" s="1048"/>
      <c r="E58" s="1048"/>
    </row>
    <row r="59" spans="1:5" ht="16.149999999999999" hidden="1" customHeight="1" x14ac:dyDescent="0.2">
      <c r="A59" s="1048"/>
      <c r="B59" s="1048"/>
      <c r="C59" s="1048"/>
      <c r="D59" s="1048"/>
      <c r="E59" s="1048"/>
    </row>
    <row r="60" spans="1:5" hidden="1" x14ac:dyDescent="0.2">
      <c r="A60" s="1048"/>
      <c r="B60" s="1048"/>
      <c r="C60" s="1048"/>
      <c r="D60" s="1048"/>
      <c r="E60" s="1048"/>
    </row>
    <row r="61" spans="1:5" hidden="1" x14ac:dyDescent="0.2">
      <c r="A61" s="578"/>
      <c r="B61" s="578"/>
      <c r="C61" s="578"/>
      <c r="D61" s="578"/>
      <c r="E61" s="578"/>
    </row>
    <row r="62" spans="1:5" s="579" customFormat="1" x14ac:dyDescent="0.2">
      <c r="A62" s="578"/>
      <c r="B62" s="578"/>
      <c r="C62" s="578"/>
      <c r="D62" s="578"/>
      <c r="E62" s="578"/>
    </row>
    <row r="63" spans="1:5" ht="16.149999999999999" customHeight="1" x14ac:dyDescent="0.2">
      <c r="A63" s="1045" t="s">
        <v>432</v>
      </c>
      <c r="B63" s="1046"/>
      <c r="C63" s="1046"/>
      <c r="D63" s="1046"/>
      <c r="E63" s="1046"/>
    </row>
    <row r="64" spans="1:5" ht="16.149999999999999" customHeight="1" x14ac:dyDescent="0.2">
      <c r="A64" s="1046"/>
      <c r="B64" s="1046"/>
      <c r="C64" s="1046"/>
      <c r="D64" s="1046"/>
      <c r="E64" s="1046"/>
    </row>
    <row r="65" spans="1:9" ht="16.149999999999999" customHeight="1" x14ac:dyDescent="0.2">
      <c r="A65" s="1046"/>
      <c r="B65" s="1046"/>
      <c r="C65" s="1046"/>
      <c r="D65" s="1046"/>
      <c r="E65" s="1046"/>
    </row>
    <row r="66" spans="1:9" ht="16.149999999999999" customHeight="1" x14ac:dyDescent="0.2">
      <c r="A66" s="1046"/>
      <c r="B66" s="1046"/>
      <c r="C66" s="1046"/>
      <c r="D66" s="1046"/>
      <c r="E66" s="1046"/>
    </row>
    <row r="67" spans="1:9" ht="16.149999999999999" customHeight="1" x14ac:dyDescent="0.2">
      <c r="A67" s="1046"/>
      <c r="B67" s="1046"/>
      <c r="C67" s="1046"/>
      <c r="D67" s="1046"/>
      <c r="E67" s="1046"/>
    </row>
    <row r="68" spans="1:9" ht="15" customHeight="1" x14ac:dyDescent="0.2">
      <c r="A68" s="1046"/>
      <c r="B68" s="1046"/>
      <c r="C68" s="1046"/>
      <c r="D68" s="1046"/>
      <c r="E68" s="1046"/>
    </row>
    <row r="69" spans="1:9" ht="16.149999999999999" customHeight="1" x14ac:dyDescent="0.2">
      <c r="A69" s="1046"/>
      <c r="B69" s="1046"/>
      <c r="C69" s="1046"/>
      <c r="D69" s="1046"/>
      <c r="E69" s="1046"/>
    </row>
    <row r="70" spans="1:9" ht="16.149999999999999" customHeight="1" x14ac:dyDescent="0.2">
      <c r="A70" s="1046"/>
      <c r="B70" s="1046"/>
      <c r="C70" s="1046"/>
      <c r="D70" s="1046"/>
      <c r="E70" s="1046"/>
    </row>
    <row r="71" spans="1:9" ht="16.149999999999999" customHeight="1" x14ac:dyDescent="0.2">
      <c r="A71" s="1046"/>
      <c r="B71" s="1046"/>
      <c r="C71" s="1046"/>
      <c r="D71" s="1046"/>
      <c r="E71" s="1046"/>
    </row>
    <row r="72" spans="1:9" ht="86.25" customHeight="1" x14ac:dyDescent="0.2">
      <c r="A72" s="1046"/>
      <c r="B72" s="1046"/>
      <c r="C72" s="1046"/>
      <c r="D72" s="1046"/>
      <c r="E72" s="1046"/>
    </row>
    <row r="73" spans="1:9" s="579" customFormat="1" x14ac:dyDescent="0.2">
      <c r="A73" s="578"/>
      <c r="B73" s="578"/>
      <c r="C73" s="578"/>
      <c r="D73" s="578"/>
      <c r="E73" s="578"/>
    </row>
    <row r="75" spans="1:9" ht="15.75" x14ac:dyDescent="0.25">
      <c r="A75" s="912" t="s">
        <v>270</v>
      </c>
      <c r="B75" s="906"/>
      <c r="C75" s="906"/>
      <c r="D75" s="906"/>
      <c r="E75" s="906"/>
      <c r="F75" s="906"/>
      <c r="G75" s="906"/>
      <c r="H75" s="906"/>
      <c r="I75" s="906"/>
    </row>
    <row r="76" spans="1:9" x14ac:dyDescent="0.2">
      <c r="A76" s="211" t="s">
        <v>110</v>
      </c>
      <c r="E76" s="211" t="s">
        <v>111</v>
      </c>
      <c r="H76" s="211" t="s">
        <v>408</v>
      </c>
    </row>
    <row r="77" spans="1:9" ht="55.5" customHeight="1" x14ac:dyDescent="0.25">
      <c r="A77" s="1041" t="s">
        <v>433</v>
      </c>
      <c r="B77" s="1036"/>
      <c r="C77" s="1036"/>
      <c r="D77" s="490"/>
      <c r="E77" s="1041" t="s">
        <v>434</v>
      </c>
      <c r="F77" s="1042"/>
      <c r="G77" s="493"/>
      <c r="H77" s="535">
        <v>43220</v>
      </c>
    </row>
    <row r="78" spans="1:9" x14ac:dyDescent="0.2">
      <c r="A78" s="493"/>
      <c r="B78" s="493"/>
      <c r="C78" s="493"/>
      <c r="D78" s="498"/>
      <c r="E78" s="493"/>
      <c r="F78" s="493"/>
      <c r="G78" s="493"/>
      <c r="H78" s="493"/>
    </row>
    <row r="79" spans="1:9" ht="28.9" customHeight="1" x14ac:dyDescent="0.25">
      <c r="A79" s="913" t="s">
        <v>435</v>
      </c>
      <c r="B79" s="913"/>
      <c r="C79" s="913"/>
      <c r="D79" s="490"/>
      <c r="E79" s="913" t="s">
        <v>434</v>
      </c>
      <c r="F79" s="1044"/>
      <c r="G79" s="493"/>
      <c r="H79" s="581">
        <v>43220</v>
      </c>
    </row>
    <row r="80" spans="1:9" x14ac:dyDescent="0.2">
      <c r="A80" s="493"/>
      <c r="B80" s="493"/>
      <c r="C80" s="493"/>
      <c r="D80" s="498"/>
      <c r="E80" s="493"/>
      <c r="F80" s="493"/>
      <c r="G80" s="493"/>
      <c r="H80" s="582"/>
    </row>
    <row r="81" spans="1:8" ht="27.4" customHeight="1" x14ac:dyDescent="0.25">
      <c r="A81" s="913" t="s">
        <v>436</v>
      </c>
      <c r="B81" s="913"/>
      <c r="C81" s="913"/>
      <c r="D81" s="490"/>
      <c r="E81" s="913" t="s">
        <v>434</v>
      </c>
      <c r="F81" s="1044"/>
      <c r="G81" s="493"/>
      <c r="H81" s="581">
        <v>43220</v>
      </c>
    </row>
    <row r="82" spans="1:8" x14ac:dyDescent="0.2">
      <c r="A82" s="493"/>
      <c r="B82" s="493"/>
      <c r="C82" s="493"/>
      <c r="D82" s="498"/>
      <c r="E82" s="493"/>
      <c r="F82" s="493"/>
      <c r="G82" s="493"/>
      <c r="H82" s="582"/>
    </row>
    <row r="83" spans="1:8" ht="43.5" customHeight="1" x14ac:dyDescent="0.25">
      <c r="A83" s="913" t="s">
        <v>437</v>
      </c>
      <c r="B83" s="913"/>
      <c r="C83" s="913"/>
      <c r="D83" s="490"/>
      <c r="E83" s="1041" t="s">
        <v>438</v>
      </c>
      <c r="F83" s="1042"/>
      <c r="G83" s="493"/>
      <c r="H83" s="583" t="s">
        <v>439</v>
      </c>
    </row>
    <row r="85" spans="1:8" x14ac:dyDescent="0.2">
      <c r="A85" s="905" t="s">
        <v>113</v>
      </c>
      <c r="B85" s="906"/>
      <c r="C85" s="906"/>
      <c r="D85" s="906"/>
      <c r="E85" s="906"/>
      <c r="F85" s="906"/>
    </row>
    <row r="86" spans="1:8" ht="15" customHeight="1" x14ac:dyDescent="0.2">
      <c r="A86" s="906"/>
      <c r="B86" s="906"/>
      <c r="C86" s="906"/>
      <c r="D86" s="906"/>
      <c r="E86" s="906"/>
      <c r="F86" s="906"/>
    </row>
    <row r="87" spans="1:8" x14ac:dyDescent="0.2">
      <c r="A87" s="906"/>
      <c r="B87" s="906"/>
      <c r="C87" s="906"/>
      <c r="D87" s="906"/>
      <c r="E87" s="906"/>
      <c r="F87" s="906"/>
    </row>
    <row r="88" spans="1:8" x14ac:dyDescent="0.2">
      <c r="A88" s="1043" t="s">
        <v>440</v>
      </c>
      <c r="B88" s="1043"/>
      <c r="C88" s="1043"/>
      <c r="D88" s="1043"/>
      <c r="E88" s="1043"/>
      <c r="F88" s="1043"/>
    </row>
    <row r="89" spans="1:8" ht="15" customHeight="1" x14ac:dyDescent="0.2">
      <c r="A89" s="1043"/>
      <c r="B89" s="1043"/>
      <c r="C89" s="1043"/>
      <c r="D89" s="1043"/>
      <c r="E89" s="1043"/>
      <c r="F89" s="1043"/>
    </row>
    <row r="90" spans="1:8" ht="15" customHeight="1" x14ac:dyDescent="0.2">
      <c r="A90" s="1043"/>
      <c r="B90" s="1043"/>
      <c r="C90" s="1043"/>
      <c r="D90" s="1043"/>
      <c r="E90" s="1043"/>
      <c r="F90" s="1043"/>
    </row>
    <row r="91" spans="1:8" ht="15" customHeight="1" x14ac:dyDescent="0.2">
      <c r="A91" s="1043"/>
      <c r="B91" s="1043"/>
      <c r="C91" s="1043"/>
      <c r="D91" s="1043"/>
      <c r="E91" s="1043"/>
      <c r="F91" s="1043"/>
    </row>
    <row r="92" spans="1:8" ht="15" customHeight="1" x14ac:dyDescent="0.2">
      <c r="A92" s="1043"/>
      <c r="B92" s="1043"/>
      <c r="C92" s="1043"/>
      <c r="D92" s="1043"/>
      <c r="E92" s="1043"/>
      <c r="F92" s="1043"/>
    </row>
    <row r="93" spans="1:8" ht="15" customHeight="1" x14ac:dyDescent="0.2">
      <c r="A93" s="1043"/>
      <c r="B93" s="1043"/>
      <c r="C93" s="1043"/>
      <c r="D93" s="1043"/>
      <c r="E93" s="1043"/>
      <c r="F93" s="1043"/>
    </row>
    <row r="94" spans="1:8" ht="15" customHeight="1" x14ac:dyDescent="0.2">
      <c r="A94" s="1043"/>
      <c r="B94" s="1043"/>
      <c r="C94" s="1043"/>
      <c r="D94" s="1043"/>
      <c r="E94" s="1043"/>
      <c r="F94" s="1043"/>
    </row>
    <row r="95" spans="1:8" ht="15" customHeight="1" x14ac:dyDescent="0.2">
      <c r="A95" s="1043"/>
      <c r="B95" s="1043"/>
      <c r="C95" s="1043"/>
      <c r="D95" s="1043"/>
      <c r="E95" s="1043"/>
      <c r="F95" s="1043"/>
    </row>
    <row r="96" spans="1:8" ht="15" customHeight="1" x14ac:dyDescent="0.2">
      <c r="A96" s="1043"/>
      <c r="B96" s="1043"/>
      <c r="C96" s="1043"/>
      <c r="D96" s="1043"/>
      <c r="E96" s="1043"/>
      <c r="F96" s="1043"/>
    </row>
    <row r="97" spans="1:6" ht="15" customHeight="1" x14ac:dyDescent="0.2">
      <c r="A97" s="1043"/>
      <c r="B97" s="1043"/>
      <c r="C97" s="1043"/>
      <c r="D97" s="1043"/>
      <c r="E97" s="1043"/>
      <c r="F97" s="1043"/>
    </row>
    <row r="98" spans="1:6" ht="15" customHeight="1" x14ac:dyDescent="0.2">
      <c r="A98" s="1043"/>
      <c r="B98" s="1043"/>
      <c r="C98" s="1043"/>
      <c r="D98" s="1043"/>
      <c r="E98" s="1043"/>
      <c r="F98" s="1043"/>
    </row>
    <row r="99" spans="1:6" ht="15" customHeight="1" x14ac:dyDescent="0.2">
      <c r="A99" s="1043"/>
      <c r="B99" s="1043"/>
      <c r="C99" s="1043"/>
      <c r="D99" s="1043"/>
      <c r="E99" s="1043"/>
      <c r="F99" s="1043"/>
    </row>
    <row r="100" spans="1:6" ht="15" customHeight="1" x14ac:dyDescent="0.2">
      <c r="A100" s="1043"/>
      <c r="B100" s="1043"/>
      <c r="C100" s="1043"/>
      <c r="D100" s="1043"/>
      <c r="E100" s="1043"/>
      <c r="F100" s="1043"/>
    </row>
    <row r="101" spans="1:6" ht="15" customHeight="1" x14ac:dyDescent="0.2"/>
  </sheetData>
  <mergeCells count="17">
    <mergeCell ref="A63:E72"/>
    <mergeCell ref="A1:I1"/>
    <mergeCell ref="A2:G2"/>
    <mergeCell ref="A3:E4"/>
    <mergeCell ref="D7:I18"/>
    <mergeCell ref="A51:E60"/>
    <mergeCell ref="A83:C83"/>
    <mergeCell ref="E83:F83"/>
    <mergeCell ref="A85:F87"/>
    <mergeCell ref="A88:F100"/>
    <mergeCell ref="A75:I75"/>
    <mergeCell ref="A77:C77"/>
    <mergeCell ref="E77:F77"/>
    <mergeCell ref="A79:C79"/>
    <mergeCell ref="E79:F79"/>
    <mergeCell ref="A81:C81"/>
    <mergeCell ref="E81:F81"/>
  </mergeCells>
  <pageMargins left="0.7" right="0.7" top="0.75" bottom="0.75" header="0.3" footer="0.3"/>
  <pageSetup paperSize="9" orientation="portrait" verticalDpi="12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87"/>
  <sheetViews>
    <sheetView showGridLines="0" zoomScaleNormal="100" workbookViewId="0">
      <selection activeCell="B15" sqref="B15"/>
    </sheetView>
  </sheetViews>
  <sheetFormatPr defaultRowHeight="15" x14ac:dyDescent="0.2"/>
  <cols>
    <col min="1" max="1" width="18.21875" customWidth="1"/>
    <col min="2" max="2" width="13.88671875" bestFit="1" customWidth="1"/>
    <col min="3" max="3" width="12.88671875" bestFit="1" customWidth="1"/>
    <col min="4" max="4" width="14.21875" customWidth="1"/>
    <col min="5" max="5" width="9.44140625" customWidth="1"/>
    <col min="6" max="6" width="12.44140625" customWidth="1"/>
    <col min="12" max="12" width="11.21875" customWidth="1"/>
  </cols>
  <sheetData>
    <row r="1" spans="1:10" ht="18.75" x14ac:dyDescent="0.3">
      <c r="A1" s="914" t="s">
        <v>386</v>
      </c>
      <c r="B1" s="915"/>
      <c r="C1" s="915"/>
      <c r="D1" s="915"/>
      <c r="E1" s="915"/>
      <c r="F1" s="915"/>
      <c r="G1" s="906"/>
      <c r="H1" s="906"/>
      <c r="I1" s="906"/>
    </row>
    <row r="2" spans="1:10" ht="15.75" x14ac:dyDescent="0.25">
      <c r="A2" s="916" t="s">
        <v>356</v>
      </c>
      <c r="B2" s="917"/>
      <c r="C2" s="917"/>
      <c r="D2" s="917"/>
      <c r="E2" s="917"/>
      <c r="F2" s="917"/>
      <c r="G2" s="917"/>
      <c r="H2" s="161"/>
      <c r="I2" s="161"/>
    </row>
    <row r="3" spans="1:10" ht="15" customHeight="1" x14ac:dyDescent="0.2">
      <c r="A3" s="918" t="s">
        <v>357</v>
      </c>
      <c r="B3" s="906"/>
      <c r="C3" s="906"/>
      <c r="D3" s="906"/>
      <c r="E3" s="906"/>
      <c r="F3" s="151"/>
      <c r="G3" s="151"/>
      <c r="H3" s="151"/>
      <c r="I3" s="151"/>
      <c r="J3" s="151"/>
    </row>
    <row r="4" spans="1:10" x14ac:dyDescent="0.2">
      <c r="A4" s="906"/>
      <c r="B4" s="906"/>
      <c r="C4" s="906"/>
      <c r="D4" s="906"/>
      <c r="E4" s="906"/>
      <c r="F4" s="151"/>
      <c r="G4" s="151"/>
      <c r="H4" s="151"/>
      <c r="I4" s="151"/>
      <c r="J4" s="151"/>
    </row>
    <row r="5" spans="1:10" ht="15.75" x14ac:dyDescent="0.25">
      <c r="A5" s="504" t="s">
        <v>387</v>
      </c>
      <c r="B5" s="162"/>
      <c r="C5" s="161"/>
      <c r="D5" s="161"/>
      <c r="E5" s="161"/>
      <c r="F5" s="161"/>
      <c r="G5" s="161"/>
      <c r="H5" s="161"/>
      <c r="I5" s="161"/>
    </row>
    <row r="6" spans="1:10" ht="15.75" x14ac:dyDescent="0.25">
      <c r="A6" s="505" t="s">
        <v>63</v>
      </c>
      <c r="B6" s="506">
        <v>10000000000</v>
      </c>
      <c r="C6" s="161"/>
      <c r="D6" s="165" t="s">
        <v>64</v>
      </c>
      <c r="E6" s="166"/>
      <c r="F6" s="167"/>
      <c r="G6" s="167"/>
      <c r="H6" s="167"/>
      <c r="I6" s="167"/>
    </row>
    <row r="7" spans="1:10" ht="15.6" customHeight="1" x14ac:dyDescent="0.25">
      <c r="A7" s="170" t="s">
        <v>388</v>
      </c>
      <c r="B7" s="171">
        <v>0.97</v>
      </c>
      <c r="C7" s="161"/>
      <c r="D7" s="919" t="s">
        <v>66</v>
      </c>
      <c r="E7" s="920"/>
      <c r="F7" s="920"/>
      <c r="G7" s="920"/>
      <c r="H7" s="920"/>
      <c r="I7" s="921"/>
    </row>
    <row r="8" spans="1:10" ht="15.75" x14ac:dyDescent="0.25">
      <c r="A8" s="172" t="s">
        <v>389</v>
      </c>
      <c r="B8" s="173">
        <v>0.97</v>
      </c>
      <c r="C8" s="161"/>
      <c r="D8" s="920"/>
      <c r="E8" s="920"/>
      <c r="F8" s="920"/>
      <c r="G8" s="920"/>
      <c r="H8" s="920"/>
      <c r="I8" s="921"/>
    </row>
    <row r="9" spans="1:10" ht="15.75" x14ac:dyDescent="0.25">
      <c r="A9" s="172" t="s">
        <v>390</v>
      </c>
      <c r="B9" s="173">
        <v>0.96</v>
      </c>
      <c r="C9" s="161"/>
      <c r="D9" s="920"/>
      <c r="E9" s="920"/>
      <c r="F9" s="920"/>
      <c r="G9" s="920"/>
      <c r="H9" s="920"/>
      <c r="I9" s="921"/>
    </row>
    <row r="10" spans="1:10" ht="15.75" x14ac:dyDescent="0.25">
      <c r="A10" s="507" t="s">
        <v>391</v>
      </c>
      <c r="B10" s="508">
        <v>0.96</v>
      </c>
      <c r="C10" s="161"/>
      <c r="D10" s="920"/>
      <c r="E10" s="920"/>
      <c r="F10" s="920"/>
      <c r="G10" s="920"/>
      <c r="H10" s="920"/>
      <c r="I10" s="921"/>
    </row>
    <row r="11" spans="1:10" ht="15.75" x14ac:dyDescent="0.25">
      <c r="A11" s="509" t="s">
        <v>70</v>
      </c>
      <c r="B11" s="510">
        <v>0</v>
      </c>
      <c r="C11" s="161"/>
      <c r="D11" s="922"/>
      <c r="E11" s="922"/>
      <c r="F11" s="922"/>
      <c r="G11" s="922"/>
      <c r="H11" s="922"/>
      <c r="I11" s="921"/>
    </row>
    <row r="12" spans="1:10" ht="15.75" x14ac:dyDescent="0.25">
      <c r="A12" s="162"/>
      <c r="B12" s="162"/>
      <c r="C12" s="161"/>
      <c r="D12" s="922"/>
      <c r="E12" s="922"/>
      <c r="F12" s="922"/>
      <c r="G12" s="922"/>
      <c r="H12" s="922"/>
      <c r="I12" s="921"/>
    </row>
    <row r="13" spans="1:10" ht="15.75" x14ac:dyDescent="0.25">
      <c r="A13" s="176" t="s">
        <v>71</v>
      </c>
      <c r="B13" s="306" t="s">
        <v>283</v>
      </c>
      <c r="C13" s="161"/>
      <c r="D13" s="922"/>
      <c r="E13" s="922"/>
      <c r="F13" s="922"/>
      <c r="G13" s="922"/>
      <c r="H13" s="922"/>
      <c r="I13" s="921"/>
    </row>
    <row r="14" spans="1:10" ht="15.75" x14ac:dyDescent="0.25">
      <c r="A14" s="178" t="s">
        <v>73</v>
      </c>
      <c r="B14" s="511">
        <v>0.96699999999999997</v>
      </c>
      <c r="C14" s="161"/>
      <c r="D14" s="922"/>
      <c r="E14" s="922"/>
      <c r="F14" s="922"/>
      <c r="G14" s="922"/>
      <c r="H14" s="922"/>
      <c r="I14" s="921"/>
    </row>
    <row r="15" spans="1:10" ht="15.75" x14ac:dyDescent="0.25">
      <c r="A15" s="178" t="s">
        <v>74</v>
      </c>
      <c r="B15" s="512">
        <f>VLOOKUP(B13,A22:I39,6,FALSE)</f>
        <v>0.97299999999999998</v>
      </c>
      <c r="C15" s="161"/>
      <c r="D15" s="922"/>
      <c r="E15" s="922"/>
      <c r="F15" s="922"/>
      <c r="G15" s="922"/>
      <c r="H15" s="922"/>
      <c r="I15" s="921"/>
    </row>
    <row r="16" spans="1:10" ht="15.75" x14ac:dyDescent="0.25">
      <c r="A16" s="180" t="s">
        <v>75</v>
      </c>
      <c r="B16" s="181" t="str">
        <f>VLOOKUP(B13,A22:I39,9,FALSE)</f>
        <v>Amber</v>
      </c>
      <c r="C16" s="161"/>
      <c r="D16" s="922"/>
      <c r="E16" s="922"/>
      <c r="F16" s="922"/>
      <c r="G16" s="922"/>
      <c r="H16" s="922"/>
      <c r="I16" s="921"/>
    </row>
    <row r="17" spans="1:10" ht="15.75" x14ac:dyDescent="0.25">
      <c r="A17" s="162"/>
      <c r="B17" s="182"/>
      <c r="C17" s="161"/>
      <c r="D17" s="922"/>
      <c r="E17" s="922"/>
      <c r="F17" s="922"/>
      <c r="G17" s="922"/>
      <c r="H17" s="922"/>
      <c r="I17" s="921"/>
    </row>
    <row r="18" spans="1:10" ht="15.75" x14ac:dyDescent="0.25">
      <c r="A18" s="183" t="s">
        <v>52</v>
      </c>
      <c r="B18" s="184" t="s">
        <v>41</v>
      </c>
      <c r="C18" s="161"/>
      <c r="D18" s="922"/>
      <c r="E18" s="922"/>
      <c r="F18" s="922"/>
      <c r="G18" s="922"/>
      <c r="H18" s="922"/>
      <c r="I18" s="921"/>
    </row>
    <row r="19" spans="1:10" ht="15.75" x14ac:dyDescent="0.25">
      <c r="B19" s="162"/>
      <c r="C19" s="161"/>
      <c r="D19" s="161"/>
      <c r="E19" s="161"/>
      <c r="F19" s="161"/>
      <c r="G19" s="161"/>
      <c r="H19" s="161"/>
      <c r="I19" s="161"/>
    </row>
    <row r="20" spans="1:10" ht="15.75" x14ac:dyDescent="0.25">
      <c r="A20" s="162"/>
      <c r="B20" s="162"/>
      <c r="C20" s="161"/>
      <c r="D20" s="161"/>
      <c r="E20" s="161"/>
      <c r="F20" s="161"/>
      <c r="G20" s="161"/>
      <c r="H20" s="161"/>
      <c r="I20" s="161"/>
    </row>
    <row r="21" spans="1:10" ht="15.75" x14ac:dyDescent="0.25">
      <c r="A21" s="188" t="s">
        <v>79</v>
      </c>
      <c r="B21" s="188"/>
      <c r="C21" s="162"/>
      <c r="D21" s="162"/>
      <c r="E21" s="162"/>
      <c r="F21" s="162"/>
      <c r="G21" s="162"/>
      <c r="H21" s="162"/>
      <c r="I21" s="161"/>
    </row>
    <row r="22" spans="1:10" ht="26.25" x14ac:dyDescent="0.25">
      <c r="A22" s="192" t="s">
        <v>82</v>
      </c>
      <c r="B22" s="513" t="s">
        <v>392</v>
      </c>
      <c r="C22" s="514" t="s">
        <v>393</v>
      </c>
      <c r="D22" s="514" t="s">
        <v>394</v>
      </c>
      <c r="E22" s="514" t="s">
        <v>395</v>
      </c>
      <c r="F22" s="193" t="s">
        <v>396</v>
      </c>
      <c r="G22" s="193"/>
      <c r="H22" s="514" t="s">
        <v>397</v>
      </c>
      <c r="I22" s="194" t="s">
        <v>75</v>
      </c>
      <c r="J22" s="161"/>
    </row>
    <row r="23" spans="1:10" ht="15.75" hidden="1" x14ac:dyDescent="0.25">
      <c r="A23" s="192" t="s">
        <v>398</v>
      </c>
      <c r="B23" s="515">
        <v>31770</v>
      </c>
      <c r="C23" s="195">
        <v>31193</v>
      </c>
      <c r="D23" s="195">
        <f>B23*0.97</f>
        <v>30816.899999999998</v>
      </c>
      <c r="E23" s="516">
        <f t="shared" ref="E23:E26" si="0">IF(AND(C23/B23&gt;=$B$15-0.005,C23/B23&lt;$B$15),$B$15,C23/B23)</f>
        <v>0.98183821214982692</v>
      </c>
      <c r="F23" s="516">
        <v>0.97</v>
      </c>
      <c r="G23" s="195"/>
      <c r="H23" s="196">
        <f>C23/D23</f>
        <v>1.012204342422502</v>
      </c>
      <c r="I23" s="181" t="str">
        <f>IF(E23=0,"",IF(E23&gt;=$B$7,"GREEN",IF(E23&gt;=$B$9, "AMBER",IF(E23&gt;=$B$11,"RED"))))</f>
        <v>GREEN</v>
      </c>
      <c r="J23" s="161"/>
    </row>
    <row r="24" spans="1:10" ht="15.75" hidden="1" x14ac:dyDescent="0.25">
      <c r="A24" s="192" t="s">
        <v>373</v>
      </c>
      <c r="B24" s="515">
        <v>31467</v>
      </c>
      <c r="C24" s="195">
        <v>31072</v>
      </c>
      <c r="D24" s="195">
        <f t="shared" ref="D24:D26" si="1">B24*0.97</f>
        <v>30522.989999999998</v>
      </c>
      <c r="E24" s="516">
        <f t="shared" si="0"/>
        <v>0.98744716687323231</v>
      </c>
      <c r="F24" s="516">
        <v>0.97</v>
      </c>
      <c r="G24" s="195"/>
      <c r="H24" s="196">
        <f t="shared" ref="H24:H26" si="2">C24/D24</f>
        <v>1.0179867699724046</v>
      </c>
      <c r="I24" s="181" t="str">
        <f t="shared" ref="I24:I26" si="3">IF(E24=0,"",IF(E24&gt;=$B$7,"GREEN",IF(E24&gt;=$B$9, "AMBER",IF(E24&gt;=$B$11,"RED"))))</f>
        <v>GREEN</v>
      </c>
      <c r="J24" s="161"/>
    </row>
    <row r="25" spans="1:10" ht="15.75" hidden="1" x14ac:dyDescent="0.25">
      <c r="A25" s="192" t="s">
        <v>317</v>
      </c>
      <c r="B25" s="515">
        <v>27944</v>
      </c>
      <c r="C25" s="195">
        <v>27346</v>
      </c>
      <c r="D25" s="195">
        <f t="shared" si="1"/>
        <v>27105.68</v>
      </c>
      <c r="E25" s="516">
        <f t="shared" si="0"/>
        <v>0.97860005725737187</v>
      </c>
      <c r="F25" s="516">
        <v>0.97</v>
      </c>
      <c r="G25" s="195"/>
      <c r="H25" s="196">
        <f t="shared" si="2"/>
        <v>1.0088660384096617</v>
      </c>
      <c r="I25" s="181" t="str">
        <f t="shared" si="3"/>
        <v>GREEN</v>
      </c>
      <c r="J25" s="161"/>
    </row>
    <row r="26" spans="1:10" ht="15.75" hidden="1" x14ac:dyDescent="0.25">
      <c r="A26" s="192" t="s">
        <v>321</v>
      </c>
      <c r="B26" s="515">
        <v>24901</v>
      </c>
      <c r="C26" s="195">
        <v>23417</v>
      </c>
      <c r="D26" s="195">
        <f t="shared" si="1"/>
        <v>24153.969999999998</v>
      </c>
      <c r="E26" s="516">
        <f t="shared" si="0"/>
        <v>0.94040399983936385</v>
      </c>
      <c r="F26" s="516">
        <v>0.97</v>
      </c>
      <c r="G26" s="195"/>
      <c r="H26" s="196">
        <f t="shared" si="2"/>
        <v>0.96948865962821029</v>
      </c>
      <c r="I26" s="181" t="str">
        <f t="shared" si="3"/>
        <v>RED</v>
      </c>
      <c r="J26" s="161"/>
    </row>
    <row r="27" spans="1:10" ht="16.149999999999999" customHeight="1" x14ac:dyDescent="0.25">
      <c r="A27" s="192" t="s">
        <v>139</v>
      </c>
      <c r="B27" s="517">
        <v>25633</v>
      </c>
      <c r="C27" s="518">
        <v>24767</v>
      </c>
      <c r="D27" s="195">
        <f>IF(B27="","",B27*0.97)</f>
        <v>24864.01</v>
      </c>
      <c r="E27" s="516">
        <f>IF(AND(C27/B27&gt;=$B$15-0.005,C27/B27&lt;$B$15),$B$15,C27/B27)</f>
        <v>0.96621542542815897</v>
      </c>
      <c r="F27" s="516">
        <v>0.97</v>
      </c>
      <c r="G27" s="205"/>
      <c r="H27" s="196">
        <f>C27/D27</f>
        <v>0.99609837673006085</v>
      </c>
      <c r="I27" s="181" t="str">
        <f>IF(E27=0,"",IF(E27&gt;=$B$7,"Green",IF(E27&gt;=$B$9, "Amber",IF(E27&gt;=$B$11,"Red"))))</f>
        <v>Amber</v>
      </c>
      <c r="J27" s="161"/>
    </row>
    <row r="28" spans="1:10" ht="16.149999999999999" hidden="1" customHeight="1" x14ac:dyDescent="0.2">
      <c r="A28" s="192" t="s">
        <v>325</v>
      </c>
      <c r="B28" s="517">
        <v>26702</v>
      </c>
      <c r="C28" s="518">
        <v>25654</v>
      </c>
      <c r="D28" s="195">
        <f>IF(B28="","",B28*0.97)</f>
        <v>25900.94</v>
      </c>
      <c r="E28" s="516">
        <f t="shared" ref="E28:E29" si="4">IF(AND(C28/B28&gt;=$B$15-0.005,C28/B28&lt;$B$15),$B$15,C28/B28)</f>
        <v>0.96075200359523627</v>
      </c>
      <c r="F28" s="516">
        <v>0.97</v>
      </c>
      <c r="G28" s="205"/>
      <c r="H28" s="196">
        <f t="shared" ref="H28:H39" si="5">C28/D28</f>
        <v>0.99046598308787248</v>
      </c>
      <c r="I28" s="181" t="str">
        <f t="shared" ref="I28:I39" si="6">IF(E28=0,"",IF(E28&gt;=$B$7,"Green",IF(E28&gt;=$B$9, "Amber",IF(E28&gt;=$B$11,"Red"))))</f>
        <v>Amber</v>
      </c>
    </row>
    <row r="29" spans="1:10" ht="16.149999999999999" hidden="1" customHeight="1" x14ac:dyDescent="0.2">
      <c r="A29" s="192" t="s">
        <v>326</v>
      </c>
      <c r="B29" s="517">
        <v>26954</v>
      </c>
      <c r="C29" s="518">
        <v>25881</v>
      </c>
      <c r="D29" s="195">
        <f t="shared" ref="D29:D39" si="7">IF(B29="","",B29*0.97)</f>
        <v>26145.38</v>
      </c>
      <c r="E29" s="516">
        <f t="shared" si="4"/>
        <v>0.96019143726348599</v>
      </c>
      <c r="F29" s="516">
        <v>0.97</v>
      </c>
      <c r="G29" s="205"/>
      <c r="H29" s="196">
        <f t="shared" si="5"/>
        <v>0.98988807965307823</v>
      </c>
      <c r="I29" s="181" t="str">
        <f t="shared" si="6"/>
        <v>Amber</v>
      </c>
    </row>
    <row r="30" spans="1:10" ht="16.149999999999999" hidden="1" customHeight="1" x14ac:dyDescent="0.2">
      <c r="A30" s="192" t="s">
        <v>327</v>
      </c>
      <c r="B30" s="518">
        <v>27433</v>
      </c>
      <c r="C30" s="518">
        <v>26255</v>
      </c>
      <c r="D30" s="195">
        <f t="shared" si="7"/>
        <v>26610.01</v>
      </c>
      <c r="E30" s="516">
        <f>IF(C30="","",ROUND(C30/B30,3))</f>
        <v>0.95699999999999996</v>
      </c>
      <c r="F30" s="516">
        <v>0.97</v>
      </c>
      <c r="G30" s="205"/>
      <c r="H30" s="196">
        <f t="shared" si="5"/>
        <v>0.98665877991026696</v>
      </c>
      <c r="I30" s="181" t="str">
        <f t="shared" si="6"/>
        <v>Red</v>
      </c>
    </row>
    <row r="31" spans="1:10" ht="16.149999999999999" customHeight="1" x14ac:dyDescent="0.2">
      <c r="A31" s="183" t="s">
        <v>286</v>
      </c>
      <c r="B31" s="518">
        <v>27822</v>
      </c>
      <c r="C31" s="518">
        <v>26618</v>
      </c>
      <c r="D31" s="518">
        <f t="shared" si="7"/>
        <v>26987.34</v>
      </c>
      <c r="E31" s="516">
        <f t="shared" ref="E31:E39" si="8">IF(C31="","",ROUND(C31/B31,3))</f>
        <v>0.95699999999999996</v>
      </c>
      <c r="F31" s="516">
        <v>0.97</v>
      </c>
      <c r="G31" s="205"/>
      <c r="H31" s="196">
        <f t="shared" si="5"/>
        <v>0.98631432367917693</v>
      </c>
      <c r="I31" s="181" t="str">
        <f t="shared" si="6"/>
        <v>Red</v>
      </c>
    </row>
    <row r="32" spans="1:10" ht="15" hidden="1" customHeight="1" x14ac:dyDescent="0.2">
      <c r="A32" s="519" t="s">
        <v>329</v>
      </c>
      <c r="B32" s="518">
        <v>28033</v>
      </c>
      <c r="C32" s="518">
        <v>26873</v>
      </c>
      <c r="D32" s="520">
        <f t="shared" si="7"/>
        <v>27192.01</v>
      </c>
      <c r="E32" s="516">
        <f t="shared" si="8"/>
        <v>0.95899999999999996</v>
      </c>
      <c r="F32" s="516">
        <v>0.97</v>
      </c>
      <c r="G32" s="205"/>
      <c r="H32" s="196">
        <f t="shared" si="5"/>
        <v>0.98826824497343158</v>
      </c>
      <c r="I32" s="181" t="str">
        <f t="shared" si="6"/>
        <v>Red</v>
      </c>
    </row>
    <row r="33" spans="1:9" ht="16.149999999999999" hidden="1" customHeight="1" x14ac:dyDescent="0.2">
      <c r="A33" s="521" t="s">
        <v>330</v>
      </c>
      <c r="B33" s="518">
        <v>29448</v>
      </c>
      <c r="C33" s="518">
        <v>28346</v>
      </c>
      <c r="D33" s="520">
        <f t="shared" si="7"/>
        <v>28564.559999999998</v>
      </c>
      <c r="E33" s="516">
        <f t="shared" si="8"/>
        <v>0.96299999999999997</v>
      </c>
      <c r="F33" s="516">
        <v>0.97</v>
      </c>
      <c r="G33" s="205"/>
      <c r="H33" s="196">
        <f t="shared" si="5"/>
        <v>0.99234856059396692</v>
      </c>
      <c r="I33" s="181" t="str">
        <f t="shared" si="6"/>
        <v>Amber</v>
      </c>
    </row>
    <row r="34" spans="1:9" ht="16.149999999999999" hidden="1" customHeight="1" x14ac:dyDescent="0.2">
      <c r="A34" s="521" t="s">
        <v>331</v>
      </c>
      <c r="B34" s="518">
        <v>29041</v>
      </c>
      <c r="C34" s="518">
        <v>28074</v>
      </c>
      <c r="D34" s="520">
        <f t="shared" si="7"/>
        <v>28169.77</v>
      </c>
      <c r="E34" s="516">
        <f t="shared" si="8"/>
        <v>0.96699999999999997</v>
      </c>
      <c r="F34" s="516">
        <v>0.97</v>
      </c>
      <c r="G34" s="205"/>
      <c r="H34" s="196">
        <f t="shared" si="5"/>
        <v>0.996600256232124</v>
      </c>
      <c r="I34" s="181" t="str">
        <f t="shared" si="6"/>
        <v>Amber</v>
      </c>
    </row>
    <row r="35" spans="1:9" ht="16.149999999999999" customHeight="1" x14ac:dyDescent="0.2">
      <c r="A35" s="521" t="s">
        <v>117</v>
      </c>
      <c r="B35" s="518">
        <v>29350</v>
      </c>
      <c r="C35" s="518">
        <v>28542</v>
      </c>
      <c r="D35" s="520">
        <f t="shared" si="7"/>
        <v>28469.5</v>
      </c>
      <c r="E35" s="516">
        <f t="shared" si="8"/>
        <v>0.97199999999999998</v>
      </c>
      <c r="F35" s="516">
        <v>0.97</v>
      </c>
      <c r="G35" s="205"/>
      <c r="H35" s="196">
        <f t="shared" si="5"/>
        <v>1.0025465849417798</v>
      </c>
      <c r="I35" s="181" t="str">
        <f t="shared" si="6"/>
        <v>Green</v>
      </c>
    </row>
    <row r="36" spans="1:9" ht="16.149999999999999" customHeight="1" x14ac:dyDescent="0.2">
      <c r="A36" s="521" t="s">
        <v>333</v>
      </c>
      <c r="B36" s="518">
        <v>30043</v>
      </c>
      <c r="C36" s="518">
        <v>28924</v>
      </c>
      <c r="D36" s="520">
        <f t="shared" si="7"/>
        <v>29141.71</v>
      </c>
      <c r="E36" s="516">
        <f t="shared" si="8"/>
        <v>0.96299999999999997</v>
      </c>
      <c r="F36" s="516">
        <v>0.97099999999999997</v>
      </c>
      <c r="G36" s="205"/>
      <c r="H36" s="196">
        <f t="shared" si="5"/>
        <v>0.99252926475488235</v>
      </c>
      <c r="I36" s="181" t="str">
        <f t="shared" si="6"/>
        <v>Amber</v>
      </c>
    </row>
    <row r="37" spans="1:9" ht="16.149999999999999" customHeight="1" x14ac:dyDescent="0.2">
      <c r="A37" s="521" t="s">
        <v>334</v>
      </c>
      <c r="B37" s="518">
        <v>30255</v>
      </c>
      <c r="C37" s="518">
        <v>28959</v>
      </c>
      <c r="D37" s="520">
        <f t="shared" si="7"/>
        <v>29347.35</v>
      </c>
      <c r="E37" s="516">
        <f t="shared" si="8"/>
        <v>0.95699999999999996</v>
      </c>
      <c r="F37" s="516">
        <v>0.97199999999999998</v>
      </c>
      <c r="G37" s="205"/>
      <c r="H37" s="196">
        <f t="shared" si="5"/>
        <v>0.98676711866659172</v>
      </c>
      <c r="I37" s="181" t="str">
        <f t="shared" si="6"/>
        <v>Red</v>
      </c>
    </row>
    <row r="38" spans="1:9" ht="16.149999999999999" customHeight="1" x14ac:dyDescent="0.2">
      <c r="A38" s="521" t="s">
        <v>283</v>
      </c>
      <c r="B38" s="201">
        <v>30391</v>
      </c>
      <c r="C38" s="201">
        <v>29385</v>
      </c>
      <c r="D38" s="520">
        <f t="shared" si="7"/>
        <v>29479.27</v>
      </c>
      <c r="E38" s="516">
        <f t="shared" si="8"/>
        <v>0.96699999999999997</v>
      </c>
      <c r="F38" s="516">
        <v>0.97299999999999998</v>
      </c>
      <c r="G38" s="205"/>
      <c r="H38" s="196">
        <f t="shared" si="5"/>
        <v>0.99680215961928498</v>
      </c>
      <c r="I38" s="181" t="str">
        <f t="shared" si="6"/>
        <v>Amber</v>
      </c>
    </row>
    <row r="39" spans="1:9" ht="16.149999999999999" hidden="1" customHeight="1" x14ac:dyDescent="0.2">
      <c r="A39" s="521" t="s">
        <v>335</v>
      </c>
      <c r="B39" s="518"/>
      <c r="C39" s="518"/>
      <c r="D39" s="520" t="str">
        <f t="shared" si="7"/>
        <v/>
      </c>
      <c r="E39" s="516" t="str">
        <f t="shared" si="8"/>
        <v/>
      </c>
      <c r="F39" s="516">
        <v>0.97499999999999998</v>
      </c>
      <c r="G39" s="205"/>
      <c r="H39" s="196" t="e">
        <f t="shared" si="5"/>
        <v>#VALUE!</v>
      </c>
      <c r="I39" s="181" t="str">
        <f t="shared" si="6"/>
        <v>Green</v>
      </c>
    </row>
    <row r="40" spans="1:9" ht="16.149999999999999" hidden="1" customHeight="1" x14ac:dyDescent="0.2">
      <c r="A40" s="522"/>
      <c r="B40" s="518"/>
      <c r="C40" s="518"/>
      <c r="D40" s="523"/>
      <c r="E40" s="524"/>
      <c r="F40" s="524"/>
      <c r="G40" s="525"/>
      <c r="H40" s="526"/>
      <c r="I40" s="527"/>
    </row>
    <row r="41" spans="1:9" ht="15.75" x14ac:dyDescent="0.25">
      <c r="A41" s="161"/>
      <c r="B41" s="161"/>
      <c r="C41" s="161"/>
      <c r="D41" s="161"/>
      <c r="E41" s="161"/>
      <c r="F41" s="161"/>
      <c r="G41" s="161"/>
      <c r="H41" s="161"/>
      <c r="I41" s="161"/>
    </row>
    <row r="42" spans="1:9" ht="15.75" x14ac:dyDescent="0.25">
      <c r="A42" s="907" t="s">
        <v>399</v>
      </c>
      <c r="B42" s="906"/>
      <c r="C42" s="906"/>
      <c r="D42" s="161"/>
      <c r="E42" s="185" t="s">
        <v>400</v>
      </c>
      <c r="F42" s="185"/>
      <c r="G42" s="186" t="s">
        <v>77</v>
      </c>
      <c r="H42" s="187" t="s">
        <v>78</v>
      </c>
      <c r="I42" s="161"/>
    </row>
    <row r="43" spans="1:9" ht="25.5" x14ac:dyDescent="0.25">
      <c r="A43" s="206"/>
      <c r="B43" s="193" t="s">
        <v>401</v>
      </c>
      <c r="C43" s="194" t="s">
        <v>402</v>
      </c>
      <c r="D43" s="161"/>
      <c r="E43" s="189" t="s">
        <v>80</v>
      </c>
      <c r="F43" s="189" t="s">
        <v>403</v>
      </c>
      <c r="G43" s="189"/>
      <c r="H43" s="528"/>
      <c r="I43" s="161"/>
    </row>
    <row r="44" spans="1:9" ht="26.25" x14ac:dyDescent="0.25">
      <c r="A44" s="415" t="s">
        <v>404</v>
      </c>
      <c r="B44" s="201">
        <v>29385</v>
      </c>
      <c r="C44" s="179">
        <f>IF(B44="","",B44)</f>
        <v>29385</v>
      </c>
      <c r="E44" s="189" t="s">
        <v>85</v>
      </c>
      <c r="F44" s="189" t="s">
        <v>405</v>
      </c>
      <c r="G44" s="529"/>
      <c r="H44" s="530"/>
      <c r="I44" s="161"/>
    </row>
    <row r="45" spans="1:9" ht="39" x14ac:dyDescent="0.25">
      <c r="A45" s="415" t="s">
        <v>406</v>
      </c>
      <c r="B45" s="201">
        <v>1006</v>
      </c>
      <c r="C45" s="179">
        <f>IF(B45="","",C44+B45)</f>
        <v>30391</v>
      </c>
      <c r="E45" s="189" t="s">
        <v>88</v>
      </c>
      <c r="F45" s="189" t="s">
        <v>364</v>
      </c>
      <c r="G45" s="528"/>
      <c r="H45" s="528"/>
      <c r="I45" s="161"/>
    </row>
    <row r="46" spans="1:9" ht="15.75" x14ac:dyDescent="0.25">
      <c r="A46" s="531"/>
      <c r="B46" s="532"/>
      <c r="C46" s="533" t="str">
        <f t="shared" ref="C46" si="9">IF(B46="","",C45+B46)</f>
        <v/>
      </c>
      <c r="E46" s="189" t="s">
        <v>91</v>
      </c>
      <c r="F46" s="198" t="s">
        <v>365</v>
      </c>
      <c r="G46" s="198"/>
      <c r="H46" s="530"/>
      <c r="I46" s="161"/>
    </row>
    <row r="47" spans="1:9" ht="15.75" x14ac:dyDescent="0.25">
      <c r="A47" s="531"/>
      <c r="B47" s="532"/>
      <c r="C47" s="533" t="str">
        <f>IF(B47="","",C46+B47)</f>
        <v/>
      </c>
      <c r="E47" s="189" t="s">
        <v>94</v>
      </c>
      <c r="F47" s="198" t="s">
        <v>366</v>
      </c>
      <c r="G47" s="529"/>
      <c r="H47" s="534"/>
      <c r="I47" s="161"/>
    </row>
    <row r="48" spans="1:9" ht="15.75" x14ac:dyDescent="0.25">
      <c r="I48" s="161"/>
    </row>
    <row r="49" spans="1:9" ht="15.75" x14ac:dyDescent="0.25">
      <c r="A49" s="908" t="s">
        <v>268</v>
      </c>
      <c r="B49" s="909"/>
      <c r="C49" s="909"/>
      <c r="D49" s="909"/>
      <c r="E49" s="909"/>
      <c r="F49" s="906"/>
      <c r="G49" s="906"/>
      <c r="H49" s="906"/>
      <c r="I49" s="161"/>
    </row>
    <row r="50" spans="1:9" ht="15.75" customHeight="1" x14ac:dyDescent="0.25">
      <c r="A50" s="1046" t="s">
        <v>407</v>
      </c>
      <c r="B50" s="1049"/>
      <c r="C50" s="1049"/>
      <c r="D50" s="1049"/>
      <c r="E50" s="1049"/>
      <c r="F50" s="161"/>
      <c r="G50" s="161"/>
      <c r="H50" s="161"/>
      <c r="I50" s="161"/>
    </row>
    <row r="51" spans="1:9" x14ac:dyDescent="0.2">
      <c r="A51" s="1049"/>
      <c r="B51" s="1049"/>
      <c r="C51" s="1049"/>
      <c r="D51" s="1049"/>
      <c r="E51" s="1049"/>
    </row>
    <row r="52" spans="1:9" x14ac:dyDescent="0.2">
      <c r="A52" s="1049"/>
      <c r="B52" s="1049"/>
      <c r="C52" s="1049"/>
      <c r="D52" s="1049"/>
      <c r="E52" s="1049"/>
    </row>
    <row r="53" spans="1:9" x14ac:dyDescent="0.2">
      <c r="A53" s="1049"/>
      <c r="B53" s="1049"/>
      <c r="C53" s="1049"/>
      <c r="D53" s="1049"/>
      <c r="E53" s="1049"/>
    </row>
    <row r="54" spans="1:9" x14ac:dyDescent="0.2">
      <c r="A54" s="1049"/>
      <c r="B54" s="1049"/>
      <c r="C54" s="1049"/>
      <c r="D54" s="1049"/>
      <c r="E54" s="1049"/>
    </row>
    <row r="55" spans="1:9" x14ac:dyDescent="0.2">
      <c r="A55" s="1049"/>
      <c r="B55" s="1049"/>
      <c r="C55" s="1049"/>
      <c r="D55" s="1049"/>
      <c r="E55" s="1049"/>
    </row>
    <row r="56" spans="1:9" x14ac:dyDescent="0.2">
      <c r="A56" s="1049"/>
      <c r="B56" s="1049"/>
      <c r="C56" s="1049"/>
      <c r="D56" s="1049"/>
      <c r="E56" s="1049"/>
    </row>
    <row r="57" spans="1:9" x14ac:dyDescent="0.2">
      <c r="A57" s="1049"/>
      <c r="B57" s="1049"/>
      <c r="C57" s="1049"/>
      <c r="D57" s="1049"/>
      <c r="E57" s="1049"/>
    </row>
    <row r="58" spans="1:9" x14ac:dyDescent="0.2">
      <c r="A58" s="1049"/>
      <c r="B58" s="1049"/>
      <c r="C58" s="1049"/>
      <c r="D58" s="1049"/>
      <c r="E58" s="1049"/>
    </row>
    <row r="59" spans="1:9" x14ac:dyDescent="0.2">
      <c r="A59" s="1049"/>
      <c r="B59" s="1049"/>
      <c r="C59" s="1049"/>
      <c r="D59" s="1049"/>
      <c r="E59" s="1049"/>
    </row>
    <row r="61" spans="1:9" ht="15.75" x14ac:dyDescent="0.25">
      <c r="A61" s="912" t="s">
        <v>270</v>
      </c>
      <c r="B61" s="906"/>
      <c r="C61" s="906"/>
      <c r="D61" s="906"/>
      <c r="E61" s="906"/>
      <c r="F61" s="906"/>
      <c r="G61" s="906"/>
      <c r="H61" s="906"/>
      <c r="I61" s="906"/>
    </row>
    <row r="62" spans="1:9" x14ac:dyDescent="0.2">
      <c r="A62" s="211" t="s">
        <v>110</v>
      </c>
      <c r="E62" s="211" t="s">
        <v>111</v>
      </c>
      <c r="H62" s="211" t="s">
        <v>408</v>
      </c>
    </row>
    <row r="63" spans="1:9" ht="31.5" customHeight="1" x14ac:dyDescent="0.25">
      <c r="A63" s="1041" t="s">
        <v>409</v>
      </c>
      <c r="B63" s="1036"/>
      <c r="C63" s="1036"/>
      <c r="D63" s="490"/>
      <c r="E63" s="1041" t="s">
        <v>410</v>
      </c>
      <c r="F63" s="1042"/>
      <c r="G63" s="493"/>
      <c r="H63" s="535">
        <v>43190</v>
      </c>
    </row>
    <row r="64" spans="1:9" x14ac:dyDescent="0.2">
      <c r="A64" s="493"/>
      <c r="B64" s="493"/>
      <c r="C64" s="493"/>
      <c r="D64" s="498"/>
      <c r="E64" s="493"/>
      <c r="F64" s="493"/>
      <c r="G64" s="493"/>
      <c r="H64" s="493"/>
    </row>
    <row r="65" spans="1:8" ht="27" customHeight="1" x14ac:dyDescent="0.25">
      <c r="A65" s="913" t="s">
        <v>411</v>
      </c>
      <c r="B65" s="913"/>
      <c r="C65" s="913"/>
      <c r="D65" s="490"/>
      <c r="E65" s="904" t="s">
        <v>412</v>
      </c>
      <c r="F65" s="1050"/>
      <c r="G65" s="493"/>
      <c r="H65" s="497">
        <v>43190</v>
      </c>
    </row>
    <row r="66" spans="1:8" x14ac:dyDescent="0.2">
      <c r="A66" s="493"/>
      <c r="B66" s="493"/>
      <c r="C66" s="493"/>
      <c r="D66" s="498"/>
      <c r="E66" s="493"/>
      <c r="F66" s="493"/>
      <c r="G66" s="493"/>
      <c r="H66" s="493"/>
    </row>
    <row r="67" spans="1:8" ht="29.25" customHeight="1" x14ac:dyDescent="0.25">
      <c r="A67" s="913" t="s">
        <v>413</v>
      </c>
      <c r="B67" s="913"/>
      <c r="C67" s="913"/>
      <c r="D67" s="490"/>
      <c r="E67" s="904" t="s">
        <v>414</v>
      </c>
      <c r="F67" s="1050"/>
      <c r="G67" s="493"/>
      <c r="H67" s="497">
        <v>43190</v>
      </c>
    </row>
    <row r="68" spans="1:8" x14ac:dyDescent="0.2">
      <c r="A68" s="493"/>
      <c r="B68" s="493"/>
      <c r="C68" s="493"/>
      <c r="D68" s="498"/>
      <c r="E68" s="493"/>
      <c r="F68" s="493"/>
      <c r="G68" s="493"/>
      <c r="H68" s="493"/>
    </row>
    <row r="69" spans="1:8" ht="15.75" x14ac:dyDescent="0.25">
      <c r="A69" s="904"/>
      <c r="B69" s="904"/>
      <c r="C69" s="904"/>
      <c r="D69" s="490"/>
      <c r="E69" s="904"/>
      <c r="F69" s="1050"/>
      <c r="G69" s="493"/>
      <c r="H69" s="497"/>
    </row>
    <row r="71" spans="1:8" x14ac:dyDescent="0.2">
      <c r="A71" s="905" t="s">
        <v>113</v>
      </c>
      <c r="B71" s="906"/>
      <c r="C71" s="906"/>
      <c r="D71" s="906"/>
      <c r="E71" s="906"/>
      <c r="F71" s="906"/>
    </row>
    <row r="72" spans="1:8" ht="15" customHeight="1" x14ac:dyDescent="0.2">
      <c r="A72" s="906"/>
      <c r="B72" s="906"/>
      <c r="C72" s="906"/>
      <c r="D72" s="906"/>
      <c r="E72" s="906"/>
      <c r="F72" s="906"/>
    </row>
    <row r="73" spans="1:8" x14ac:dyDescent="0.2">
      <c r="A73" s="906"/>
      <c r="B73" s="906"/>
      <c r="C73" s="906"/>
      <c r="D73" s="906"/>
      <c r="E73" s="906"/>
      <c r="F73" s="906"/>
    </row>
    <row r="74" spans="1:8" x14ac:dyDescent="0.2">
      <c r="A74" s="830" t="s">
        <v>415</v>
      </c>
      <c r="B74" s="830"/>
      <c r="C74" s="830"/>
      <c r="D74" s="830"/>
      <c r="E74" s="830"/>
      <c r="F74" s="830"/>
    </row>
    <row r="75" spans="1:8" ht="15" customHeight="1" x14ac:dyDescent="0.2">
      <c r="A75" s="830"/>
      <c r="B75" s="830"/>
      <c r="C75" s="830"/>
      <c r="D75" s="830"/>
      <c r="E75" s="830"/>
      <c r="F75" s="830"/>
    </row>
    <row r="76" spans="1:8" ht="15" customHeight="1" x14ac:dyDescent="0.2">
      <c r="A76" s="830"/>
      <c r="B76" s="830"/>
      <c r="C76" s="830"/>
      <c r="D76" s="830"/>
      <c r="E76" s="830"/>
      <c r="F76" s="830"/>
    </row>
    <row r="77" spans="1:8" ht="15" customHeight="1" x14ac:dyDescent="0.2">
      <c r="A77" s="830"/>
      <c r="B77" s="830"/>
      <c r="C77" s="830"/>
      <c r="D77" s="830"/>
      <c r="E77" s="830"/>
      <c r="F77" s="830"/>
    </row>
    <row r="78" spans="1:8" ht="15" customHeight="1" x14ac:dyDescent="0.2">
      <c r="A78" s="830"/>
      <c r="B78" s="830"/>
      <c r="C78" s="830"/>
      <c r="D78" s="830"/>
      <c r="E78" s="830"/>
      <c r="F78" s="830"/>
    </row>
    <row r="79" spans="1:8" ht="15" customHeight="1" x14ac:dyDescent="0.2">
      <c r="A79" s="830"/>
      <c r="B79" s="830"/>
      <c r="C79" s="830"/>
      <c r="D79" s="830"/>
      <c r="E79" s="830"/>
      <c r="F79" s="830"/>
    </row>
    <row r="80" spans="1:8" ht="15" customHeight="1" x14ac:dyDescent="0.2">
      <c r="A80" s="830"/>
      <c r="B80" s="830"/>
      <c r="C80" s="830"/>
      <c r="D80" s="830"/>
      <c r="E80" s="830"/>
      <c r="F80" s="830"/>
    </row>
    <row r="81" spans="1:6" ht="15" customHeight="1" x14ac:dyDescent="0.2">
      <c r="A81" s="830"/>
      <c r="B81" s="830"/>
      <c r="C81" s="830"/>
      <c r="D81" s="830"/>
      <c r="E81" s="830"/>
      <c r="F81" s="830"/>
    </row>
    <row r="82" spans="1:6" ht="15" customHeight="1" x14ac:dyDescent="0.2">
      <c r="A82" s="830"/>
      <c r="B82" s="830"/>
      <c r="C82" s="830"/>
      <c r="D82" s="830"/>
      <c r="E82" s="830"/>
      <c r="F82" s="830"/>
    </row>
    <row r="83" spans="1:6" ht="15" customHeight="1" x14ac:dyDescent="0.2">
      <c r="A83" s="830"/>
      <c r="B83" s="830"/>
      <c r="C83" s="830"/>
      <c r="D83" s="830"/>
      <c r="E83" s="830"/>
      <c r="F83" s="830"/>
    </row>
    <row r="84" spans="1:6" ht="15" customHeight="1" x14ac:dyDescent="0.2">
      <c r="A84" s="830"/>
      <c r="B84" s="830"/>
      <c r="C84" s="830"/>
      <c r="D84" s="830"/>
      <c r="E84" s="830"/>
      <c r="F84" s="830"/>
    </row>
    <row r="85" spans="1:6" ht="15" customHeight="1" x14ac:dyDescent="0.2">
      <c r="A85" s="830"/>
      <c r="B85" s="830"/>
      <c r="C85" s="830"/>
      <c r="D85" s="830"/>
      <c r="E85" s="830"/>
      <c r="F85" s="830"/>
    </row>
    <row r="86" spans="1:6" ht="15" customHeight="1" x14ac:dyDescent="0.2">
      <c r="A86" s="830"/>
      <c r="B86" s="830"/>
      <c r="C86" s="830"/>
      <c r="D86" s="830"/>
      <c r="E86" s="830"/>
      <c r="F86" s="830"/>
    </row>
    <row r="87" spans="1:6" ht="15" customHeight="1" x14ac:dyDescent="0.2"/>
  </sheetData>
  <mergeCells count="18">
    <mergeCell ref="A49:H49"/>
    <mergeCell ref="A1:I1"/>
    <mergeCell ref="A2:G2"/>
    <mergeCell ref="A3:E4"/>
    <mergeCell ref="D7:I18"/>
    <mergeCell ref="A42:C42"/>
    <mergeCell ref="A74:F86"/>
    <mergeCell ref="A50:E59"/>
    <mergeCell ref="A61:I61"/>
    <mergeCell ref="A63:C63"/>
    <mergeCell ref="E63:F63"/>
    <mergeCell ref="A65:C65"/>
    <mergeCell ref="E65:F65"/>
    <mergeCell ref="A67:C67"/>
    <mergeCell ref="E67:F67"/>
    <mergeCell ref="A69:C69"/>
    <mergeCell ref="E69:F69"/>
    <mergeCell ref="A71:F73"/>
  </mergeCells>
  <dataValidations count="3">
    <dataValidation allowBlank="1" showInputMessage="1" showErrorMessage="1" prompt="Insert data for this quarter only_x000a_" sqref="C27"/>
    <dataValidation errorStyle="information" allowBlank="1" showInputMessage="1" showErrorMessage="1" error="Please choose from the list provided" prompt="Please use the drop down list" sqref="B18"/>
    <dataValidation errorStyle="information" allowBlank="1" showInputMessage="1" showErrorMessage="1" error="Please choose from the list provided" prompt="Please use the drop down list" sqref="B13"/>
  </dataValidations>
  <pageMargins left="0.7" right="0.7" top="0.75" bottom="0.75" header="0.3" footer="0.3"/>
  <pageSetup paperSize="9" orientation="portrait" verticalDpi="12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104"/>
  <sheetViews>
    <sheetView showGridLines="0" zoomScaleNormal="100" workbookViewId="0">
      <selection activeCell="B18" sqref="B18"/>
    </sheetView>
  </sheetViews>
  <sheetFormatPr defaultColWidth="12.88671875" defaultRowHeight="15" x14ac:dyDescent="0.2"/>
  <cols>
    <col min="2" max="2" width="13" bestFit="1" customWidth="1"/>
    <col min="4" max="4" width="16.21875" customWidth="1"/>
    <col min="6" max="6" width="14.44140625" customWidth="1"/>
    <col min="10" max="10" width="11.77734375" customWidth="1"/>
  </cols>
  <sheetData>
    <row r="1" spans="1:10" ht="18.75" x14ac:dyDescent="0.3">
      <c r="A1" s="914" t="s">
        <v>304</v>
      </c>
      <c r="B1" s="915"/>
      <c r="C1" s="915"/>
      <c r="D1" s="915"/>
      <c r="E1" s="915"/>
      <c r="F1" s="915"/>
      <c r="G1" s="906"/>
      <c r="H1" s="906"/>
      <c r="I1" s="906"/>
      <c r="J1" s="906"/>
    </row>
    <row r="2" spans="1:10" ht="15.75" x14ac:dyDescent="0.25">
      <c r="A2" s="916" t="s">
        <v>133</v>
      </c>
      <c r="B2" s="917"/>
      <c r="C2" s="917"/>
      <c r="D2" s="917"/>
      <c r="E2" s="917"/>
      <c r="F2" s="917"/>
      <c r="G2" s="917"/>
      <c r="H2" s="161"/>
      <c r="I2" s="161"/>
    </row>
    <row r="3" spans="1:10" ht="15" customHeight="1" x14ac:dyDescent="0.2">
      <c r="A3" s="1035" t="s">
        <v>305</v>
      </c>
      <c r="B3" s="906"/>
      <c r="C3" s="906"/>
      <c r="D3" s="906"/>
      <c r="E3" s="906"/>
      <c r="F3" s="151"/>
      <c r="G3" s="151"/>
      <c r="H3" s="151"/>
      <c r="I3" s="151"/>
      <c r="J3" s="151"/>
    </row>
    <row r="4" spans="1:10" x14ac:dyDescent="0.2">
      <c r="A4" s="906"/>
      <c r="B4" s="906"/>
      <c r="C4" s="906"/>
      <c r="D4" s="906"/>
      <c r="E4" s="906"/>
      <c r="F4" s="151"/>
      <c r="G4" s="151"/>
      <c r="H4" s="151"/>
      <c r="I4" s="151"/>
      <c r="J4" s="151"/>
    </row>
    <row r="5" spans="1:10" ht="15.75" x14ac:dyDescent="0.25">
      <c r="A5" s="162"/>
      <c r="B5" s="162"/>
      <c r="C5" s="161"/>
      <c r="D5" s="161"/>
      <c r="E5" s="161"/>
      <c r="F5" s="161"/>
      <c r="G5" s="161"/>
      <c r="H5" s="161"/>
      <c r="I5" s="161"/>
    </row>
    <row r="6" spans="1:10" ht="15.75" x14ac:dyDescent="0.25">
      <c r="A6" s="163" t="s">
        <v>63</v>
      </c>
      <c r="B6" s="164">
        <v>1</v>
      </c>
      <c r="C6" s="161"/>
      <c r="D6" s="165" t="s">
        <v>64</v>
      </c>
      <c r="E6" s="166"/>
      <c r="F6" s="167"/>
      <c r="G6" s="167"/>
      <c r="H6" s="167"/>
      <c r="I6" s="167"/>
    </row>
    <row r="7" spans="1:10" ht="15.6" customHeight="1" x14ac:dyDescent="0.25">
      <c r="A7" s="168" t="s">
        <v>65</v>
      </c>
      <c r="B7" s="169">
        <v>0</v>
      </c>
      <c r="C7" s="161"/>
      <c r="D7" s="919" t="s">
        <v>66</v>
      </c>
      <c r="E7" s="920"/>
      <c r="F7" s="920"/>
      <c r="G7" s="920"/>
      <c r="H7" s="920"/>
      <c r="I7" s="921"/>
    </row>
    <row r="8" spans="1:10" ht="15.75" x14ac:dyDescent="0.25">
      <c r="A8" s="170" t="s">
        <v>67</v>
      </c>
      <c r="B8" s="171">
        <v>1.1000000000000001</v>
      </c>
      <c r="C8" s="161"/>
      <c r="D8" s="920"/>
      <c r="E8" s="920"/>
      <c r="F8" s="920"/>
      <c r="G8" s="920"/>
      <c r="H8" s="920"/>
      <c r="I8" s="921"/>
    </row>
    <row r="9" spans="1:10" ht="15" customHeight="1" x14ac:dyDescent="0.25">
      <c r="A9" s="170" t="s">
        <v>68</v>
      </c>
      <c r="B9" s="171">
        <v>1</v>
      </c>
      <c r="C9" s="161"/>
      <c r="D9" s="920"/>
      <c r="E9" s="920"/>
      <c r="F9" s="920"/>
      <c r="G9" s="920"/>
      <c r="H9" s="920"/>
      <c r="I9" s="921"/>
    </row>
    <row r="10" spans="1:10" ht="15" customHeight="1" x14ac:dyDescent="0.25">
      <c r="A10" s="172" t="s">
        <v>69</v>
      </c>
      <c r="B10" s="173">
        <v>10000000000</v>
      </c>
      <c r="C10" s="161"/>
      <c r="D10" s="920"/>
      <c r="E10" s="920"/>
      <c r="F10" s="920"/>
      <c r="G10" s="920"/>
      <c r="H10" s="920"/>
      <c r="I10" s="921"/>
    </row>
    <row r="11" spans="1:10" ht="15.75" x14ac:dyDescent="0.25">
      <c r="A11" s="174" t="s">
        <v>70</v>
      </c>
      <c r="B11" s="175">
        <v>1.1000000000000001</v>
      </c>
      <c r="C11" s="161"/>
      <c r="D11" s="922"/>
      <c r="E11" s="922"/>
      <c r="F11" s="922"/>
      <c r="G11" s="922"/>
      <c r="H11" s="922"/>
      <c r="I11" s="921"/>
    </row>
    <row r="12" spans="1:10" ht="15.75" x14ac:dyDescent="0.25">
      <c r="A12" s="162"/>
      <c r="B12" s="162"/>
      <c r="C12" s="161"/>
      <c r="D12" s="922"/>
      <c r="E12" s="922"/>
      <c r="F12" s="922"/>
      <c r="G12" s="922"/>
      <c r="H12" s="922"/>
      <c r="I12" s="921"/>
    </row>
    <row r="13" spans="1:10" ht="15.75" x14ac:dyDescent="0.25">
      <c r="A13" s="176" t="s">
        <v>71</v>
      </c>
      <c r="B13" s="376" t="s">
        <v>283</v>
      </c>
      <c r="C13" s="161"/>
      <c r="D13" s="922"/>
      <c r="E13" s="922"/>
      <c r="F13" s="922"/>
      <c r="G13" s="922"/>
      <c r="H13" s="922"/>
      <c r="I13" s="921"/>
    </row>
    <row r="14" spans="1:10" ht="15.75" x14ac:dyDescent="0.25">
      <c r="A14" s="178" t="s">
        <v>73</v>
      </c>
      <c r="B14" s="179">
        <f>VLOOKUP(B13,A23:E44,2,FALSE)</f>
        <v>263</v>
      </c>
      <c r="C14" s="161"/>
      <c r="D14" s="922"/>
      <c r="E14" s="922"/>
      <c r="F14" s="922"/>
      <c r="G14" s="922"/>
      <c r="H14" s="922"/>
      <c r="I14" s="921"/>
    </row>
    <row r="15" spans="1:10" ht="15.75" x14ac:dyDescent="0.25">
      <c r="A15" s="178" t="s">
        <v>74</v>
      </c>
      <c r="B15" s="179">
        <f>VLOOKUP($B$13,$A$23:$E$44,3,FALSE)</f>
        <v>230</v>
      </c>
      <c r="C15" s="161"/>
      <c r="D15" s="922"/>
      <c r="E15" s="922"/>
      <c r="F15" s="922"/>
      <c r="G15" s="922"/>
      <c r="H15" s="922"/>
      <c r="I15" s="921"/>
    </row>
    <row r="16" spans="1:10" ht="15.75" x14ac:dyDescent="0.25">
      <c r="A16" s="178" t="s">
        <v>75</v>
      </c>
      <c r="B16" s="389" t="str">
        <f>VLOOKUP($B$13,$A$23:$E$44,5,FALSE)</f>
        <v>Red</v>
      </c>
      <c r="C16" s="161"/>
      <c r="D16" s="922"/>
      <c r="E16" s="922"/>
      <c r="F16" s="922"/>
      <c r="G16" s="922"/>
      <c r="H16" s="922"/>
      <c r="I16" s="921"/>
    </row>
    <row r="17" spans="1:10" ht="15.75" x14ac:dyDescent="0.25">
      <c r="A17" s="162"/>
      <c r="B17" s="182"/>
      <c r="C17" s="161"/>
      <c r="D17" s="922"/>
      <c r="E17" s="922"/>
      <c r="F17" s="922"/>
      <c r="G17" s="922"/>
      <c r="H17" s="922"/>
      <c r="I17" s="921"/>
    </row>
    <row r="18" spans="1:10" ht="15.75" x14ac:dyDescent="0.25">
      <c r="A18" s="178" t="s">
        <v>52</v>
      </c>
      <c r="B18" s="390" t="s">
        <v>36</v>
      </c>
      <c r="C18" s="161"/>
      <c r="D18" s="922"/>
      <c r="E18" s="922"/>
      <c r="F18" s="922"/>
      <c r="G18" s="922"/>
      <c r="H18" s="922"/>
      <c r="I18" s="921"/>
    </row>
    <row r="19" spans="1:10" ht="15.75" x14ac:dyDescent="0.25">
      <c r="B19" s="162"/>
      <c r="C19" s="161"/>
      <c r="D19" s="161"/>
      <c r="E19" s="161"/>
      <c r="F19" s="161"/>
      <c r="G19" s="161"/>
      <c r="H19" s="161"/>
      <c r="I19" s="161"/>
    </row>
    <row r="20" spans="1:10" ht="15" customHeight="1" x14ac:dyDescent="0.25">
      <c r="A20" s="162"/>
      <c r="B20" s="162"/>
      <c r="C20" s="161"/>
      <c r="D20" s="161"/>
      <c r="E20" s="161"/>
      <c r="F20" s="161"/>
      <c r="G20" s="185" t="s">
        <v>306</v>
      </c>
      <c r="H20" s="185"/>
      <c r="I20" s="186" t="s">
        <v>77</v>
      </c>
      <c r="J20" s="187" t="s">
        <v>78</v>
      </c>
    </row>
    <row r="21" spans="1:10" ht="27" customHeight="1" x14ac:dyDescent="0.2">
      <c r="A21" s="391"/>
      <c r="B21" s="392"/>
      <c r="C21" s="392"/>
      <c r="D21" s="393" t="str">
        <f>IF(B21="","",B21/C21)</f>
        <v/>
      </c>
      <c r="E21" s="313" t="str">
        <f>IF(D21="","",IF(D21&gt;=$B$7,"GREEN",IF(D21&gt;=$B$9, "AMBER",IF(D21&gt;=$B$11,"RED"))))</f>
        <v/>
      </c>
      <c r="G21" s="189" t="s">
        <v>80</v>
      </c>
      <c r="H21" s="189" t="s">
        <v>307</v>
      </c>
      <c r="I21" s="394" t="s">
        <v>308</v>
      </c>
      <c r="J21" s="395">
        <v>43108</v>
      </c>
    </row>
    <row r="22" spans="1:10" ht="15.6" customHeight="1" thickBot="1" x14ac:dyDescent="0.3">
      <c r="A22" s="188" t="s">
        <v>309</v>
      </c>
      <c r="B22" s="161"/>
      <c r="C22" s="161"/>
      <c r="D22" s="161"/>
      <c r="E22" s="161"/>
      <c r="F22" s="161"/>
      <c r="G22" s="189" t="s">
        <v>85</v>
      </c>
      <c r="H22" s="189" t="s">
        <v>310</v>
      </c>
      <c r="I22" s="396" t="s">
        <v>310</v>
      </c>
      <c r="J22" s="397">
        <v>43111</v>
      </c>
    </row>
    <row r="23" spans="1:10" ht="15.6" customHeight="1" thickBot="1" x14ac:dyDescent="0.25">
      <c r="A23" s="192" t="s">
        <v>82</v>
      </c>
      <c r="B23" s="193" t="s">
        <v>311</v>
      </c>
      <c r="C23" s="193" t="s">
        <v>312</v>
      </c>
      <c r="D23" s="193" t="s">
        <v>84</v>
      </c>
      <c r="E23" s="194" t="s">
        <v>75</v>
      </c>
      <c r="F23" s="398" t="s">
        <v>313</v>
      </c>
      <c r="G23" s="189" t="s">
        <v>88</v>
      </c>
      <c r="H23" s="189" t="s">
        <v>314</v>
      </c>
      <c r="I23" s="396"/>
      <c r="J23" s="397"/>
    </row>
    <row r="24" spans="1:10" ht="15.6" customHeight="1" x14ac:dyDescent="0.2">
      <c r="A24" s="192" t="s">
        <v>315</v>
      </c>
      <c r="B24" s="195">
        <v>380</v>
      </c>
      <c r="C24" s="195">
        <v>380</v>
      </c>
      <c r="D24" s="196">
        <f t="shared" ref="D24:D29" si="0">B24/C24</f>
        <v>1</v>
      </c>
      <c r="E24" s="197" t="str">
        <f>IF(D24="","",IF(D24&lt;=$B$6,"Green",IF(D24&lt;=$B$8, "Amber",IF(D24&gt;=$B$11,"Red"))))</f>
        <v>Green</v>
      </c>
      <c r="F24" s="399"/>
      <c r="G24" s="189" t="s">
        <v>91</v>
      </c>
      <c r="H24" s="189" t="s">
        <v>316</v>
      </c>
      <c r="I24" s="190"/>
      <c r="J24" s="191"/>
    </row>
    <row r="25" spans="1:10" ht="15.6" hidden="1" customHeight="1" x14ac:dyDescent="0.2">
      <c r="A25" s="192" t="s">
        <v>317</v>
      </c>
      <c r="B25" s="195">
        <v>355</v>
      </c>
      <c r="C25" s="195">
        <v>358</v>
      </c>
      <c r="D25" s="196">
        <f t="shared" si="0"/>
        <v>0.99162011173184361</v>
      </c>
      <c r="E25" s="197" t="str">
        <f t="shared" ref="E25:E45" si="1">IF(D25="","",IF(D25&lt;=$B$6,"Green",IF(D25&lt;=$B$8, "Amber",IF(D25&gt;=$B$11,"Red"))))</f>
        <v>Green</v>
      </c>
      <c r="F25" s="399"/>
      <c r="G25" s="189" t="s">
        <v>94</v>
      </c>
      <c r="H25" s="198" t="s">
        <v>95</v>
      </c>
      <c r="I25" s="190"/>
      <c r="J25" s="190"/>
    </row>
    <row r="26" spans="1:10" ht="15.6" hidden="1" customHeight="1" x14ac:dyDescent="0.2">
      <c r="A26" s="200" t="s">
        <v>318</v>
      </c>
      <c r="B26" s="400">
        <v>341</v>
      </c>
      <c r="C26" s="401">
        <v>347</v>
      </c>
      <c r="D26" s="199">
        <f t="shared" si="0"/>
        <v>0.98270893371757928</v>
      </c>
      <c r="E26" s="197" t="str">
        <f t="shared" si="1"/>
        <v>Green</v>
      </c>
      <c r="F26" s="399"/>
      <c r="G26" s="402"/>
      <c r="H26" s="403"/>
      <c r="I26" s="404"/>
      <c r="J26" s="404"/>
    </row>
    <row r="27" spans="1:10" ht="15.6" hidden="1" customHeight="1" x14ac:dyDescent="0.2">
      <c r="A27" s="200" t="s">
        <v>319</v>
      </c>
      <c r="B27" s="400">
        <v>311</v>
      </c>
      <c r="C27" s="401">
        <v>337</v>
      </c>
      <c r="D27" s="199">
        <f t="shared" si="0"/>
        <v>0.9228486646884273</v>
      </c>
      <c r="E27" s="197" t="str">
        <f t="shared" si="1"/>
        <v>Green</v>
      </c>
      <c r="F27" s="399"/>
      <c r="G27" s="402"/>
      <c r="H27" s="403"/>
      <c r="I27" s="404"/>
      <c r="J27" s="404"/>
    </row>
    <row r="28" spans="1:10" ht="15.6" hidden="1" customHeight="1" x14ac:dyDescent="0.2">
      <c r="A28" s="200" t="s">
        <v>320</v>
      </c>
      <c r="B28" s="400">
        <v>318</v>
      </c>
      <c r="C28" s="401">
        <v>327</v>
      </c>
      <c r="D28" s="199">
        <f t="shared" si="0"/>
        <v>0.97247706422018354</v>
      </c>
      <c r="E28" s="197" t="str">
        <f t="shared" si="1"/>
        <v>Green</v>
      </c>
      <c r="F28" s="405">
        <f t="shared" ref="F28:F37" si="2">AVERAGE(B25:B28)</f>
        <v>331.25</v>
      </c>
      <c r="G28" s="402"/>
      <c r="H28" s="403"/>
      <c r="I28" s="404"/>
      <c r="J28" s="404"/>
    </row>
    <row r="29" spans="1:10" ht="15.6" hidden="1" customHeight="1" x14ac:dyDescent="0.2">
      <c r="A29" s="192" t="s">
        <v>321</v>
      </c>
      <c r="B29" s="195">
        <v>272</v>
      </c>
      <c r="C29" s="205">
        <v>316</v>
      </c>
      <c r="D29" s="199">
        <f t="shared" si="0"/>
        <v>0.86075949367088611</v>
      </c>
      <c r="E29" s="197" t="str">
        <f t="shared" si="1"/>
        <v>Green</v>
      </c>
      <c r="F29" s="405">
        <f t="shared" si="2"/>
        <v>310.5</v>
      </c>
    </row>
    <row r="30" spans="1:10" ht="15.6" hidden="1" customHeight="1" x14ac:dyDescent="0.2">
      <c r="A30" s="200" t="s">
        <v>322</v>
      </c>
      <c r="B30" s="400">
        <v>222</v>
      </c>
      <c r="C30" s="401">
        <v>300</v>
      </c>
      <c r="D30" s="203">
        <f t="shared" ref="D30:D45" si="3">IF(B30="","",B30/C30)</f>
        <v>0.74</v>
      </c>
      <c r="E30" s="197" t="str">
        <f t="shared" si="1"/>
        <v>Green</v>
      </c>
      <c r="F30" s="405">
        <f t="shared" si="2"/>
        <v>280.75</v>
      </c>
      <c r="G30" s="406"/>
      <c r="H30" s="406"/>
      <c r="I30" s="406"/>
      <c r="J30" s="406"/>
    </row>
    <row r="31" spans="1:10" ht="15.6" hidden="1" customHeight="1" x14ac:dyDescent="0.2">
      <c r="A31" s="200" t="s">
        <v>323</v>
      </c>
      <c r="B31" s="400">
        <v>208</v>
      </c>
      <c r="C31" s="401">
        <v>288</v>
      </c>
      <c r="D31" s="203">
        <f t="shared" si="3"/>
        <v>0.72222222222222221</v>
      </c>
      <c r="E31" s="197" t="str">
        <f t="shared" si="1"/>
        <v>Green</v>
      </c>
      <c r="F31" s="405">
        <f t="shared" si="2"/>
        <v>255</v>
      </c>
      <c r="G31" s="406"/>
      <c r="H31" s="406"/>
      <c r="I31" s="406"/>
      <c r="J31" s="406"/>
    </row>
    <row r="32" spans="1:10" ht="15.6" hidden="1" customHeight="1" x14ac:dyDescent="0.2">
      <c r="A32" s="200" t="s">
        <v>324</v>
      </c>
      <c r="B32" s="400">
        <v>256</v>
      </c>
      <c r="C32" s="401">
        <v>277</v>
      </c>
      <c r="D32" s="203">
        <f t="shared" si="3"/>
        <v>0.92418772563176899</v>
      </c>
      <c r="E32" s="197" t="str">
        <f t="shared" si="1"/>
        <v>Green</v>
      </c>
      <c r="F32" s="405">
        <f t="shared" si="2"/>
        <v>239.5</v>
      </c>
      <c r="G32" s="406"/>
      <c r="H32" s="406"/>
      <c r="I32" s="406"/>
      <c r="J32" s="406"/>
    </row>
    <row r="33" spans="1:10" ht="15.6" hidden="1" customHeight="1" x14ac:dyDescent="0.2">
      <c r="A33" s="200" t="s">
        <v>139</v>
      </c>
      <c r="B33" s="405">
        <v>275</v>
      </c>
      <c r="C33" s="205">
        <v>266</v>
      </c>
      <c r="D33" s="203">
        <f t="shared" si="3"/>
        <v>1.0338345864661653</v>
      </c>
      <c r="E33" s="197" t="str">
        <f t="shared" si="1"/>
        <v>Amber</v>
      </c>
      <c r="F33" s="405">
        <f t="shared" si="2"/>
        <v>240.25</v>
      </c>
      <c r="G33" s="406"/>
      <c r="H33" s="406"/>
      <c r="I33" s="406"/>
      <c r="J33" s="406"/>
    </row>
    <row r="34" spans="1:10" ht="15.6" hidden="1" customHeight="1" x14ac:dyDescent="0.2">
      <c r="A34" s="200" t="s">
        <v>325</v>
      </c>
      <c r="B34" s="405">
        <v>300</v>
      </c>
      <c r="C34" s="405">
        <v>234</v>
      </c>
      <c r="D34" s="203">
        <f t="shared" si="3"/>
        <v>1.2820512820512822</v>
      </c>
      <c r="E34" s="197" t="str">
        <f t="shared" si="1"/>
        <v>Red</v>
      </c>
      <c r="F34" s="405">
        <f t="shared" si="2"/>
        <v>259.75</v>
      </c>
    </row>
    <row r="35" spans="1:10" ht="15.6" hidden="1" customHeight="1" x14ac:dyDescent="0.2">
      <c r="A35" s="200" t="s">
        <v>326</v>
      </c>
      <c r="B35" s="405">
        <v>323</v>
      </c>
      <c r="C35" s="205">
        <v>224</v>
      </c>
      <c r="D35" s="203">
        <f t="shared" si="3"/>
        <v>1.4419642857142858</v>
      </c>
      <c r="E35" s="197" t="str">
        <f t="shared" si="1"/>
        <v>Red</v>
      </c>
      <c r="F35" s="405">
        <f t="shared" si="2"/>
        <v>288.5</v>
      </c>
    </row>
    <row r="36" spans="1:10" ht="15.6" hidden="1" customHeight="1" x14ac:dyDescent="0.2">
      <c r="A36" s="407" t="s">
        <v>327</v>
      </c>
      <c r="B36" s="408">
        <v>322</v>
      </c>
      <c r="C36" s="409">
        <v>222</v>
      </c>
      <c r="D36" s="410">
        <f t="shared" si="3"/>
        <v>1.4504504504504505</v>
      </c>
      <c r="E36" s="197" t="str">
        <f t="shared" si="1"/>
        <v>Red</v>
      </c>
      <c r="F36" s="408">
        <f t="shared" si="2"/>
        <v>305</v>
      </c>
    </row>
    <row r="37" spans="1:10" ht="15.6" customHeight="1" x14ac:dyDescent="0.2">
      <c r="A37" s="411" t="s">
        <v>328</v>
      </c>
      <c r="B37" s="405">
        <v>275</v>
      </c>
      <c r="C37" s="405">
        <v>206</v>
      </c>
      <c r="D37" s="203">
        <f t="shared" si="3"/>
        <v>1.3349514563106797</v>
      </c>
      <c r="E37" s="197" t="str">
        <f t="shared" si="1"/>
        <v>Red</v>
      </c>
      <c r="F37" s="405">
        <f t="shared" si="2"/>
        <v>305</v>
      </c>
      <c r="G37" s="406"/>
      <c r="H37" s="406"/>
      <c r="I37" s="406"/>
      <c r="J37" s="406"/>
    </row>
    <row r="38" spans="1:10" ht="15.6" hidden="1" customHeight="1" x14ac:dyDescent="0.2">
      <c r="A38" s="411" t="s">
        <v>329</v>
      </c>
      <c r="B38" s="412">
        <v>247</v>
      </c>
      <c r="C38" s="413">
        <v>267</v>
      </c>
      <c r="D38" s="203">
        <f t="shared" si="3"/>
        <v>0.92509363295880154</v>
      </c>
      <c r="E38" s="197" t="str">
        <f t="shared" si="1"/>
        <v>Green</v>
      </c>
      <c r="F38" s="405">
        <f>AVERAGE(B35:B38)</f>
        <v>291.75</v>
      </c>
      <c r="G38" s="406"/>
      <c r="H38" s="406"/>
      <c r="I38" s="406"/>
      <c r="J38" s="406"/>
    </row>
    <row r="39" spans="1:10" ht="15.6" hidden="1" customHeight="1" x14ac:dyDescent="0.2">
      <c r="A39" s="411" t="s">
        <v>330</v>
      </c>
      <c r="B39" s="412">
        <v>221</v>
      </c>
      <c r="C39" s="413">
        <v>258</v>
      </c>
      <c r="D39" s="203">
        <f t="shared" si="3"/>
        <v>0.85658914728682167</v>
      </c>
      <c r="E39" s="197" t="str">
        <f t="shared" si="1"/>
        <v>Green</v>
      </c>
      <c r="F39" s="405">
        <f>AVERAGE(B36:B39)</f>
        <v>266.25</v>
      </c>
      <c r="G39" s="406"/>
      <c r="H39" s="406"/>
      <c r="I39" s="406"/>
      <c r="J39" s="406"/>
    </row>
    <row r="40" spans="1:10" ht="15.6" hidden="1" customHeight="1" x14ac:dyDescent="0.2">
      <c r="A40" s="411" t="s">
        <v>331</v>
      </c>
      <c r="B40" s="412">
        <v>239</v>
      </c>
      <c r="C40" s="413">
        <v>250</v>
      </c>
      <c r="D40" s="203">
        <f t="shared" si="3"/>
        <v>0.95599999999999996</v>
      </c>
      <c r="E40" s="197" t="str">
        <f t="shared" si="1"/>
        <v>Green</v>
      </c>
      <c r="F40" s="405">
        <f>AVERAGE(B37:B40)</f>
        <v>245.5</v>
      </c>
      <c r="G40" s="406"/>
      <c r="H40" s="406"/>
      <c r="I40" s="406"/>
      <c r="J40" s="406"/>
    </row>
    <row r="41" spans="1:10" ht="15.6" customHeight="1" x14ac:dyDescent="0.2">
      <c r="A41" s="411" t="s">
        <v>332</v>
      </c>
      <c r="B41" s="412">
        <v>253</v>
      </c>
      <c r="C41" s="413">
        <v>242</v>
      </c>
      <c r="D41" s="203">
        <f t="shared" si="3"/>
        <v>1.0454545454545454</v>
      </c>
      <c r="E41" s="197" t="str">
        <f t="shared" si="1"/>
        <v>Amber</v>
      </c>
      <c r="F41" s="405">
        <f>AVERAGE(B38:B41)</f>
        <v>240</v>
      </c>
      <c r="G41" s="406"/>
      <c r="H41" s="406"/>
      <c r="I41" s="406"/>
      <c r="J41" s="406"/>
    </row>
    <row r="42" spans="1:10" ht="24.75" customHeight="1" x14ac:dyDescent="0.2">
      <c r="A42" s="411" t="s">
        <v>333</v>
      </c>
      <c r="B42" s="414">
        <v>274</v>
      </c>
      <c r="C42" s="413">
        <v>246</v>
      </c>
      <c r="D42" s="203">
        <f t="shared" si="3"/>
        <v>1.1138211382113821</v>
      </c>
      <c r="E42" s="197" t="str">
        <f t="shared" si="1"/>
        <v>Red</v>
      </c>
      <c r="F42" s="405">
        <f>AVERAGE(B39:B42)</f>
        <v>246.75</v>
      </c>
      <c r="G42" s="406"/>
      <c r="H42" s="406"/>
      <c r="I42" s="406"/>
      <c r="J42" s="406"/>
    </row>
    <row r="43" spans="1:10" ht="16.5" customHeight="1" x14ac:dyDescent="0.2">
      <c r="A43" s="415" t="s">
        <v>334</v>
      </c>
      <c r="B43" s="414">
        <v>280</v>
      </c>
      <c r="C43" s="413">
        <v>238</v>
      </c>
      <c r="D43" s="203">
        <f t="shared" si="3"/>
        <v>1.1764705882352942</v>
      </c>
      <c r="E43" s="197" t="str">
        <f t="shared" si="1"/>
        <v>Red</v>
      </c>
      <c r="F43" s="405">
        <f t="shared" ref="F43:F45" si="4">AVERAGE(B40:B43)</f>
        <v>261.5</v>
      </c>
      <c r="G43" s="406"/>
      <c r="H43" s="406"/>
      <c r="I43" s="406"/>
      <c r="J43" s="406"/>
    </row>
    <row r="44" spans="1:10" ht="17.25" customHeight="1" x14ac:dyDescent="0.2">
      <c r="A44" s="415" t="s">
        <v>283</v>
      </c>
      <c r="B44" s="414">
        <v>263</v>
      </c>
      <c r="C44" s="413">
        <v>230</v>
      </c>
      <c r="D44" s="203">
        <f t="shared" si="3"/>
        <v>1.1434782608695653</v>
      </c>
      <c r="E44" s="197" t="str">
        <f t="shared" si="1"/>
        <v>Red</v>
      </c>
      <c r="F44" s="405">
        <f t="shared" si="4"/>
        <v>267.5</v>
      </c>
      <c r="G44" s="406"/>
      <c r="H44" s="406"/>
      <c r="I44" s="406"/>
      <c r="J44" s="406"/>
    </row>
    <row r="45" spans="1:10" ht="14.25" customHeight="1" x14ac:dyDescent="0.2">
      <c r="A45" s="416" t="s">
        <v>335</v>
      </c>
      <c r="B45" s="417"/>
      <c r="C45" s="418">
        <v>223</v>
      </c>
      <c r="D45" s="410" t="str">
        <f t="shared" si="3"/>
        <v/>
      </c>
      <c r="E45" s="197" t="str">
        <f t="shared" si="1"/>
        <v/>
      </c>
      <c r="F45" s="405">
        <f t="shared" si="4"/>
        <v>272.33333333333331</v>
      </c>
      <c r="G45" s="406"/>
      <c r="H45" s="406"/>
      <c r="I45" s="406"/>
      <c r="J45" s="406"/>
    </row>
    <row r="46" spans="1:10" ht="15.6" customHeight="1" x14ac:dyDescent="0.25">
      <c r="A46" s="419"/>
      <c r="B46" s="420"/>
      <c r="C46" s="420"/>
      <c r="D46" s="421"/>
      <c r="E46" s="267"/>
      <c r="F46" s="161"/>
      <c r="G46" s="406"/>
      <c r="H46" s="406"/>
      <c r="I46" s="406"/>
      <c r="J46" s="406"/>
    </row>
    <row r="47" spans="1:10" ht="15.75" x14ac:dyDescent="0.25">
      <c r="A47" s="907" t="s">
        <v>336</v>
      </c>
      <c r="B47" s="906"/>
      <c r="C47" s="906"/>
      <c r="D47" s="161"/>
      <c r="E47" s="161"/>
      <c r="F47" s="161"/>
    </row>
    <row r="48" spans="1:10" ht="15.75" x14ac:dyDescent="0.25">
      <c r="A48" s="192" t="s">
        <v>337</v>
      </c>
      <c r="B48" s="194" t="s">
        <v>311</v>
      </c>
      <c r="C48" s="422"/>
      <c r="D48" s="290"/>
      <c r="E48" s="290"/>
      <c r="F48" s="290"/>
    </row>
    <row r="49" spans="1:10" ht="15.75" hidden="1" x14ac:dyDescent="0.25">
      <c r="A49" s="423" t="s">
        <v>317</v>
      </c>
      <c r="B49" s="405">
        <v>820</v>
      </c>
      <c r="C49" s="424"/>
      <c r="D49" s="290"/>
      <c r="E49" s="290"/>
      <c r="F49" s="290"/>
      <c r="G49" s="425"/>
    </row>
    <row r="50" spans="1:10" ht="15.75" x14ac:dyDescent="0.25">
      <c r="A50" s="423" t="s">
        <v>321</v>
      </c>
      <c r="B50" s="405">
        <v>567</v>
      </c>
      <c r="C50" s="424"/>
      <c r="D50" s="290"/>
      <c r="E50" s="290"/>
      <c r="F50" s="290"/>
      <c r="G50" s="425"/>
    </row>
    <row r="51" spans="1:10" ht="15.75" x14ac:dyDescent="0.25">
      <c r="A51" s="426" t="s">
        <v>139</v>
      </c>
      <c r="B51" s="427">
        <v>551</v>
      </c>
      <c r="C51" s="424"/>
      <c r="D51" s="290"/>
      <c r="E51" s="290"/>
      <c r="F51" s="290"/>
    </row>
    <row r="52" spans="1:10" ht="15.75" x14ac:dyDescent="0.25">
      <c r="A52" s="423" t="s">
        <v>325</v>
      </c>
      <c r="B52" s="427">
        <v>640</v>
      </c>
      <c r="C52" s="424"/>
      <c r="D52" s="290"/>
      <c r="E52" s="290"/>
      <c r="F52" s="290"/>
      <c r="G52" s="406"/>
      <c r="H52" s="406"/>
      <c r="I52" s="406"/>
      <c r="J52" s="406"/>
    </row>
    <row r="53" spans="1:10" ht="15.75" x14ac:dyDescent="0.25">
      <c r="A53" s="423" t="s">
        <v>326</v>
      </c>
      <c r="B53" s="405">
        <v>701</v>
      </c>
      <c r="C53" s="424"/>
      <c r="D53" s="290"/>
      <c r="E53" s="290"/>
      <c r="F53" s="290"/>
      <c r="G53" s="406"/>
      <c r="H53" s="406"/>
      <c r="I53" s="406"/>
      <c r="J53" s="406"/>
    </row>
    <row r="54" spans="1:10" ht="15.75" x14ac:dyDescent="0.25">
      <c r="A54" s="426" t="s">
        <v>327</v>
      </c>
      <c r="B54" s="427">
        <v>729</v>
      </c>
      <c r="C54" s="424"/>
      <c r="D54" s="290"/>
      <c r="E54" s="290"/>
      <c r="F54" s="290"/>
    </row>
    <row r="55" spans="1:10" ht="15.75" x14ac:dyDescent="0.25">
      <c r="A55" s="426" t="s">
        <v>328</v>
      </c>
      <c r="B55" s="427">
        <v>624</v>
      </c>
      <c r="C55" s="424"/>
      <c r="D55" s="290"/>
      <c r="E55" s="290"/>
      <c r="F55" s="290"/>
    </row>
    <row r="56" spans="1:10" s="430" customFormat="1" ht="15.75" x14ac:dyDescent="0.25">
      <c r="A56" s="426" t="s">
        <v>329</v>
      </c>
      <c r="B56" s="427">
        <v>591</v>
      </c>
      <c r="C56" s="428"/>
      <c r="D56" s="269"/>
      <c r="E56" s="269"/>
      <c r="F56" s="267"/>
      <c r="G56" s="429"/>
      <c r="H56" s="429"/>
      <c r="I56" s="429"/>
    </row>
    <row r="57" spans="1:10" s="430" customFormat="1" ht="15.75" x14ac:dyDescent="0.25">
      <c r="A57" s="426" t="s">
        <v>330</v>
      </c>
      <c r="B57" s="431">
        <v>524</v>
      </c>
      <c r="C57" s="428"/>
      <c r="D57" s="269"/>
      <c r="E57" s="269"/>
      <c r="F57" s="267"/>
      <c r="G57" s="429"/>
      <c r="H57" s="429"/>
      <c r="I57" s="429"/>
    </row>
    <row r="58" spans="1:10" s="430" customFormat="1" ht="15.75" x14ac:dyDescent="0.25">
      <c r="A58" s="426" t="s">
        <v>331</v>
      </c>
      <c r="B58" s="431">
        <v>531</v>
      </c>
      <c r="C58" s="428"/>
      <c r="D58" s="269"/>
      <c r="E58" s="269"/>
      <c r="F58" s="267"/>
      <c r="G58" s="429"/>
      <c r="H58" s="429"/>
      <c r="I58" s="429"/>
    </row>
    <row r="59" spans="1:10" s="430" customFormat="1" ht="15.75" x14ac:dyDescent="0.25">
      <c r="A59" s="426" t="s">
        <v>332</v>
      </c>
      <c r="B59" s="431">
        <v>589</v>
      </c>
      <c r="C59" s="428"/>
      <c r="D59" s="269"/>
      <c r="E59" s="269"/>
      <c r="F59" s="267"/>
      <c r="G59" s="429"/>
      <c r="H59" s="429"/>
      <c r="I59" s="429"/>
    </row>
    <row r="60" spans="1:10" s="430" customFormat="1" ht="15.75" customHeight="1" x14ac:dyDescent="0.25">
      <c r="A60" s="426" t="s">
        <v>333</v>
      </c>
      <c r="B60" s="432">
        <v>638</v>
      </c>
      <c r="C60" s="428"/>
      <c r="D60" s="269"/>
      <c r="E60" s="269"/>
      <c r="F60" s="267"/>
      <c r="G60" s="429"/>
      <c r="H60" s="429"/>
      <c r="I60" s="429"/>
    </row>
    <row r="61" spans="1:10" s="430" customFormat="1" ht="14.25" customHeight="1" x14ac:dyDescent="0.25">
      <c r="A61" s="426" t="s">
        <v>334</v>
      </c>
      <c r="B61" s="432">
        <v>615</v>
      </c>
      <c r="C61" s="428"/>
      <c r="D61" s="269"/>
      <c r="E61" s="269"/>
      <c r="F61" s="267"/>
      <c r="G61" s="429"/>
      <c r="H61" s="429"/>
      <c r="I61" s="429"/>
    </row>
    <row r="62" spans="1:10" s="430" customFormat="1" ht="12" customHeight="1" x14ac:dyDescent="0.25">
      <c r="A62" s="426" t="s">
        <v>283</v>
      </c>
      <c r="B62" s="432"/>
      <c r="C62" s="428"/>
      <c r="D62" s="269"/>
      <c r="E62" s="269"/>
      <c r="F62" s="267"/>
      <c r="G62" s="429"/>
      <c r="H62" s="429"/>
      <c r="I62" s="429"/>
    </row>
    <row r="63" spans="1:10" s="430" customFormat="1" ht="17.25" customHeight="1" x14ac:dyDescent="0.25">
      <c r="A63" s="426" t="s">
        <v>335</v>
      </c>
      <c r="B63" s="432"/>
      <c r="C63" s="428"/>
      <c r="D63" s="269"/>
      <c r="E63" s="269"/>
      <c r="F63" s="267"/>
      <c r="G63" s="429"/>
      <c r="H63" s="429"/>
      <c r="I63" s="429"/>
    </row>
    <row r="64" spans="1:10" ht="15.75" x14ac:dyDescent="0.25">
      <c r="A64" s="1034" t="s">
        <v>338</v>
      </c>
      <c r="B64" s="909"/>
      <c r="C64" s="909"/>
      <c r="D64" s="909"/>
      <c r="E64" s="909"/>
      <c r="F64" s="906"/>
      <c r="G64" s="906"/>
      <c r="H64" s="161"/>
      <c r="I64" s="161"/>
    </row>
    <row r="65" spans="1:12" ht="15.6" customHeight="1" x14ac:dyDescent="0.2">
      <c r="A65" s="1058" t="s">
        <v>339</v>
      </c>
      <c r="B65" s="1059"/>
      <c r="C65" s="1059"/>
      <c r="D65" s="1059"/>
      <c r="E65" s="1059"/>
      <c r="F65" s="1059"/>
      <c r="G65" s="1059"/>
    </row>
    <row r="66" spans="1:12" ht="15" customHeight="1" x14ac:dyDescent="0.2">
      <c r="A66" s="1059"/>
      <c r="B66" s="1059"/>
      <c r="C66" s="1059"/>
      <c r="D66" s="1059"/>
      <c r="E66" s="1059"/>
      <c r="F66" s="1059"/>
      <c r="G66" s="1059"/>
    </row>
    <row r="67" spans="1:12" ht="15" customHeight="1" x14ac:dyDescent="0.2">
      <c r="A67" s="1059"/>
      <c r="B67" s="1059"/>
      <c r="C67" s="1059"/>
      <c r="D67" s="1059"/>
      <c r="E67" s="1059"/>
      <c r="F67" s="1059"/>
      <c r="G67" s="1059"/>
    </row>
    <row r="68" spans="1:12" ht="15" customHeight="1" x14ac:dyDescent="0.2">
      <c r="A68" s="1059"/>
      <c r="B68" s="1059"/>
      <c r="C68" s="1059"/>
      <c r="D68" s="1059"/>
      <c r="E68" s="1059"/>
      <c r="F68" s="1059"/>
      <c r="G68" s="1059"/>
    </row>
    <row r="69" spans="1:12" ht="15" customHeight="1" x14ac:dyDescent="0.2">
      <c r="A69" s="1059"/>
      <c r="B69" s="1059"/>
      <c r="C69" s="1059"/>
      <c r="D69" s="1059"/>
      <c r="E69" s="1059"/>
      <c r="F69" s="1059"/>
      <c r="G69" s="1059"/>
    </row>
    <row r="70" spans="1:12" ht="15" customHeight="1" x14ac:dyDescent="0.2">
      <c r="A70" s="1059"/>
      <c r="B70" s="1059"/>
      <c r="C70" s="1059"/>
      <c r="D70" s="1059"/>
      <c r="E70" s="1059"/>
      <c r="F70" s="1059"/>
      <c r="G70" s="1059"/>
    </row>
    <row r="71" spans="1:12" ht="15" customHeight="1" x14ac:dyDescent="0.2">
      <c r="A71" s="1059"/>
      <c r="B71" s="1059"/>
      <c r="C71" s="1059"/>
      <c r="D71" s="1059"/>
      <c r="E71" s="1059"/>
      <c r="F71" s="1059"/>
      <c r="G71" s="1059"/>
    </row>
    <row r="72" spans="1:12" ht="3.6" customHeight="1" x14ac:dyDescent="0.2">
      <c r="A72" s="1059"/>
      <c r="B72" s="1059"/>
      <c r="C72" s="1059"/>
      <c r="D72" s="1059"/>
      <c r="E72" s="1059"/>
      <c r="F72" s="1059"/>
      <c r="G72" s="1059"/>
    </row>
    <row r="73" spans="1:12" ht="10.9" customHeight="1" x14ac:dyDescent="0.2">
      <c r="A73" s="1059"/>
      <c r="B73" s="1059"/>
      <c r="C73" s="1059"/>
      <c r="D73" s="1059"/>
      <c r="E73" s="1059"/>
      <c r="F73" s="1059"/>
      <c r="G73" s="1059"/>
    </row>
    <row r="74" spans="1:12" ht="171" customHeight="1" x14ac:dyDescent="0.2">
      <c r="A74" s="1059"/>
      <c r="B74" s="1059"/>
      <c r="C74" s="1059"/>
      <c r="D74" s="1059"/>
      <c r="E74" s="1059"/>
      <c r="F74" s="1059"/>
      <c r="G74" s="1059"/>
    </row>
    <row r="76" spans="1:12" ht="15.75" x14ac:dyDescent="0.25">
      <c r="A76" s="912" t="s">
        <v>340</v>
      </c>
      <c r="B76" s="906"/>
      <c r="C76" s="906"/>
      <c r="D76" s="906"/>
      <c r="E76" s="906"/>
      <c r="F76" s="906"/>
      <c r="G76" s="906"/>
      <c r="H76" s="906"/>
    </row>
    <row r="77" spans="1:12" x14ac:dyDescent="0.2">
      <c r="A77" s="211"/>
      <c r="F77" s="211" t="s">
        <v>111</v>
      </c>
      <c r="I77" s="211" t="s">
        <v>341</v>
      </c>
    </row>
    <row r="78" spans="1:12" ht="15" customHeight="1" x14ac:dyDescent="0.2">
      <c r="A78" s="1052" t="s">
        <v>342</v>
      </c>
      <c r="B78" s="1053"/>
      <c r="C78" s="1053"/>
      <c r="D78" s="1053"/>
      <c r="E78" s="433"/>
      <c r="F78" s="1052" t="s">
        <v>343</v>
      </c>
      <c r="G78" s="434"/>
      <c r="H78" s="435"/>
      <c r="I78" s="436">
        <v>43281</v>
      </c>
      <c r="J78" s="213"/>
      <c r="K78" s="213"/>
      <c r="L78" s="213"/>
    </row>
    <row r="79" spans="1:12" s="442" customFormat="1" ht="15" customHeight="1" x14ac:dyDescent="0.2">
      <c r="A79" s="1053"/>
      <c r="B79" s="1053"/>
      <c r="C79" s="1053"/>
      <c r="D79" s="1053"/>
      <c r="E79" s="437"/>
      <c r="F79" s="1053"/>
      <c r="G79" s="438"/>
      <c r="H79" s="439"/>
      <c r="I79" s="440"/>
      <c r="J79" s="441"/>
      <c r="K79" s="441"/>
      <c r="L79" s="441"/>
    </row>
    <row r="80" spans="1:12" s="442" customFormat="1" ht="15" customHeight="1" x14ac:dyDescent="0.2">
      <c r="A80" s="1053"/>
      <c r="B80" s="1053"/>
      <c r="C80" s="1053"/>
      <c r="D80" s="1053"/>
      <c r="E80" s="437"/>
      <c r="F80" s="1053"/>
      <c r="G80" s="443"/>
      <c r="H80" s="439"/>
      <c r="I80" s="440"/>
      <c r="J80" s="441"/>
      <c r="K80" s="441"/>
      <c r="L80" s="441"/>
    </row>
    <row r="81" spans="1:12" ht="15" customHeight="1" x14ac:dyDescent="0.2">
      <c r="A81" s="1052" t="s">
        <v>344</v>
      </c>
      <c r="B81" s="1052"/>
      <c r="C81" s="1052"/>
      <c r="D81" s="1052"/>
      <c r="E81" s="213"/>
      <c r="F81" s="1052" t="s">
        <v>343</v>
      </c>
      <c r="G81" s="443"/>
      <c r="H81" s="213"/>
      <c r="I81" s="444" t="s">
        <v>345</v>
      </c>
      <c r="J81" s="213"/>
      <c r="K81" s="213"/>
      <c r="L81" s="213"/>
    </row>
    <row r="82" spans="1:12" x14ac:dyDescent="0.2">
      <c r="A82" s="1052"/>
      <c r="B82" s="1052"/>
      <c r="C82" s="1052"/>
      <c r="D82" s="1052"/>
      <c r="E82" s="212"/>
      <c r="F82" s="1052"/>
      <c r="G82" s="445"/>
      <c r="H82" s="213"/>
      <c r="I82" s="444"/>
      <c r="J82" s="213"/>
      <c r="K82" s="213"/>
      <c r="L82" s="213"/>
    </row>
    <row r="83" spans="1:12" x14ac:dyDescent="0.2">
      <c r="A83" s="1052"/>
      <c r="B83" s="1052"/>
      <c r="C83" s="1052"/>
      <c r="D83" s="1052"/>
      <c r="E83" s="212"/>
      <c r="F83" s="1052"/>
      <c r="G83" s="445"/>
      <c r="H83" s="213"/>
      <c r="I83" s="444"/>
      <c r="J83" s="213"/>
      <c r="K83" s="213"/>
      <c r="L83" s="213"/>
    </row>
    <row r="84" spans="1:12" ht="15" customHeight="1" x14ac:dyDescent="0.2">
      <c r="A84" s="1052" t="s">
        <v>346</v>
      </c>
      <c r="B84" s="1053"/>
      <c r="C84" s="1053"/>
      <c r="D84" s="1053"/>
      <c r="E84" s="213"/>
      <c r="F84" s="1052" t="s">
        <v>347</v>
      </c>
      <c r="G84" s="443"/>
      <c r="H84" s="213"/>
      <c r="I84" s="446">
        <v>43190</v>
      </c>
      <c r="J84" s="213"/>
      <c r="K84" s="213"/>
      <c r="L84" s="213"/>
    </row>
    <row r="85" spans="1:12" ht="25.5" customHeight="1" x14ac:dyDescent="0.2">
      <c r="A85" s="1053"/>
      <c r="B85" s="1053"/>
      <c r="C85" s="1053"/>
      <c r="D85" s="1053"/>
      <c r="E85" s="212"/>
      <c r="F85" s="1054"/>
      <c r="G85" s="445"/>
      <c r="H85" s="213"/>
      <c r="I85" s="378"/>
      <c r="J85" s="213"/>
      <c r="K85" s="213"/>
      <c r="L85" s="213"/>
    </row>
    <row r="86" spans="1:12" ht="37.9" customHeight="1" x14ac:dyDescent="0.2">
      <c r="A86" s="1052" t="s">
        <v>348</v>
      </c>
      <c r="B86" s="1053"/>
      <c r="C86" s="1053"/>
      <c r="D86" s="1053"/>
      <c r="E86" s="213"/>
      <c r="F86" s="447" t="s">
        <v>343</v>
      </c>
      <c r="G86" s="443"/>
      <c r="H86" s="213"/>
      <c r="I86" s="446">
        <v>43190</v>
      </c>
      <c r="J86" s="213"/>
      <c r="K86" s="213"/>
      <c r="L86" s="213"/>
    </row>
    <row r="87" spans="1:12" x14ac:dyDescent="0.2">
      <c r="A87" s="1055" t="s">
        <v>349</v>
      </c>
      <c r="B87" s="1056"/>
      <c r="C87" s="1056"/>
      <c r="D87" s="1056"/>
      <c r="E87" s="213"/>
      <c r="F87" s="1052" t="s">
        <v>350</v>
      </c>
      <c r="G87" s="443"/>
      <c r="H87" s="213"/>
      <c r="I87" s="1057">
        <v>43190</v>
      </c>
      <c r="J87" s="213"/>
      <c r="K87" s="213"/>
      <c r="L87" s="213"/>
    </row>
    <row r="88" spans="1:12" ht="31.9" customHeight="1" x14ac:dyDescent="0.2">
      <c r="A88" s="1056"/>
      <c r="B88" s="1056"/>
      <c r="C88" s="1056"/>
      <c r="D88" s="1056"/>
      <c r="E88" s="212"/>
      <c r="F88" s="1052"/>
      <c r="G88" s="445"/>
      <c r="H88" s="213"/>
      <c r="I88" s="1057"/>
      <c r="J88" s="213"/>
      <c r="K88" s="213"/>
      <c r="L88" s="213"/>
    </row>
    <row r="89" spans="1:12" x14ac:dyDescent="0.2">
      <c r="A89" s="905" t="s">
        <v>351</v>
      </c>
      <c r="B89" s="906"/>
      <c r="C89" s="906"/>
      <c r="D89" s="906"/>
      <c r="E89" s="906"/>
      <c r="F89" s="906"/>
    </row>
    <row r="90" spans="1:12" ht="15" customHeight="1" x14ac:dyDescent="0.2">
      <c r="A90" s="906"/>
      <c r="B90" s="906"/>
      <c r="C90" s="906"/>
      <c r="D90" s="906"/>
      <c r="E90" s="906"/>
      <c r="F90" s="906"/>
    </row>
    <row r="91" spans="1:12" ht="15" customHeight="1" x14ac:dyDescent="0.2">
      <c r="A91" s="906"/>
      <c r="B91" s="906"/>
      <c r="C91" s="906"/>
      <c r="D91" s="906"/>
      <c r="E91" s="906"/>
      <c r="F91" s="906"/>
    </row>
    <row r="92" spans="1:12" ht="30.75" customHeight="1" x14ac:dyDescent="0.2">
      <c r="A92" s="831"/>
      <c r="B92" s="1051"/>
      <c r="C92" s="1051"/>
      <c r="D92" s="1051"/>
      <c r="E92" s="1051"/>
      <c r="F92" s="1051"/>
    </row>
    <row r="93" spans="1:12" ht="30.75" customHeight="1" x14ac:dyDescent="0.2">
      <c r="A93" s="1051"/>
      <c r="B93" s="1051"/>
      <c r="C93" s="1051"/>
      <c r="D93" s="1051"/>
      <c r="E93" s="1051"/>
      <c r="F93" s="1051"/>
    </row>
    <row r="94" spans="1:12" ht="30.75" customHeight="1" x14ac:dyDescent="0.2">
      <c r="A94" s="1051"/>
      <c r="B94" s="1051"/>
      <c r="C94" s="1051"/>
      <c r="D94" s="1051"/>
      <c r="E94" s="1051"/>
      <c r="F94" s="1051"/>
    </row>
    <row r="95" spans="1:12" ht="30.75" customHeight="1" x14ac:dyDescent="0.2">
      <c r="A95" s="1051"/>
      <c r="B95" s="1051"/>
      <c r="C95" s="1051"/>
      <c r="D95" s="1051"/>
      <c r="E95" s="1051"/>
      <c r="F95" s="1051"/>
    </row>
    <row r="96" spans="1:12" ht="30.75" customHeight="1" x14ac:dyDescent="0.2">
      <c r="A96" s="1051"/>
      <c r="B96" s="1051"/>
      <c r="C96" s="1051"/>
      <c r="D96" s="1051"/>
      <c r="E96" s="1051"/>
      <c r="F96" s="1051"/>
    </row>
    <row r="97" spans="1:6" ht="30.75" customHeight="1" x14ac:dyDescent="0.2">
      <c r="A97" s="1051"/>
      <c r="B97" s="1051"/>
      <c r="C97" s="1051"/>
      <c r="D97" s="1051"/>
      <c r="E97" s="1051"/>
      <c r="F97" s="1051"/>
    </row>
    <row r="98" spans="1:6" ht="30.75" customHeight="1" x14ac:dyDescent="0.2">
      <c r="A98" s="1051"/>
      <c r="B98" s="1051"/>
      <c r="C98" s="1051"/>
      <c r="D98" s="1051"/>
      <c r="E98" s="1051"/>
      <c r="F98" s="1051"/>
    </row>
    <row r="99" spans="1:6" ht="30.75" customHeight="1" x14ac:dyDescent="0.2">
      <c r="A99" s="1051"/>
      <c r="B99" s="1051"/>
      <c r="C99" s="1051"/>
      <c r="D99" s="1051"/>
      <c r="E99" s="1051"/>
      <c r="F99" s="1051"/>
    </row>
    <row r="100" spans="1:6" ht="30.75" customHeight="1" x14ac:dyDescent="0.2">
      <c r="A100" s="1051"/>
      <c r="B100" s="1051"/>
      <c r="C100" s="1051"/>
      <c r="D100" s="1051"/>
      <c r="E100" s="1051"/>
      <c r="F100" s="1051"/>
    </row>
    <row r="101" spans="1:6" ht="30.75" customHeight="1" x14ac:dyDescent="0.2">
      <c r="A101" s="1051"/>
      <c r="B101" s="1051"/>
      <c r="C101" s="1051"/>
      <c r="D101" s="1051"/>
      <c r="E101" s="1051"/>
      <c r="F101" s="1051"/>
    </row>
    <row r="102" spans="1:6" ht="30.75" customHeight="1" x14ac:dyDescent="0.2">
      <c r="A102" s="1051"/>
      <c r="B102" s="1051"/>
      <c r="C102" s="1051"/>
      <c r="D102" s="1051"/>
      <c r="E102" s="1051"/>
      <c r="F102" s="1051"/>
    </row>
    <row r="103" spans="1:6" ht="30.75" customHeight="1" x14ac:dyDescent="0.2">
      <c r="A103" s="1051"/>
      <c r="B103" s="1051"/>
      <c r="C103" s="1051"/>
      <c r="D103" s="1051"/>
      <c r="E103" s="1051"/>
      <c r="F103" s="1051"/>
    </row>
    <row r="104" spans="1:6" ht="30.75" customHeight="1" x14ac:dyDescent="0.2">
      <c r="A104" s="1051"/>
      <c r="B104" s="1051"/>
      <c r="C104" s="1051"/>
      <c r="D104" s="1051"/>
      <c r="E104" s="1051"/>
      <c r="F104" s="1051"/>
    </row>
  </sheetData>
  <sheetProtection selectLockedCells="1"/>
  <mergeCells count="20">
    <mergeCell ref="A64:G64"/>
    <mergeCell ref="A1:J1"/>
    <mergeCell ref="A2:G2"/>
    <mergeCell ref="A3:E4"/>
    <mergeCell ref="D7:I18"/>
    <mergeCell ref="A47:C47"/>
    <mergeCell ref="I87:I88"/>
    <mergeCell ref="A65:G74"/>
    <mergeCell ref="A76:H76"/>
    <mergeCell ref="A78:D80"/>
    <mergeCell ref="F78:F80"/>
    <mergeCell ref="A81:D83"/>
    <mergeCell ref="F81:F83"/>
    <mergeCell ref="A89:F91"/>
    <mergeCell ref="A92:F104"/>
    <mergeCell ref="A84:D85"/>
    <mergeCell ref="F84:F85"/>
    <mergeCell ref="A86:D86"/>
    <mergeCell ref="A87:D88"/>
    <mergeCell ref="F87:F88"/>
  </mergeCells>
  <dataValidations count="4">
    <dataValidation allowBlank="1" showInputMessage="1" showErrorMessage="1" prompt="Good or better " sqref="B21"/>
    <dataValidation allowBlank="1" showErrorMessage="1" sqref="D48:F63"/>
    <dataValidation errorStyle="information" allowBlank="1" showErrorMessage="1" error="Please choose from the list provided" prompt="Please use the drop down list" sqref="B13"/>
    <dataValidation errorStyle="information" allowBlank="1" showInputMessage="1" showErrorMessage="1" error="Please choose from the list provided" prompt="Please use the drop down list" sqref="B18"/>
  </dataValidations>
  <pageMargins left="0.7" right="0.7" top="0.75" bottom="0.75" header="0.3" footer="0.3"/>
  <pageSetup paperSize="9" orientation="portrait"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76"/>
  <sheetViews>
    <sheetView showGridLines="0" zoomScaleNormal="100" workbookViewId="0">
      <selection activeCell="B18" sqref="B18"/>
    </sheetView>
  </sheetViews>
  <sheetFormatPr defaultColWidth="12.88671875" defaultRowHeight="15" x14ac:dyDescent="0.2"/>
  <cols>
    <col min="2" max="2" width="14.44140625" customWidth="1"/>
    <col min="3" max="3" width="13.33203125" customWidth="1"/>
  </cols>
  <sheetData>
    <row r="1" spans="1:10" ht="18.75" x14ac:dyDescent="0.3">
      <c r="A1" s="914" t="s">
        <v>280</v>
      </c>
      <c r="B1" s="915"/>
      <c r="C1" s="915"/>
      <c r="D1" s="915"/>
      <c r="E1" s="915"/>
      <c r="F1" s="915"/>
      <c r="G1" s="906"/>
      <c r="H1" s="906"/>
      <c r="I1" s="906"/>
      <c r="J1" s="906"/>
    </row>
    <row r="2" spans="1:10" ht="15.75" x14ac:dyDescent="0.25">
      <c r="A2" s="916" t="s">
        <v>281</v>
      </c>
      <c r="B2" s="917"/>
      <c r="C2" s="917"/>
      <c r="D2" s="917"/>
      <c r="E2" s="917"/>
      <c r="F2" s="917"/>
      <c r="G2" s="917"/>
      <c r="H2" s="161"/>
      <c r="I2" s="161"/>
    </row>
    <row r="3" spans="1:10" ht="15" customHeight="1" x14ac:dyDescent="0.2">
      <c r="A3" s="1062" t="s">
        <v>282</v>
      </c>
      <c r="B3" s="1063"/>
      <c r="C3" s="1063"/>
      <c r="D3" s="1063"/>
      <c r="E3" s="1063"/>
      <c r="F3" s="151"/>
      <c r="G3" s="151"/>
      <c r="H3" s="151"/>
      <c r="I3" s="151"/>
      <c r="J3" s="151"/>
    </row>
    <row r="4" spans="1:10" x14ac:dyDescent="0.2">
      <c r="A4" s="1063"/>
      <c r="B4" s="1063"/>
      <c r="C4" s="1063"/>
      <c r="D4" s="1063"/>
      <c r="E4" s="1063"/>
      <c r="F4" s="151"/>
      <c r="G4" s="151"/>
      <c r="H4" s="151"/>
      <c r="I4" s="151"/>
      <c r="J4" s="151"/>
    </row>
    <row r="5" spans="1:10" ht="15.75" x14ac:dyDescent="0.25">
      <c r="A5" s="162"/>
      <c r="B5" s="162"/>
      <c r="C5" s="161"/>
      <c r="D5" s="161"/>
      <c r="E5" s="161"/>
      <c r="F5" s="161"/>
      <c r="G5" s="161"/>
      <c r="H5" s="161"/>
      <c r="I5" s="161"/>
    </row>
    <row r="6" spans="1:10" ht="15.75" x14ac:dyDescent="0.25">
      <c r="A6" s="163" t="s">
        <v>63</v>
      </c>
      <c r="B6" s="164">
        <v>10000000000</v>
      </c>
      <c r="C6" s="161"/>
      <c r="D6" s="165" t="s">
        <v>64</v>
      </c>
      <c r="E6" s="166"/>
      <c r="F6" s="167"/>
      <c r="G6" s="167"/>
      <c r="H6" s="167"/>
      <c r="I6" s="167"/>
    </row>
    <row r="7" spans="1:10" ht="15.6" customHeight="1" x14ac:dyDescent="0.25">
      <c r="A7" s="168" t="s">
        <v>65</v>
      </c>
      <c r="B7" s="169">
        <v>1</v>
      </c>
      <c r="C7" s="161"/>
      <c r="D7" s="919" t="s">
        <v>66</v>
      </c>
      <c r="E7" s="920"/>
      <c r="F7" s="920"/>
      <c r="G7" s="920"/>
      <c r="H7" s="920"/>
      <c r="I7" s="921"/>
    </row>
    <row r="8" spans="1:10" ht="15.75" x14ac:dyDescent="0.25">
      <c r="A8" s="170" t="s">
        <v>67</v>
      </c>
      <c r="B8" s="171">
        <v>1</v>
      </c>
      <c r="C8" s="161"/>
      <c r="D8" s="920"/>
      <c r="E8" s="920"/>
      <c r="F8" s="920"/>
      <c r="G8" s="920"/>
      <c r="H8" s="920"/>
      <c r="I8" s="921"/>
    </row>
    <row r="9" spans="1:10" ht="15" customHeight="1" x14ac:dyDescent="0.25">
      <c r="A9" s="170" t="s">
        <v>68</v>
      </c>
      <c r="B9" s="171">
        <v>0.9</v>
      </c>
      <c r="C9" s="161"/>
      <c r="D9" s="920"/>
      <c r="E9" s="920"/>
      <c r="F9" s="920"/>
      <c r="G9" s="920"/>
      <c r="H9" s="920"/>
      <c r="I9" s="921"/>
    </row>
    <row r="10" spans="1:10" ht="15" customHeight="1" x14ac:dyDescent="0.25">
      <c r="A10" s="172" t="s">
        <v>69</v>
      </c>
      <c r="B10" s="173">
        <v>0.9</v>
      </c>
      <c r="C10" s="161"/>
      <c r="D10" s="920"/>
      <c r="E10" s="920"/>
      <c r="F10" s="920"/>
      <c r="G10" s="920"/>
      <c r="H10" s="920"/>
      <c r="I10" s="921"/>
    </row>
    <row r="11" spans="1:10" ht="15.75" x14ac:dyDescent="0.25">
      <c r="A11" s="174" t="s">
        <v>70</v>
      </c>
      <c r="B11" s="175">
        <v>0</v>
      </c>
      <c r="C11" s="161"/>
      <c r="D11" s="922"/>
      <c r="E11" s="922"/>
      <c r="F11" s="922"/>
      <c r="G11" s="922"/>
      <c r="H11" s="922"/>
      <c r="I11" s="921"/>
    </row>
    <row r="12" spans="1:10" ht="15.75" x14ac:dyDescent="0.25">
      <c r="A12" s="162"/>
      <c r="B12" s="162"/>
      <c r="C12" s="161"/>
      <c r="D12" s="922"/>
      <c r="E12" s="922"/>
      <c r="F12" s="922"/>
      <c r="G12" s="922"/>
      <c r="H12" s="922"/>
      <c r="I12" s="921"/>
    </row>
    <row r="13" spans="1:10" ht="15.75" x14ac:dyDescent="0.25">
      <c r="A13" s="176" t="s">
        <v>71</v>
      </c>
      <c r="B13" s="376" t="s">
        <v>283</v>
      </c>
      <c r="C13" s="161"/>
      <c r="D13" s="922"/>
      <c r="E13" s="922"/>
      <c r="F13" s="922"/>
      <c r="G13" s="922"/>
      <c r="H13" s="922"/>
      <c r="I13" s="921"/>
    </row>
    <row r="14" spans="1:10" ht="15.75" x14ac:dyDescent="0.25">
      <c r="A14" s="178" t="s">
        <v>73</v>
      </c>
      <c r="B14" s="179" t="s">
        <v>284</v>
      </c>
      <c r="C14" s="161"/>
      <c r="D14" s="922"/>
      <c r="E14" s="922"/>
      <c r="F14" s="922"/>
      <c r="G14" s="922"/>
      <c r="H14" s="922"/>
      <c r="I14" s="921"/>
    </row>
    <row r="15" spans="1:10" ht="15.75" x14ac:dyDescent="0.25">
      <c r="A15" s="178" t="s">
        <v>74</v>
      </c>
      <c r="B15" s="179" t="s">
        <v>284</v>
      </c>
      <c r="C15" s="161"/>
      <c r="D15" s="922"/>
      <c r="E15" s="922"/>
      <c r="F15" s="922"/>
      <c r="G15" s="922"/>
      <c r="H15" s="922"/>
      <c r="I15" s="921"/>
    </row>
    <row r="16" spans="1:10" ht="15.75" x14ac:dyDescent="0.25">
      <c r="A16" s="178" t="s">
        <v>75</v>
      </c>
      <c r="B16" s="179" t="s">
        <v>284</v>
      </c>
      <c r="C16" s="161"/>
      <c r="D16" s="922"/>
      <c r="E16" s="922"/>
      <c r="F16" s="922"/>
      <c r="G16" s="922"/>
      <c r="H16" s="922"/>
      <c r="I16" s="921"/>
    </row>
    <row r="17" spans="1:9" ht="15.75" x14ac:dyDescent="0.25">
      <c r="A17" s="162"/>
      <c r="B17" s="182"/>
      <c r="C17" s="161"/>
      <c r="D17" s="922"/>
      <c r="E17" s="922"/>
      <c r="F17" s="922"/>
      <c r="G17" s="922"/>
      <c r="H17" s="922"/>
      <c r="I17" s="921"/>
    </row>
    <row r="18" spans="1:9" ht="15.75" x14ac:dyDescent="0.25">
      <c r="A18" s="183" t="s">
        <v>52</v>
      </c>
      <c r="B18" s="184" t="s">
        <v>41</v>
      </c>
      <c r="C18" s="161"/>
      <c r="D18" s="922"/>
      <c r="E18" s="922"/>
      <c r="F18" s="922"/>
      <c r="G18" s="922"/>
      <c r="H18" s="922"/>
      <c r="I18" s="921"/>
    </row>
    <row r="19" spans="1:9" ht="15.75" x14ac:dyDescent="0.25">
      <c r="B19" s="162"/>
      <c r="C19" s="161"/>
      <c r="D19" s="161"/>
      <c r="E19" s="161"/>
      <c r="F19" s="161"/>
      <c r="G19" s="161"/>
      <c r="H19" s="161"/>
      <c r="I19" s="161"/>
    </row>
    <row r="20" spans="1:9" ht="15.75" x14ac:dyDescent="0.25">
      <c r="A20" s="162"/>
      <c r="B20" s="162"/>
      <c r="C20" s="161"/>
      <c r="D20" s="161"/>
      <c r="E20" s="161"/>
      <c r="F20" s="161"/>
      <c r="G20" s="161"/>
      <c r="H20" s="161"/>
      <c r="I20" s="161"/>
    </row>
    <row r="21" spans="1:9" ht="15.75" x14ac:dyDescent="0.25">
      <c r="A21" s="188" t="s">
        <v>285</v>
      </c>
      <c r="B21" s="188"/>
      <c r="C21" s="162"/>
      <c r="D21" s="162"/>
      <c r="E21" s="162"/>
      <c r="F21" s="162"/>
      <c r="G21" s="162"/>
      <c r="H21" s="162"/>
      <c r="I21" s="161"/>
    </row>
    <row r="22" spans="1:9" x14ac:dyDescent="0.2">
      <c r="A22" s="192" t="s">
        <v>82</v>
      </c>
      <c r="B22" s="193" t="s">
        <v>26</v>
      </c>
      <c r="C22" s="193" t="s">
        <v>74</v>
      </c>
      <c r="D22" s="193" t="s">
        <v>84</v>
      </c>
      <c r="E22" s="194" t="s">
        <v>75</v>
      </c>
    </row>
    <row r="23" spans="1:9" ht="15.6" customHeight="1" x14ac:dyDescent="0.2">
      <c r="A23" s="192" t="s">
        <v>139</v>
      </c>
      <c r="B23" s="195">
        <v>1869</v>
      </c>
      <c r="C23" s="195">
        <v>700</v>
      </c>
      <c r="D23" s="196">
        <f>B23/C23</f>
        <v>2.67</v>
      </c>
      <c r="E23" s="197" t="str">
        <f>IF(D23=0,"",IF(D23&gt;=$B$7,"Green",IF(D23&gt;=$B$9, "Amber",IF(D23&gt;=$B$11,"Red"))))</f>
        <v>Green</v>
      </c>
      <c r="F23">
        <v>350</v>
      </c>
    </row>
    <row r="24" spans="1:9" ht="15.6" customHeight="1" x14ac:dyDescent="0.2">
      <c r="A24" s="192" t="s">
        <v>286</v>
      </c>
      <c r="B24" s="195">
        <v>575</v>
      </c>
      <c r="C24" s="195">
        <v>300</v>
      </c>
      <c r="D24" s="196">
        <f t="shared" ref="D24:D26" si="0">B24/C24</f>
        <v>1.9166666666666667</v>
      </c>
      <c r="E24" s="197" t="str">
        <f t="shared" ref="E24:E26" si="1">IF(D24=0,"",IF(D24&gt;=$B$7,"Green",IF(D24&gt;=$B$9, "Amber",IF(D24&gt;=$B$11,"Red"))))</f>
        <v>Green</v>
      </c>
      <c r="F24">
        <v>700</v>
      </c>
    </row>
    <row r="25" spans="1:9" ht="15.6" customHeight="1" x14ac:dyDescent="0.2">
      <c r="A25" s="192" t="s">
        <v>117</v>
      </c>
      <c r="B25" s="195">
        <v>424</v>
      </c>
      <c r="C25" s="195">
        <v>400</v>
      </c>
      <c r="D25" s="196">
        <f t="shared" si="0"/>
        <v>1.06</v>
      </c>
      <c r="E25" s="197" t="str">
        <f t="shared" si="1"/>
        <v>Green</v>
      </c>
      <c r="F25">
        <v>700</v>
      </c>
    </row>
    <row r="26" spans="1:9" ht="15.6" customHeight="1" x14ac:dyDescent="0.25">
      <c r="A26" s="192" t="s">
        <v>287</v>
      </c>
      <c r="B26" s="377"/>
      <c r="C26" s="195">
        <v>530</v>
      </c>
      <c r="D26" s="196">
        <f t="shared" si="0"/>
        <v>0</v>
      </c>
      <c r="E26" s="197" t="str">
        <f t="shared" si="1"/>
        <v/>
      </c>
      <c r="F26" s="161"/>
      <c r="G26" s="161"/>
      <c r="H26" s="161"/>
    </row>
    <row r="27" spans="1:9" ht="15.75" x14ac:dyDescent="0.25">
      <c r="A27" s="161"/>
      <c r="B27" s="161"/>
      <c r="C27" s="161"/>
      <c r="D27" s="161"/>
      <c r="E27" s="161"/>
      <c r="F27" s="161"/>
      <c r="G27" s="161"/>
      <c r="H27" s="161"/>
      <c r="I27" s="161"/>
    </row>
    <row r="28" spans="1:9" ht="15.75" x14ac:dyDescent="0.25">
      <c r="A28" s="907" t="s">
        <v>288</v>
      </c>
      <c r="B28" s="906"/>
      <c r="C28" s="906"/>
      <c r="D28" s="161"/>
      <c r="E28" s="161"/>
      <c r="F28" s="161"/>
      <c r="G28" s="161"/>
      <c r="H28" s="161"/>
      <c r="I28" s="161"/>
    </row>
    <row r="29" spans="1:9" ht="15.75" x14ac:dyDescent="0.25">
      <c r="A29" s="206"/>
      <c r="B29" s="193" t="s">
        <v>289</v>
      </c>
      <c r="C29" s="194" t="s">
        <v>102</v>
      </c>
      <c r="D29" s="161"/>
      <c r="E29" s="161"/>
      <c r="F29" s="161"/>
      <c r="G29" s="161"/>
      <c r="H29" s="161"/>
      <c r="I29" s="161"/>
    </row>
    <row r="30" spans="1:9" ht="15.75" x14ac:dyDescent="0.25">
      <c r="A30" s="200" t="s">
        <v>290</v>
      </c>
      <c r="B30" s="204">
        <v>25</v>
      </c>
      <c r="C30" s="179">
        <f>B30</f>
        <v>25</v>
      </c>
      <c r="E30" s="161"/>
      <c r="F30" s="161"/>
      <c r="G30" s="161"/>
      <c r="H30" s="161"/>
      <c r="I30" s="161"/>
    </row>
    <row r="31" spans="1:9" ht="15.75" x14ac:dyDescent="0.25">
      <c r="A31" s="200" t="s">
        <v>291</v>
      </c>
      <c r="B31" s="204">
        <v>155</v>
      </c>
      <c r="C31" s="179">
        <f>C30+B31</f>
        <v>180</v>
      </c>
      <c r="E31" s="161"/>
      <c r="F31" s="161"/>
      <c r="G31" s="161"/>
      <c r="H31" s="161"/>
      <c r="I31" s="161"/>
    </row>
    <row r="32" spans="1:9" ht="15.75" x14ac:dyDescent="0.25">
      <c r="A32" s="200" t="s">
        <v>292</v>
      </c>
      <c r="B32" s="204">
        <v>0</v>
      </c>
      <c r="C32" s="179">
        <f t="shared" ref="C32:C36" si="2">C31+B32</f>
        <v>180</v>
      </c>
      <c r="E32" s="161"/>
      <c r="F32" s="161"/>
      <c r="G32" s="161"/>
      <c r="H32" s="161"/>
      <c r="I32" s="161"/>
    </row>
    <row r="33" spans="1:9" ht="15.75" x14ac:dyDescent="0.25">
      <c r="A33" s="200" t="s">
        <v>293</v>
      </c>
      <c r="B33" s="204">
        <v>19</v>
      </c>
      <c r="C33" s="179">
        <f t="shared" si="2"/>
        <v>199</v>
      </c>
      <c r="E33" s="161"/>
      <c r="F33" s="161"/>
      <c r="G33" s="161"/>
      <c r="H33" s="161"/>
      <c r="I33" s="161"/>
    </row>
    <row r="34" spans="1:9" ht="15.75" x14ac:dyDescent="0.25">
      <c r="A34" s="200" t="s">
        <v>294</v>
      </c>
      <c r="B34" s="204">
        <v>62</v>
      </c>
      <c r="C34" s="179">
        <f t="shared" si="2"/>
        <v>261</v>
      </c>
      <c r="E34" s="161"/>
      <c r="F34" s="161"/>
      <c r="G34" s="161"/>
      <c r="H34" s="161"/>
      <c r="I34" s="161"/>
    </row>
    <row r="35" spans="1:9" ht="15.75" x14ac:dyDescent="0.25">
      <c r="A35" s="200" t="s">
        <v>295</v>
      </c>
      <c r="B35" s="204">
        <v>68</v>
      </c>
      <c r="C35" s="179">
        <f t="shared" si="2"/>
        <v>329</v>
      </c>
      <c r="E35" s="161"/>
      <c r="F35" s="161"/>
      <c r="G35" s="161"/>
      <c r="H35" s="161"/>
      <c r="I35" s="161"/>
    </row>
    <row r="36" spans="1:9" ht="15.75" x14ac:dyDescent="0.25">
      <c r="A36" s="200" t="s">
        <v>296</v>
      </c>
      <c r="B36" s="204">
        <v>96</v>
      </c>
      <c r="C36" s="179">
        <f t="shared" si="2"/>
        <v>425</v>
      </c>
      <c r="E36" s="161"/>
      <c r="F36" s="161"/>
      <c r="G36" s="161"/>
      <c r="H36" s="161"/>
      <c r="I36" s="161"/>
    </row>
    <row r="37" spans="1:9" ht="15.75" x14ac:dyDescent="0.25">
      <c r="E37" s="161"/>
      <c r="F37" s="161"/>
      <c r="G37" s="161"/>
      <c r="H37" s="161"/>
      <c r="I37" s="161"/>
    </row>
    <row r="38" spans="1:9" ht="15.75" x14ac:dyDescent="0.25">
      <c r="E38" s="161"/>
      <c r="F38" s="161"/>
      <c r="G38" s="161"/>
      <c r="H38" s="161"/>
      <c r="I38" s="161"/>
    </row>
    <row r="39" spans="1:9" ht="15.75" x14ac:dyDescent="0.25">
      <c r="A39" s="908" t="s">
        <v>268</v>
      </c>
      <c r="B39" s="909"/>
      <c r="C39" s="909"/>
      <c r="D39" s="909"/>
      <c r="E39" s="909"/>
      <c r="F39" s="906"/>
      <c r="G39" s="906"/>
      <c r="H39" s="161"/>
      <c r="I39" s="161"/>
    </row>
    <row r="40" spans="1:9" ht="15.75" x14ac:dyDescent="0.25">
      <c r="A40" s="1060" t="s">
        <v>297</v>
      </c>
      <c r="B40" s="1061"/>
      <c r="C40" s="1061"/>
      <c r="D40" s="1061"/>
      <c r="E40" s="1061"/>
      <c r="F40" s="161"/>
      <c r="G40" s="161"/>
      <c r="H40" s="161"/>
      <c r="I40" s="161"/>
    </row>
    <row r="41" spans="1:9" x14ac:dyDescent="0.2">
      <c r="A41" s="1061"/>
      <c r="B41" s="1061"/>
      <c r="C41" s="1061"/>
      <c r="D41" s="1061"/>
      <c r="E41" s="1061"/>
    </row>
    <row r="42" spans="1:9" x14ac:dyDescent="0.2">
      <c r="A42" s="1061"/>
      <c r="B42" s="1061"/>
      <c r="C42" s="1061"/>
      <c r="D42" s="1061"/>
      <c r="E42" s="1061"/>
    </row>
    <row r="43" spans="1:9" x14ac:dyDescent="0.2">
      <c r="A43" s="1061"/>
      <c r="B43" s="1061"/>
      <c r="C43" s="1061"/>
      <c r="D43" s="1061"/>
      <c r="E43" s="1061"/>
    </row>
    <row r="44" spans="1:9" x14ac:dyDescent="0.2">
      <c r="A44" s="1061"/>
      <c r="B44" s="1061"/>
      <c r="C44" s="1061"/>
      <c r="D44" s="1061"/>
      <c r="E44" s="1061"/>
    </row>
    <row r="45" spans="1:9" x14ac:dyDescent="0.2">
      <c r="A45" s="1061"/>
      <c r="B45" s="1061"/>
      <c r="C45" s="1061"/>
      <c r="D45" s="1061"/>
      <c r="E45" s="1061"/>
    </row>
    <row r="46" spans="1:9" x14ac:dyDescent="0.2">
      <c r="A46" s="1061"/>
      <c r="B46" s="1061"/>
      <c r="C46" s="1061"/>
      <c r="D46" s="1061"/>
      <c r="E46" s="1061"/>
    </row>
    <row r="47" spans="1:9" x14ac:dyDescent="0.2">
      <c r="A47" s="1061"/>
      <c r="B47" s="1061"/>
      <c r="C47" s="1061"/>
      <c r="D47" s="1061"/>
      <c r="E47" s="1061"/>
    </row>
    <row r="48" spans="1:9" x14ac:dyDescent="0.2">
      <c r="A48" s="1061"/>
      <c r="B48" s="1061"/>
      <c r="C48" s="1061"/>
      <c r="D48" s="1061"/>
      <c r="E48" s="1061"/>
    </row>
    <row r="49" spans="1:12" x14ac:dyDescent="0.2">
      <c r="A49" s="1061"/>
      <c r="B49" s="1061"/>
      <c r="C49" s="1061"/>
      <c r="D49" s="1061"/>
      <c r="E49" s="1061"/>
    </row>
    <row r="51" spans="1:12" ht="15.75" x14ac:dyDescent="0.25">
      <c r="A51" s="907" t="s">
        <v>298</v>
      </c>
      <c r="B51" s="1020"/>
      <c r="C51" s="1020"/>
      <c r="D51" s="1020"/>
      <c r="E51" s="1020"/>
      <c r="F51" s="1020"/>
      <c r="G51" s="1020"/>
      <c r="H51" s="1020"/>
    </row>
    <row r="52" spans="1:12" x14ac:dyDescent="0.2">
      <c r="A52" s="211" t="s">
        <v>110</v>
      </c>
      <c r="F52" s="211" t="s">
        <v>111</v>
      </c>
      <c r="I52" s="211" t="s">
        <v>112</v>
      </c>
    </row>
    <row r="53" spans="1:12" x14ac:dyDescent="0.2">
      <c r="A53" s="1018"/>
      <c r="B53" s="1018"/>
      <c r="C53" s="1018"/>
      <c r="D53" s="1018"/>
      <c r="E53" s="212"/>
      <c r="F53" s="1018"/>
      <c r="G53" s="1024"/>
      <c r="H53" s="213"/>
      <c r="I53" s="367"/>
      <c r="J53" s="213"/>
      <c r="K53" s="213"/>
      <c r="L53" s="213"/>
    </row>
    <row r="54" spans="1:12" x14ac:dyDescent="0.2">
      <c r="E54" s="213"/>
      <c r="H54" s="213"/>
      <c r="J54" s="213"/>
      <c r="K54" s="213"/>
      <c r="L54" s="213"/>
    </row>
    <row r="55" spans="1:12" x14ac:dyDescent="0.2">
      <c r="A55" s="1018"/>
      <c r="B55" s="1018"/>
      <c r="C55" s="1018"/>
      <c r="D55" s="1018"/>
      <c r="E55" s="212"/>
      <c r="F55" s="1018"/>
      <c r="G55" s="1024"/>
      <c r="H55" s="213"/>
      <c r="I55" s="378"/>
      <c r="J55" s="213"/>
      <c r="K55" s="213"/>
      <c r="L55" s="213"/>
    </row>
    <row r="56" spans="1:12" x14ac:dyDescent="0.2">
      <c r="E56" s="213"/>
      <c r="H56" s="213"/>
      <c r="J56" s="213"/>
      <c r="K56" s="213"/>
      <c r="L56" s="213"/>
    </row>
    <row r="57" spans="1:12" x14ac:dyDescent="0.2">
      <c r="A57" s="1018"/>
      <c r="B57" s="1018"/>
      <c r="C57" s="1018"/>
      <c r="D57" s="1018"/>
      <c r="E57" s="212"/>
      <c r="F57" s="1018"/>
      <c r="G57" s="1024"/>
      <c r="H57" s="213"/>
      <c r="I57" s="378"/>
      <c r="J57" s="213"/>
      <c r="K57" s="213"/>
      <c r="L57" s="213"/>
    </row>
    <row r="58" spans="1:12" x14ac:dyDescent="0.2">
      <c r="E58" s="213"/>
      <c r="H58" s="213"/>
      <c r="J58" s="213"/>
      <c r="K58" s="213"/>
      <c r="L58" s="213"/>
    </row>
    <row r="59" spans="1:12" x14ac:dyDescent="0.2">
      <c r="A59" s="1018"/>
      <c r="B59" s="1018"/>
      <c r="C59" s="1018"/>
      <c r="D59" s="1018"/>
      <c r="E59" s="212"/>
      <c r="F59" s="1018"/>
      <c r="G59" s="1024"/>
      <c r="H59" s="213"/>
      <c r="I59" s="378"/>
      <c r="J59" s="213"/>
      <c r="K59" s="213"/>
      <c r="L59" s="213"/>
    </row>
    <row r="61" spans="1:12" x14ac:dyDescent="0.2">
      <c r="A61" s="1025" t="s">
        <v>299</v>
      </c>
      <c r="B61" s="1020"/>
      <c r="C61" s="1020"/>
      <c r="D61" s="1020"/>
      <c r="E61" s="1020"/>
      <c r="F61" s="1020"/>
    </row>
    <row r="62" spans="1:12" ht="15" customHeight="1" x14ac:dyDescent="0.2">
      <c r="A62" s="1020"/>
      <c r="B62" s="1020"/>
      <c r="C62" s="1020"/>
      <c r="D62" s="1020"/>
      <c r="E62" s="1020"/>
      <c r="F62" s="1020"/>
    </row>
    <row r="63" spans="1:12" ht="15" customHeight="1" x14ac:dyDescent="0.2">
      <c r="A63" s="1020"/>
      <c r="B63" s="1020"/>
      <c r="C63" s="1020"/>
      <c r="D63" s="1020"/>
      <c r="E63" s="1020"/>
      <c r="F63" s="1020"/>
    </row>
    <row r="64" spans="1:12" ht="15" customHeight="1" x14ac:dyDescent="0.2">
      <c r="A64" s="831" t="s">
        <v>300</v>
      </c>
      <c r="B64" s="831"/>
      <c r="C64" s="831"/>
      <c r="D64" s="831"/>
      <c r="E64" s="831"/>
      <c r="F64" s="831"/>
    </row>
    <row r="65" spans="1:6" ht="15" customHeight="1" x14ac:dyDescent="0.2">
      <c r="A65" s="831"/>
      <c r="B65" s="831"/>
      <c r="C65" s="831"/>
      <c r="D65" s="831"/>
      <c r="E65" s="831"/>
      <c r="F65" s="831"/>
    </row>
    <row r="66" spans="1:6" ht="15" customHeight="1" x14ac:dyDescent="0.2">
      <c r="A66" s="831"/>
      <c r="B66" s="831"/>
      <c r="C66" s="831"/>
      <c r="D66" s="831"/>
      <c r="E66" s="831"/>
      <c r="F66" s="831"/>
    </row>
    <row r="67" spans="1:6" ht="15" customHeight="1" x14ac:dyDescent="0.2">
      <c r="A67" s="831"/>
      <c r="B67" s="831"/>
      <c r="C67" s="831"/>
      <c r="D67" s="831"/>
      <c r="E67" s="831"/>
      <c r="F67" s="831"/>
    </row>
    <row r="68" spans="1:6" ht="15" customHeight="1" x14ac:dyDescent="0.2">
      <c r="A68" s="831"/>
      <c r="B68" s="831"/>
      <c r="C68" s="831"/>
      <c r="D68" s="831"/>
      <c r="E68" s="831"/>
      <c r="F68" s="831"/>
    </row>
    <row r="69" spans="1:6" ht="15" customHeight="1" x14ac:dyDescent="0.2">
      <c r="A69" s="831"/>
      <c r="B69" s="831"/>
      <c r="C69" s="831"/>
      <c r="D69" s="831"/>
      <c r="E69" s="831"/>
      <c r="F69" s="831"/>
    </row>
    <row r="70" spans="1:6" ht="15" customHeight="1" x14ac:dyDescent="0.2">
      <c r="A70" s="831"/>
      <c r="B70" s="831"/>
      <c r="C70" s="831"/>
      <c r="D70" s="831"/>
      <c r="E70" s="831"/>
      <c r="F70" s="831"/>
    </row>
    <row r="71" spans="1:6" ht="15" customHeight="1" x14ac:dyDescent="0.2">
      <c r="A71" s="831"/>
      <c r="B71" s="831"/>
      <c r="C71" s="831"/>
      <c r="D71" s="831"/>
      <c r="E71" s="831"/>
      <c r="F71" s="831"/>
    </row>
    <row r="72" spans="1:6" ht="15" customHeight="1" x14ac:dyDescent="0.2">
      <c r="A72" s="831"/>
      <c r="B72" s="831"/>
      <c r="C72" s="831"/>
      <c r="D72" s="831"/>
      <c r="E72" s="831"/>
      <c r="F72" s="831"/>
    </row>
    <row r="73" spans="1:6" ht="15" customHeight="1" x14ac:dyDescent="0.2">
      <c r="A73" s="831"/>
      <c r="B73" s="831"/>
      <c r="C73" s="831"/>
      <c r="D73" s="831"/>
      <c r="E73" s="831"/>
      <c r="F73" s="831"/>
    </row>
    <row r="74" spans="1:6" ht="15" customHeight="1" x14ac:dyDescent="0.2">
      <c r="A74" s="831"/>
      <c r="B74" s="831"/>
      <c r="C74" s="831"/>
      <c r="D74" s="831"/>
      <c r="E74" s="831"/>
      <c r="F74" s="831"/>
    </row>
    <row r="75" spans="1:6" x14ac:dyDescent="0.2">
      <c r="A75" s="831"/>
      <c r="B75" s="831"/>
      <c r="C75" s="831"/>
      <c r="D75" s="831"/>
      <c r="E75" s="831"/>
      <c r="F75" s="831"/>
    </row>
    <row r="76" spans="1:6" x14ac:dyDescent="0.2">
      <c r="A76" s="831"/>
      <c r="B76" s="831"/>
      <c r="C76" s="831"/>
      <c r="D76" s="831"/>
      <c r="E76" s="831"/>
      <c r="F76" s="831"/>
    </row>
  </sheetData>
  <sheetProtection selectLockedCells="1"/>
  <mergeCells count="18">
    <mergeCell ref="A39:G39"/>
    <mergeCell ref="A1:J1"/>
    <mergeCell ref="A2:G2"/>
    <mergeCell ref="A3:E4"/>
    <mergeCell ref="D7:I18"/>
    <mergeCell ref="A28:C28"/>
    <mergeCell ref="A64:F76"/>
    <mergeCell ref="A40:E49"/>
    <mergeCell ref="A51:H51"/>
    <mergeCell ref="A53:D53"/>
    <mergeCell ref="F53:G53"/>
    <mergeCell ref="A55:D55"/>
    <mergeCell ref="F55:G55"/>
    <mergeCell ref="A57:D57"/>
    <mergeCell ref="F57:G57"/>
    <mergeCell ref="A59:D59"/>
    <mergeCell ref="F59:G59"/>
    <mergeCell ref="A61:F63"/>
  </mergeCells>
  <dataValidations count="3">
    <dataValidation allowBlank="1" showErrorMessage="1" prompt="2014/15 figures only" sqref="B30:B36"/>
    <dataValidation errorStyle="information" allowBlank="1" showInputMessage="1" showErrorMessage="1" error="Please choose from the list provided" prompt="Please use the drop down list" sqref="B18"/>
    <dataValidation errorStyle="information" allowBlank="1" showErrorMessage="1" error="Please choose from the list provided" sqref="B13"/>
  </dataValidations>
  <pageMargins left="0.7" right="0.7" top="0.75" bottom="0.75" header="0.3" footer="0.3"/>
  <pageSetup paperSize="9" orientation="portrait" verticalDpi="12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86"/>
  <sheetViews>
    <sheetView showGridLines="0" topLeftCell="A7" zoomScaleNormal="100" workbookViewId="0">
      <selection activeCell="B18" sqref="B18"/>
    </sheetView>
  </sheetViews>
  <sheetFormatPr defaultColWidth="12.88671875" defaultRowHeight="15" x14ac:dyDescent="0.2"/>
  <sheetData>
    <row r="1" spans="1:10" ht="18.75" x14ac:dyDescent="0.3">
      <c r="A1" s="914" t="s">
        <v>60</v>
      </c>
      <c r="B1" s="915"/>
      <c r="C1" s="915"/>
      <c r="D1" s="915"/>
      <c r="E1" s="915"/>
      <c r="F1" s="915"/>
      <c r="G1" s="906"/>
      <c r="H1" s="906"/>
      <c r="I1" s="906"/>
      <c r="J1" s="906"/>
    </row>
    <row r="2" spans="1:10" ht="15.75" x14ac:dyDescent="0.25">
      <c r="A2" s="916" t="s">
        <v>61</v>
      </c>
      <c r="B2" s="917"/>
      <c r="C2" s="917"/>
      <c r="D2" s="917"/>
      <c r="E2" s="917"/>
      <c r="F2" s="917"/>
      <c r="G2" s="917"/>
      <c r="H2" s="161"/>
      <c r="I2" s="161"/>
    </row>
    <row r="3" spans="1:10" ht="15" customHeight="1" x14ac:dyDescent="0.2">
      <c r="A3" s="918" t="s">
        <v>62</v>
      </c>
      <c r="B3" s="906"/>
      <c r="C3" s="906"/>
      <c r="D3" s="906"/>
      <c r="E3" s="906"/>
      <c r="F3" s="151"/>
      <c r="G3" s="151"/>
      <c r="H3" s="151"/>
      <c r="I3" s="151"/>
      <c r="J3" s="151"/>
    </row>
    <row r="4" spans="1:10" x14ac:dyDescent="0.2">
      <c r="A4" s="906"/>
      <c r="B4" s="906"/>
      <c r="C4" s="906"/>
      <c r="D4" s="906"/>
      <c r="E4" s="906"/>
      <c r="F4" s="151"/>
      <c r="G4" s="151"/>
      <c r="H4" s="151"/>
      <c r="I4" s="151"/>
      <c r="J4" s="151"/>
    </row>
    <row r="5" spans="1:10" ht="15.75" x14ac:dyDescent="0.25">
      <c r="A5" s="162"/>
      <c r="B5" s="162"/>
      <c r="C5" s="161"/>
      <c r="D5" s="161"/>
      <c r="E5" s="161"/>
      <c r="F5" s="161"/>
      <c r="G5" s="161"/>
      <c r="H5" s="161"/>
      <c r="I5" s="161"/>
    </row>
    <row r="6" spans="1:10" ht="15.75" x14ac:dyDescent="0.25">
      <c r="A6" s="163" t="s">
        <v>63</v>
      </c>
      <c r="B6" s="164">
        <v>10000000000</v>
      </c>
      <c r="C6" s="161"/>
      <c r="D6" s="165" t="s">
        <v>64</v>
      </c>
      <c r="E6" s="166"/>
      <c r="F6" s="167"/>
      <c r="G6" s="167"/>
      <c r="H6" s="167"/>
      <c r="I6" s="167"/>
    </row>
    <row r="7" spans="1:10" ht="15.6" customHeight="1" x14ac:dyDescent="0.25">
      <c r="A7" s="168" t="s">
        <v>65</v>
      </c>
      <c r="B7" s="169">
        <v>0.9</v>
      </c>
      <c r="C7" s="161"/>
      <c r="D7" s="919" t="s">
        <v>66</v>
      </c>
      <c r="E7" s="920"/>
      <c r="F7" s="920"/>
      <c r="G7" s="920"/>
      <c r="H7" s="920"/>
      <c r="I7" s="921"/>
    </row>
    <row r="8" spans="1:10" ht="15.75" x14ac:dyDescent="0.25">
      <c r="A8" s="170" t="s">
        <v>67</v>
      </c>
      <c r="B8" s="171">
        <v>0.9</v>
      </c>
      <c r="C8" s="161"/>
      <c r="D8" s="920"/>
      <c r="E8" s="920"/>
      <c r="F8" s="920"/>
      <c r="G8" s="920"/>
      <c r="H8" s="920"/>
      <c r="I8" s="921"/>
    </row>
    <row r="9" spans="1:10" ht="15" customHeight="1" x14ac:dyDescent="0.25">
      <c r="A9" s="170" t="s">
        <v>68</v>
      </c>
      <c r="B9" s="171">
        <v>0.5</v>
      </c>
      <c r="C9" s="161"/>
      <c r="D9" s="920"/>
      <c r="E9" s="920"/>
      <c r="F9" s="920"/>
      <c r="G9" s="920"/>
      <c r="H9" s="920"/>
      <c r="I9" s="921"/>
    </row>
    <row r="10" spans="1:10" ht="15" customHeight="1" x14ac:dyDescent="0.25">
      <c r="A10" s="172" t="s">
        <v>69</v>
      </c>
      <c r="B10" s="173">
        <v>0.5</v>
      </c>
      <c r="C10" s="161"/>
      <c r="D10" s="920"/>
      <c r="E10" s="920"/>
      <c r="F10" s="920"/>
      <c r="G10" s="920"/>
      <c r="H10" s="920"/>
      <c r="I10" s="921"/>
    </row>
    <row r="11" spans="1:10" ht="15.75" x14ac:dyDescent="0.25">
      <c r="A11" s="174" t="s">
        <v>70</v>
      </c>
      <c r="B11" s="175">
        <v>0</v>
      </c>
      <c r="C11" s="161"/>
      <c r="D11" s="922"/>
      <c r="E11" s="922"/>
      <c r="F11" s="922"/>
      <c r="G11" s="922"/>
      <c r="H11" s="922"/>
      <c r="I11" s="921"/>
    </row>
    <row r="12" spans="1:10" ht="15.75" x14ac:dyDescent="0.25">
      <c r="A12" s="162"/>
      <c r="B12" s="162"/>
      <c r="C12" s="161"/>
      <c r="D12" s="922"/>
      <c r="E12" s="922"/>
      <c r="F12" s="922"/>
      <c r="G12" s="922"/>
      <c r="H12" s="922"/>
      <c r="I12" s="921"/>
    </row>
    <row r="13" spans="1:10" ht="15.75" x14ac:dyDescent="0.25">
      <c r="A13" s="176" t="s">
        <v>71</v>
      </c>
      <c r="B13" s="177" t="s">
        <v>72</v>
      </c>
      <c r="C13" s="161"/>
      <c r="D13" s="922"/>
      <c r="E13" s="922"/>
      <c r="F13" s="922"/>
      <c r="G13" s="922"/>
      <c r="H13" s="922"/>
      <c r="I13" s="921"/>
    </row>
    <row r="14" spans="1:10" ht="15.75" x14ac:dyDescent="0.25">
      <c r="A14" s="178" t="s">
        <v>73</v>
      </c>
      <c r="B14" s="179">
        <f>VLOOKUP(B13,A22:E31,2,FALSE)</f>
        <v>1155.67</v>
      </c>
      <c r="C14" s="161"/>
      <c r="D14" s="922"/>
      <c r="E14" s="922"/>
      <c r="F14" s="922"/>
      <c r="G14" s="922"/>
      <c r="H14" s="922"/>
      <c r="I14" s="921"/>
    </row>
    <row r="15" spans="1:10" ht="15.75" x14ac:dyDescent="0.25">
      <c r="A15" s="178" t="s">
        <v>74</v>
      </c>
      <c r="B15" s="179">
        <f>VLOOKUP(B13,A22:E29,3,FALSE)</f>
        <v>1156</v>
      </c>
      <c r="C15" s="161"/>
      <c r="D15" s="922"/>
      <c r="E15" s="922"/>
      <c r="F15" s="922"/>
      <c r="G15" s="922"/>
      <c r="H15" s="922"/>
      <c r="I15" s="921"/>
    </row>
    <row r="16" spans="1:10" ht="15.75" x14ac:dyDescent="0.25">
      <c r="A16" s="180" t="s">
        <v>75</v>
      </c>
      <c r="B16" s="181" t="str">
        <f>VLOOKUP(B13,A22:E29,5,FALSE)</f>
        <v>Green</v>
      </c>
      <c r="C16" s="161"/>
      <c r="D16" s="922"/>
      <c r="E16" s="922"/>
      <c r="F16" s="922"/>
      <c r="G16" s="922"/>
      <c r="H16" s="922"/>
      <c r="I16" s="921"/>
    </row>
    <row r="17" spans="1:10" ht="15.75" x14ac:dyDescent="0.25">
      <c r="A17" s="162"/>
      <c r="B17" s="182"/>
      <c r="C17" s="161"/>
      <c r="D17" s="922"/>
      <c r="E17" s="922"/>
      <c r="F17" s="922"/>
      <c r="G17" s="922"/>
      <c r="H17" s="922"/>
      <c r="I17" s="921"/>
    </row>
    <row r="18" spans="1:10" ht="15.75" x14ac:dyDescent="0.25">
      <c r="A18" s="183" t="s">
        <v>52</v>
      </c>
      <c r="B18" s="184" t="s">
        <v>41</v>
      </c>
      <c r="C18" s="161"/>
      <c r="D18" s="922"/>
      <c r="E18" s="922"/>
      <c r="F18" s="922"/>
      <c r="G18" s="922"/>
      <c r="H18" s="922"/>
      <c r="I18" s="921"/>
    </row>
    <row r="19" spans="1:10" ht="15.75" x14ac:dyDescent="0.25">
      <c r="B19" s="162"/>
      <c r="C19" s="161"/>
      <c r="D19" s="161"/>
      <c r="E19" s="161"/>
      <c r="F19" s="161"/>
      <c r="G19" s="161"/>
      <c r="H19" s="161"/>
      <c r="I19" s="161"/>
    </row>
    <row r="20" spans="1:10" ht="15.75" x14ac:dyDescent="0.25">
      <c r="A20" s="162"/>
      <c r="B20" s="162"/>
      <c r="C20" s="161"/>
      <c r="D20" s="161"/>
      <c r="E20" s="161"/>
      <c r="F20" s="161"/>
      <c r="G20" s="185" t="s">
        <v>76</v>
      </c>
      <c r="H20" s="185"/>
      <c r="I20" s="186" t="s">
        <v>77</v>
      </c>
      <c r="J20" s="187" t="s">
        <v>78</v>
      </c>
    </row>
    <row r="21" spans="1:10" ht="15.75" x14ac:dyDescent="0.25">
      <c r="A21" s="188" t="s">
        <v>79</v>
      </c>
      <c r="B21" s="188"/>
      <c r="C21" s="162"/>
      <c r="D21" s="162"/>
      <c r="E21" s="162"/>
      <c r="F21" s="162"/>
      <c r="G21" s="189" t="s">
        <v>80</v>
      </c>
      <c r="H21" s="189" t="s">
        <v>81</v>
      </c>
      <c r="I21" s="190"/>
      <c r="J21" s="191"/>
    </row>
    <row r="22" spans="1:10" x14ac:dyDescent="0.2">
      <c r="A22" s="192" t="s">
        <v>82</v>
      </c>
      <c r="B22" s="193" t="s">
        <v>73</v>
      </c>
      <c r="C22" s="193" t="s">
        <v>83</v>
      </c>
      <c r="D22" s="193" t="s">
        <v>84</v>
      </c>
      <c r="E22" s="194" t="s">
        <v>75</v>
      </c>
      <c r="G22" s="189" t="s">
        <v>85</v>
      </c>
      <c r="H22" s="189" t="s">
        <v>86</v>
      </c>
      <c r="I22" s="190"/>
      <c r="J22" s="190"/>
    </row>
    <row r="23" spans="1:10" x14ac:dyDescent="0.2">
      <c r="A23" s="192" t="s">
        <v>87</v>
      </c>
      <c r="B23" s="195">
        <v>534.10599999999999</v>
      </c>
      <c r="C23" s="195">
        <v>102.5</v>
      </c>
      <c r="D23" s="196">
        <f>B23/C23</f>
        <v>5.2107902439024389</v>
      </c>
      <c r="E23" s="197" t="str">
        <f>IF(D23=0,"",IF(D23&gt;=$B$7,"Green",IF(D23&gt;=$B$9, "Amber",IF(D23&gt;=$B$11,"Red"))))</f>
        <v>Green</v>
      </c>
      <c r="G23" s="189" t="s">
        <v>88</v>
      </c>
      <c r="H23" s="189" t="s">
        <v>89</v>
      </c>
      <c r="I23" s="191"/>
      <c r="J23" s="190"/>
    </row>
    <row r="24" spans="1:10" hidden="1" x14ac:dyDescent="0.2">
      <c r="A24" s="192" t="s">
        <v>90</v>
      </c>
      <c r="B24" s="195">
        <v>729</v>
      </c>
      <c r="C24" s="195">
        <v>717</v>
      </c>
      <c r="D24" s="196">
        <f t="shared" ref="D24:D26" si="0">B24/C24</f>
        <v>1.0167364016736402</v>
      </c>
      <c r="E24" s="197" t="str">
        <f t="shared" ref="E24:E30" si="1">IF(D24=0,"",IF(D24&gt;=$B$7,"Green",IF(D24&gt;=$B$9, "Amber",IF(D24&gt;=$B$11,"Red"))))</f>
        <v>Green</v>
      </c>
      <c r="G24" s="189" t="s">
        <v>91</v>
      </c>
      <c r="H24" s="198" t="s">
        <v>92</v>
      </c>
      <c r="I24" s="190"/>
      <c r="J24" s="190"/>
    </row>
    <row r="25" spans="1:10" x14ac:dyDescent="0.2">
      <c r="A25" s="192" t="s">
        <v>93</v>
      </c>
      <c r="B25" s="195">
        <v>941</v>
      </c>
      <c r="C25" s="195">
        <v>717</v>
      </c>
      <c r="D25" s="196">
        <f t="shared" si="0"/>
        <v>1.3124128312412831</v>
      </c>
      <c r="E25" s="197" t="str">
        <f t="shared" si="1"/>
        <v>Green</v>
      </c>
      <c r="G25" s="189" t="s">
        <v>94</v>
      </c>
      <c r="H25" s="198" t="s">
        <v>95</v>
      </c>
      <c r="I25" s="190"/>
      <c r="J25" s="190"/>
    </row>
    <row r="26" spans="1:10" ht="15.6" customHeight="1" x14ac:dyDescent="0.25">
      <c r="A26" s="192" t="s">
        <v>96</v>
      </c>
      <c r="B26" s="195">
        <v>1230.8</v>
      </c>
      <c r="C26" s="195">
        <v>717</v>
      </c>
      <c r="D26" s="199">
        <f t="shared" si="0"/>
        <v>1.7165969316596932</v>
      </c>
      <c r="E26" s="197" t="str">
        <f t="shared" si="1"/>
        <v>Green</v>
      </c>
      <c r="G26" s="161"/>
    </row>
    <row r="27" spans="1:10" ht="15.6" customHeight="1" x14ac:dyDescent="0.25">
      <c r="A27" s="200" t="s">
        <v>97</v>
      </c>
      <c r="B27" s="201">
        <v>896</v>
      </c>
      <c r="C27" s="202">
        <v>583</v>
      </c>
      <c r="D27" s="203">
        <f>B27/C27</f>
        <v>1.5368782161234991</v>
      </c>
      <c r="E27" s="197" t="str">
        <f t="shared" si="1"/>
        <v>Green</v>
      </c>
      <c r="G27" s="161"/>
    </row>
    <row r="28" spans="1:10" ht="15.6" customHeight="1" x14ac:dyDescent="0.25">
      <c r="A28" s="200" t="s">
        <v>98</v>
      </c>
      <c r="B28" s="201">
        <v>971</v>
      </c>
      <c r="C28" s="202">
        <v>959</v>
      </c>
      <c r="D28" s="203">
        <f t="shared" ref="D28:D31" si="2">B28/C28</f>
        <v>1.0125130344108446</v>
      </c>
      <c r="E28" s="197" t="str">
        <f t="shared" si="1"/>
        <v>Green</v>
      </c>
      <c r="G28" s="161"/>
    </row>
    <row r="29" spans="1:10" ht="15.6" customHeight="1" x14ac:dyDescent="0.25">
      <c r="A29" s="200" t="s">
        <v>72</v>
      </c>
      <c r="B29" s="201">
        <v>1155.67</v>
      </c>
      <c r="C29" s="202">
        <v>1156</v>
      </c>
      <c r="D29" s="203">
        <f t="shared" si="2"/>
        <v>0.99971453287197243</v>
      </c>
      <c r="E29" s="197" t="str">
        <f t="shared" si="1"/>
        <v>Green</v>
      </c>
      <c r="G29" s="161"/>
    </row>
    <row r="30" spans="1:10" ht="15.6" customHeight="1" x14ac:dyDescent="0.25">
      <c r="A30" s="200" t="s">
        <v>99</v>
      </c>
      <c r="B30" s="201"/>
      <c r="C30" s="202">
        <v>1500</v>
      </c>
      <c r="D30" s="203">
        <f t="shared" si="2"/>
        <v>0</v>
      </c>
      <c r="E30" s="197" t="str">
        <f t="shared" si="1"/>
        <v/>
      </c>
      <c r="G30" s="161"/>
    </row>
    <row r="31" spans="1:10" ht="15.6" hidden="1" customHeight="1" x14ac:dyDescent="0.25">
      <c r="A31" s="200"/>
      <c r="B31" s="204"/>
      <c r="C31" s="205"/>
      <c r="D31" s="203" t="e">
        <f t="shared" si="2"/>
        <v>#DIV/0!</v>
      </c>
      <c r="E31" s="197" t="e">
        <f t="shared" ref="E31" si="3">IF(D31=0,"",IF(D31&gt;=$B$7,"GREEN",IF(D31&gt;=$B$9, "AMBER",IF(D31&gt;=$B$11,"RED"))))</f>
        <v>#DIV/0!</v>
      </c>
      <c r="F31" s="161"/>
      <c r="G31" s="161"/>
      <c r="H31" s="161"/>
      <c r="I31" s="161"/>
    </row>
    <row r="32" spans="1:10" ht="15.75" hidden="1" x14ac:dyDescent="0.25">
      <c r="A32" s="161"/>
      <c r="B32" s="161"/>
      <c r="C32" s="161"/>
      <c r="D32" s="161"/>
      <c r="E32" s="161"/>
      <c r="F32" s="161"/>
      <c r="G32" s="161"/>
      <c r="H32" s="161"/>
      <c r="I32" s="161"/>
    </row>
    <row r="33" spans="1:9" ht="15.75" hidden="1" x14ac:dyDescent="0.25">
      <c r="A33" s="907" t="s">
        <v>100</v>
      </c>
      <c r="B33" s="906"/>
      <c r="C33" s="906"/>
      <c r="D33" s="161"/>
      <c r="E33" s="161"/>
      <c r="F33" s="161"/>
      <c r="G33" s="161"/>
      <c r="H33" s="161"/>
      <c r="I33" s="161"/>
    </row>
    <row r="34" spans="1:9" ht="15.75" hidden="1" x14ac:dyDescent="0.25">
      <c r="A34" s="206"/>
      <c r="B34" s="193" t="s">
        <v>101</v>
      </c>
      <c r="C34" s="194" t="s">
        <v>102</v>
      </c>
      <c r="D34" s="161"/>
      <c r="E34" s="161"/>
      <c r="F34" s="161"/>
      <c r="G34" s="161"/>
      <c r="H34" s="161"/>
      <c r="I34" s="161"/>
    </row>
    <row r="35" spans="1:9" ht="16.5" hidden="1" thickBot="1" x14ac:dyDescent="0.3">
      <c r="A35" s="200" t="s">
        <v>103</v>
      </c>
      <c r="B35" s="207"/>
      <c r="C35" s="179">
        <f>B35</f>
        <v>0</v>
      </c>
      <c r="E35" s="161"/>
      <c r="F35" s="161"/>
      <c r="G35" s="161"/>
      <c r="H35" s="161"/>
      <c r="I35" s="161"/>
    </row>
    <row r="36" spans="1:9" ht="15.75" hidden="1" x14ac:dyDescent="0.25">
      <c r="A36" s="200" t="s">
        <v>104</v>
      </c>
      <c r="B36" s="208"/>
      <c r="C36" s="179">
        <f>C35+B36</f>
        <v>0</v>
      </c>
      <c r="E36" s="161"/>
      <c r="F36" s="161"/>
      <c r="G36" s="161"/>
      <c r="H36" s="161"/>
      <c r="I36" s="161"/>
    </row>
    <row r="37" spans="1:9" ht="16.5" hidden="1" thickBot="1" x14ac:dyDescent="0.3">
      <c r="A37" s="200" t="s">
        <v>105</v>
      </c>
      <c r="B37" s="209"/>
      <c r="C37" s="179">
        <f t="shared" ref="C37:C38" si="4">C36+B37</f>
        <v>0</v>
      </c>
      <c r="E37" s="161"/>
      <c r="F37" s="161"/>
      <c r="G37" s="161"/>
      <c r="H37" s="161"/>
      <c r="I37" s="161"/>
    </row>
    <row r="38" spans="1:9" ht="16.5" hidden="1" thickBot="1" x14ac:dyDescent="0.3">
      <c r="A38" s="200" t="s">
        <v>106</v>
      </c>
      <c r="B38" s="210"/>
      <c r="C38" s="179">
        <f t="shared" si="4"/>
        <v>0</v>
      </c>
      <c r="E38" s="161"/>
      <c r="F38" s="161"/>
      <c r="G38" s="161"/>
      <c r="H38" s="161"/>
      <c r="I38" s="161"/>
    </row>
    <row r="39" spans="1:9" ht="15.75" x14ac:dyDescent="0.25">
      <c r="E39" s="161"/>
      <c r="F39" s="161"/>
      <c r="G39" s="161"/>
      <c r="H39" s="161"/>
      <c r="I39" s="161"/>
    </row>
    <row r="40" spans="1:9" ht="15.75" x14ac:dyDescent="0.25">
      <c r="E40" s="161"/>
      <c r="F40" s="161"/>
      <c r="G40" s="161"/>
      <c r="H40" s="161"/>
      <c r="I40" s="161"/>
    </row>
    <row r="41" spans="1:9" ht="36.75" customHeight="1" x14ac:dyDescent="0.25">
      <c r="A41" s="1068" t="s">
        <v>107</v>
      </c>
      <c r="B41" s="909"/>
      <c r="C41" s="909"/>
      <c r="D41" s="909"/>
      <c r="E41" s="909"/>
      <c r="F41" s="906"/>
      <c r="G41" s="906"/>
      <c r="H41" s="161"/>
      <c r="I41" s="161"/>
    </row>
    <row r="42" spans="1:9" ht="15.75" x14ac:dyDescent="0.25">
      <c r="A42" s="1064" t="s">
        <v>108</v>
      </c>
      <c r="B42" s="1065"/>
      <c r="C42" s="1065"/>
      <c r="D42" s="1065"/>
      <c r="E42" s="1065"/>
      <c r="F42" s="161"/>
      <c r="G42" s="161"/>
      <c r="H42" s="161"/>
      <c r="I42" s="161"/>
    </row>
    <row r="43" spans="1:9" x14ac:dyDescent="0.2">
      <c r="A43" s="1065"/>
      <c r="B43" s="1065"/>
      <c r="C43" s="1065"/>
      <c r="D43" s="1065"/>
      <c r="E43" s="1065"/>
    </row>
    <row r="44" spans="1:9" x14ac:dyDescent="0.2">
      <c r="A44" s="1065"/>
      <c r="B44" s="1065"/>
      <c r="C44" s="1065"/>
      <c r="D44" s="1065"/>
      <c r="E44" s="1065"/>
    </row>
    <row r="45" spans="1:9" x14ac:dyDescent="0.2">
      <c r="A45" s="1065"/>
      <c r="B45" s="1065"/>
      <c r="C45" s="1065"/>
      <c r="D45" s="1065"/>
      <c r="E45" s="1065"/>
    </row>
    <row r="46" spans="1:9" x14ac:dyDescent="0.2">
      <c r="A46" s="1065"/>
      <c r="B46" s="1065"/>
      <c r="C46" s="1065"/>
      <c r="D46" s="1065"/>
      <c r="E46" s="1065"/>
    </row>
    <row r="47" spans="1:9" x14ac:dyDescent="0.2">
      <c r="A47" s="1065"/>
      <c r="B47" s="1065"/>
      <c r="C47" s="1065"/>
      <c r="D47" s="1065"/>
      <c r="E47" s="1065"/>
    </row>
    <row r="48" spans="1:9" x14ac:dyDescent="0.2">
      <c r="A48" s="1065"/>
      <c r="B48" s="1065"/>
      <c r="C48" s="1065"/>
      <c r="D48" s="1065"/>
      <c r="E48" s="1065"/>
    </row>
    <row r="49" spans="1:12" x14ac:dyDescent="0.2">
      <c r="A49" s="1065"/>
      <c r="B49" s="1065"/>
      <c r="C49" s="1065"/>
      <c r="D49" s="1065"/>
      <c r="E49" s="1065"/>
    </row>
    <row r="50" spans="1:12" x14ac:dyDescent="0.2">
      <c r="A50" s="1065"/>
      <c r="B50" s="1065"/>
      <c r="C50" s="1065"/>
      <c r="D50" s="1065"/>
      <c r="E50" s="1065"/>
    </row>
    <row r="51" spans="1:12" ht="165" customHeight="1" x14ac:dyDescent="0.2">
      <c r="A51" s="1065"/>
      <c r="B51" s="1065"/>
      <c r="C51" s="1065"/>
      <c r="D51" s="1065"/>
      <c r="E51" s="1065"/>
    </row>
    <row r="53" spans="1:12" ht="15.75" x14ac:dyDescent="0.25">
      <c r="A53" s="912" t="s">
        <v>109</v>
      </c>
      <c r="B53" s="906"/>
      <c r="C53" s="906"/>
      <c r="D53" s="906"/>
      <c r="E53" s="906"/>
      <c r="F53" s="906"/>
      <c r="G53" s="906"/>
      <c r="H53" s="906"/>
    </row>
    <row r="54" spans="1:12" x14ac:dyDescent="0.2">
      <c r="A54" s="211" t="s">
        <v>110</v>
      </c>
      <c r="F54" s="211" t="s">
        <v>111</v>
      </c>
      <c r="I54" s="211" t="s">
        <v>112</v>
      </c>
    </row>
    <row r="55" spans="1:12" ht="15.75" x14ac:dyDescent="0.25">
      <c r="A55" s="1066"/>
      <c r="B55" s="1066"/>
      <c r="C55" s="1066"/>
      <c r="D55" s="1066"/>
      <c r="E55" s="212"/>
      <c r="F55" s="1066"/>
      <c r="G55" s="1067"/>
      <c r="H55" s="213"/>
      <c r="I55" s="214"/>
      <c r="J55" s="213"/>
      <c r="K55" s="213"/>
      <c r="L55" s="213"/>
    </row>
    <row r="56" spans="1:12" x14ac:dyDescent="0.2">
      <c r="E56" s="213"/>
      <c r="H56" s="213"/>
      <c r="J56" s="213"/>
      <c r="K56" s="213"/>
      <c r="L56" s="213"/>
    </row>
    <row r="57" spans="1:12" ht="15.75" x14ac:dyDescent="0.25">
      <c r="A57" s="1066"/>
      <c r="B57" s="1066"/>
      <c r="C57" s="1066"/>
      <c r="D57" s="1066"/>
      <c r="E57" s="212"/>
      <c r="F57" s="1066"/>
      <c r="G57" s="1067"/>
      <c r="H57" s="213"/>
      <c r="I57" s="215"/>
      <c r="J57" s="213"/>
      <c r="K57" s="213"/>
      <c r="L57" s="213"/>
    </row>
    <row r="58" spans="1:12" x14ac:dyDescent="0.2">
      <c r="E58" s="213"/>
      <c r="H58" s="213"/>
      <c r="J58" s="213"/>
      <c r="K58" s="213"/>
      <c r="L58" s="213"/>
    </row>
    <row r="59" spans="1:12" ht="15.75" x14ac:dyDescent="0.25">
      <c r="A59" s="1066"/>
      <c r="B59" s="1066"/>
      <c r="C59" s="1066"/>
      <c r="D59" s="1066"/>
      <c r="E59" s="212"/>
      <c r="F59" s="1066"/>
      <c r="G59" s="1067"/>
      <c r="H59" s="213"/>
      <c r="I59" s="215"/>
      <c r="J59" s="213"/>
      <c r="K59" s="213"/>
      <c r="L59" s="213"/>
    </row>
    <row r="60" spans="1:12" x14ac:dyDescent="0.2">
      <c r="E60" s="213"/>
      <c r="H60" s="213"/>
      <c r="J60" s="213"/>
      <c r="K60" s="213"/>
      <c r="L60" s="213"/>
    </row>
    <row r="61" spans="1:12" ht="15.75" x14ac:dyDescent="0.25">
      <c r="A61" s="1066"/>
      <c r="B61" s="1066"/>
      <c r="C61" s="1066"/>
      <c r="D61" s="1066"/>
      <c r="E61" s="212"/>
      <c r="F61" s="1066"/>
      <c r="G61" s="1067"/>
      <c r="H61" s="213"/>
      <c r="I61" s="215"/>
      <c r="J61" s="213"/>
      <c r="K61" s="213"/>
      <c r="L61" s="213"/>
    </row>
    <row r="63" spans="1:12" x14ac:dyDescent="0.2">
      <c r="A63" s="905" t="s">
        <v>113</v>
      </c>
      <c r="B63" s="906"/>
      <c r="C63" s="906"/>
      <c r="D63" s="906"/>
      <c r="E63" s="906"/>
      <c r="F63" s="906"/>
    </row>
    <row r="64" spans="1:12" ht="15" customHeight="1" x14ac:dyDescent="0.2">
      <c r="A64" s="906"/>
      <c r="B64" s="906"/>
      <c r="C64" s="906"/>
      <c r="D64" s="906"/>
      <c r="E64" s="906"/>
      <c r="F64" s="906"/>
    </row>
    <row r="65" spans="1:6" ht="15" customHeight="1" x14ac:dyDescent="0.2">
      <c r="A65" s="906"/>
      <c r="B65" s="906"/>
      <c r="C65" s="906"/>
      <c r="D65" s="906"/>
      <c r="E65" s="906"/>
      <c r="F65" s="906"/>
    </row>
    <row r="66" spans="1:6" ht="15" customHeight="1" x14ac:dyDescent="0.2">
      <c r="A66" s="1018"/>
      <c r="B66" s="1018"/>
      <c r="C66" s="1018"/>
      <c r="D66" s="1018"/>
      <c r="E66" s="1018"/>
      <c r="F66" s="1018"/>
    </row>
    <row r="67" spans="1:6" ht="15" customHeight="1" x14ac:dyDescent="0.2">
      <c r="A67" s="1018"/>
      <c r="B67" s="1018"/>
      <c r="C67" s="1018"/>
      <c r="D67" s="1018"/>
      <c r="E67" s="1018"/>
      <c r="F67" s="1018"/>
    </row>
    <row r="68" spans="1:6" ht="15" customHeight="1" x14ac:dyDescent="0.2">
      <c r="A68" s="1018"/>
      <c r="B68" s="1018"/>
      <c r="C68" s="1018"/>
      <c r="D68" s="1018"/>
      <c r="E68" s="1018"/>
      <c r="F68" s="1018"/>
    </row>
    <row r="69" spans="1:6" ht="15" customHeight="1" x14ac:dyDescent="0.2">
      <c r="A69" s="1018"/>
      <c r="B69" s="1018"/>
      <c r="C69" s="1018"/>
      <c r="D69" s="1018"/>
      <c r="E69" s="1018"/>
      <c r="F69" s="1018"/>
    </row>
    <row r="70" spans="1:6" ht="15" customHeight="1" x14ac:dyDescent="0.2">
      <c r="A70" s="1018"/>
      <c r="B70" s="1018"/>
      <c r="C70" s="1018"/>
      <c r="D70" s="1018"/>
      <c r="E70" s="1018"/>
      <c r="F70" s="1018"/>
    </row>
    <row r="71" spans="1:6" ht="15" customHeight="1" x14ac:dyDescent="0.2">
      <c r="A71" s="1018"/>
      <c r="B71" s="1018"/>
      <c r="C71" s="1018"/>
      <c r="D71" s="1018"/>
      <c r="E71" s="1018"/>
      <c r="F71" s="1018"/>
    </row>
    <row r="72" spans="1:6" ht="15" customHeight="1" x14ac:dyDescent="0.2">
      <c r="A72" s="1018"/>
      <c r="B72" s="1018"/>
      <c r="C72" s="1018"/>
      <c r="D72" s="1018"/>
      <c r="E72" s="1018"/>
      <c r="F72" s="1018"/>
    </row>
    <row r="73" spans="1:6" ht="15" customHeight="1" x14ac:dyDescent="0.2">
      <c r="A73" s="1018"/>
      <c r="B73" s="1018"/>
      <c r="C73" s="1018"/>
      <c r="D73" s="1018"/>
      <c r="E73" s="1018"/>
      <c r="F73" s="1018"/>
    </row>
    <row r="74" spans="1:6" ht="15" customHeight="1" x14ac:dyDescent="0.2">
      <c r="A74" s="1018"/>
      <c r="B74" s="1018"/>
      <c r="C74" s="1018"/>
      <c r="D74" s="1018"/>
      <c r="E74" s="1018"/>
      <c r="F74" s="1018"/>
    </row>
    <row r="75" spans="1:6" ht="15" customHeight="1" x14ac:dyDescent="0.2">
      <c r="A75" s="1018"/>
      <c r="B75" s="1018"/>
      <c r="C75" s="1018"/>
      <c r="D75" s="1018"/>
      <c r="E75" s="1018"/>
      <c r="F75" s="1018"/>
    </row>
    <row r="76" spans="1:6" ht="15" customHeight="1" x14ac:dyDescent="0.2">
      <c r="A76" s="1018"/>
      <c r="B76" s="1018"/>
      <c r="C76" s="1018"/>
      <c r="D76" s="1018"/>
      <c r="E76" s="1018"/>
      <c r="F76" s="1018"/>
    </row>
    <row r="77" spans="1:6" x14ac:dyDescent="0.2">
      <c r="A77" s="1018"/>
      <c r="B77" s="1018"/>
      <c r="C77" s="1018"/>
      <c r="D77" s="1018"/>
      <c r="E77" s="1018"/>
      <c r="F77" s="1018"/>
    </row>
    <row r="78" spans="1:6" x14ac:dyDescent="0.2">
      <c r="A78" s="1018"/>
      <c r="B78" s="1018"/>
      <c r="C78" s="1018"/>
      <c r="D78" s="1018"/>
      <c r="E78" s="1018"/>
      <c r="F78" s="1018"/>
    </row>
    <row r="80" spans="1:6" ht="15.75" x14ac:dyDescent="0.25">
      <c r="A80" s="188" t="s">
        <v>114</v>
      </c>
      <c r="B80" s="188"/>
      <c r="C80" s="162"/>
      <c r="D80" s="162"/>
      <c r="E80" s="162"/>
    </row>
    <row r="81" spans="1:6" x14ac:dyDescent="0.2">
      <c r="A81" s="192" t="s">
        <v>82</v>
      </c>
      <c r="B81" s="193" t="s">
        <v>115</v>
      </c>
      <c r="C81" s="193" t="s">
        <v>83</v>
      </c>
      <c r="D81" s="193" t="s">
        <v>84</v>
      </c>
      <c r="E81" s="194" t="s">
        <v>75</v>
      </c>
      <c r="F81" s="194" t="s">
        <v>116</v>
      </c>
    </row>
    <row r="82" spans="1:6" x14ac:dyDescent="0.2">
      <c r="A82" s="192" t="s">
        <v>117</v>
      </c>
      <c r="B82" s="195">
        <v>1231</v>
      </c>
      <c r="C82" s="195">
        <v>717</v>
      </c>
      <c r="D82" s="196">
        <f>B82/C82</f>
        <v>1.7168758716875872</v>
      </c>
      <c r="E82" s="216" t="str">
        <f>IF(D82=0,"",IF(D82&gt;=$B$7,"Green",IF(D82&gt;=$B$9, "Amber",IF(D82&gt;=$B$11,"Red"))))</f>
        <v>Green</v>
      </c>
      <c r="F82" s="217">
        <v>8000</v>
      </c>
    </row>
    <row r="83" spans="1:6" x14ac:dyDescent="0.2">
      <c r="A83" s="200" t="s">
        <v>97</v>
      </c>
      <c r="B83" s="202">
        <f>B82+B27</f>
        <v>2127</v>
      </c>
      <c r="C83" s="202">
        <f>B82+C27</f>
        <v>1814</v>
      </c>
      <c r="D83" s="203">
        <f>B83/C83</f>
        <v>1.1725468577728777</v>
      </c>
      <c r="E83" s="216" t="str">
        <f t="shared" ref="E83:E86" si="5">IF(D83=0,"",IF(D83&gt;=$B$7,"Green",IF(D83&gt;=$B$9, "Amber",IF(D83&gt;=$B$11,"Red"))))</f>
        <v>Green</v>
      </c>
      <c r="F83" s="217">
        <v>8000</v>
      </c>
    </row>
    <row r="84" spans="1:6" x14ac:dyDescent="0.2">
      <c r="A84" s="200" t="s">
        <v>98</v>
      </c>
      <c r="B84" s="202">
        <f>B83+B28-B27</f>
        <v>2202</v>
      </c>
      <c r="C84" s="202">
        <f>C83+C28-C27</f>
        <v>2190</v>
      </c>
      <c r="D84" s="203">
        <f t="shared" ref="D84:D86" si="6">B84/C84</f>
        <v>1.0054794520547945</v>
      </c>
      <c r="E84" s="216" t="str">
        <f t="shared" si="5"/>
        <v>Green</v>
      </c>
      <c r="F84" s="217">
        <v>8000</v>
      </c>
    </row>
    <row r="85" spans="1:6" x14ac:dyDescent="0.2">
      <c r="A85" s="200" t="s">
        <v>72</v>
      </c>
      <c r="B85" s="202">
        <f t="shared" ref="B85:C86" si="7">B84+B29-B28</f>
        <v>2386.67</v>
      </c>
      <c r="C85" s="202">
        <f t="shared" si="7"/>
        <v>2387</v>
      </c>
      <c r="D85" s="203">
        <f t="shared" si="6"/>
        <v>0.99986175115207376</v>
      </c>
      <c r="E85" s="216" t="str">
        <f t="shared" si="5"/>
        <v>Green</v>
      </c>
      <c r="F85" s="217">
        <v>8000</v>
      </c>
    </row>
    <row r="86" spans="1:6" x14ac:dyDescent="0.2">
      <c r="A86" s="200" t="s">
        <v>99</v>
      </c>
      <c r="B86" s="202">
        <f t="shared" si="7"/>
        <v>1231</v>
      </c>
      <c r="C86" s="202">
        <f t="shared" si="7"/>
        <v>2731</v>
      </c>
      <c r="D86" s="203">
        <f t="shared" si="6"/>
        <v>0.45075064079091909</v>
      </c>
      <c r="E86" s="216" t="str">
        <f t="shared" si="5"/>
        <v>Red</v>
      </c>
      <c r="F86" s="217">
        <v>8000</v>
      </c>
    </row>
  </sheetData>
  <sheetProtection selectLockedCells="1"/>
  <mergeCells count="18">
    <mergeCell ref="A41:G41"/>
    <mergeCell ref="A1:J1"/>
    <mergeCell ref="A2:G2"/>
    <mergeCell ref="A3:E4"/>
    <mergeCell ref="D7:I18"/>
    <mergeCell ref="A33:C33"/>
    <mergeCell ref="A66:F78"/>
    <mergeCell ref="A42:E51"/>
    <mergeCell ref="A53:H53"/>
    <mergeCell ref="A55:D55"/>
    <mergeCell ref="F55:G55"/>
    <mergeCell ref="A57:D57"/>
    <mergeCell ref="F57:G57"/>
    <mergeCell ref="A59:D59"/>
    <mergeCell ref="F59:G59"/>
    <mergeCell ref="A61:D61"/>
    <mergeCell ref="F61:G61"/>
    <mergeCell ref="A63:F65"/>
  </mergeCells>
  <dataValidations count="3">
    <dataValidation allowBlank="1" showInputMessage="1" showErrorMessage="1" prompt="Good or better " sqref="B27:B31"/>
    <dataValidation errorStyle="information" allowBlank="1" showErrorMessage="1" error="Please choose from the list provided" sqref="B13"/>
    <dataValidation errorStyle="information" allowBlank="1" showInputMessage="1" showErrorMessage="1" error="Please choose from the list provided" prompt="Please use the drop down list" sqref="B18"/>
  </dataValidation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33"/>
  <sheetViews>
    <sheetView showGridLines="0" zoomScale="80" zoomScaleNormal="80" workbookViewId="0">
      <selection activeCell="A121" sqref="A121:I127"/>
    </sheetView>
  </sheetViews>
  <sheetFormatPr defaultColWidth="8.88671875" defaultRowHeight="15" x14ac:dyDescent="0.2"/>
  <cols>
    <col min="1" max="4" width="8.88671875" style="213"/>
    <col min="5" max="5" width="8.88671875" style="213" customWidth="1"/>
    <col min="6" max="6" width="16.21875" style="213" customWidth="1"/>
    <col min="7" max="7" width="8.88671875" style="213"/>
    <col min="8" max="8" width="9.44140625" style="213" customWidth="1"/>
    <col min="9" max="9" width="8.6640625" style="213" customWidth="1"/>
    <col min="10" max="16384" width="8.88671875" style="213"/>
  </cols>
  <sheetData>
    <row r="1" spans="1:16" x14ac:dyDescent="0.2">
      <c r="A1" s="218"/>
      <c r="B1" s="218"/>
      <c r="C1" s="218"/>
      <c r="D1" s="218"/>
      <c r="E1" s="218"/>
      <c r="F1" s="218"/>
      <c r="G1" s="218"/>
      <c r="H1" s="218"/>
      <c r="I1" s="218"/>
    </row>
    <row r="2" spans="1:16" ht="17.25" customHeight="1" x14ac:dyDescent="0.2">
      <c r="A2" s="218"/>
      <c r="B2" s="218"/>
      <c r="C2" s="218"/>
      <c r="D2" s="218"/>
      <c r="E2" s="218"/>
      <c r="F2" s="218"/>
      <c r="G2" s="218"/>
      <c r="H2" s="218"/>
      <c r="I2" s="218"/>
    </row>
    <row r="3" spans="1:16" ht="15" customHeight="1" x14ac:dyDescent="0.3">
      <c r="A3" s="218"/>
      <c r="B3" s="218"/>
      <c r="C3" s="218"/>
      <c r="D3" s="218"/>
      <c r="E3" s="218"/>
      <c r="F3" s="218"/>
      <c r="G3" s="218"/>
      <c r="H3" s="823"/>
      <c r="I3" s="823"/>
    </row>
    <row r="4" spans="1:16" ht="26.45" customHeight="1" x14ac:dyDescent="0.2">
      <c r="A4" s="219"/>
      <c r="B4" s="218"/>
      <c r="C4" s="218"/>
      <c r="D4" s="218"/>
      <c r="E4" s="220"/>
      <c r="F4" s="218"/>
      <c r="G4" s="218"/>
      <c r="H4" s="218"/>
      <c r="I4" s="218"/>
      <c r="N4" s="221"/>
    </row>
    <row r="5" spans="1:16" ht="3.75" customHeight="1" x14ac:dyDescent="0.2">
      <c r="A5" s="222"/>
      <c r="B5" s="222"/>
      <c r="C5" s="222"/>
      <c r="D5" s="222"/>
      <c r="E5" s="222"/>
      <c r="F5" s="222"/>
      <c r="G5" s="222"/>
      <c r="H5" s="222"/>
      <c r="I5" s="222"/>
    </row>
    <row r="6" spans="1:16" ht="19.5" thickBot="1" x14ac:dyDescent="0.25">
      <c r="A6" s="223" t="s">
        <v>118</v>
      </c>
      <c r="B6" s="223"/>
      <c r="C6" s="223" t="s">
        <v>119</v>
      </c>
      <c r="D6" s="224" t="s">
        <v>120</v>
      </c>
      <c r="E6" s="223" t="s">
        <v>121</v>
      </c>
      <c r="F6" s="223"/>
      <c r="G6" s="223" t="s">
        <v>122</v>
      </c>
      <c r="H6" s="824" t="s">
        <v>33</v>
      </c>
      <c r="I6" s="824"/>
    </row>
    <row r="7" spans="1:16" ht="19.5" thickBot="1" x14ac:dyDescent="0.25">
      <c r="A7" s="225" t="str">
        <f>'1 EA 2 Data Sheet'!B17</f>
        <v>Green</v>
      </c>
      <c r="B7" s="226"/>
      <c r="C7" s="227">
        <f>'1 EA 2 Data Sheet'!B14</f>
        <v>394</v>
      </c>
      <c r="D7" s="228">
        <f>C7+(C7*0.1)</f>
        <v>433.4</v>
      </c>
      <c r="E7" s="229">
        <f>'1 EA 2 Data Sheet'!B15</f>
        <v>496</v>
      </c>
      <c r="F7" s="227"/>
      <c r="G7" s="225" t="str">
        <f>'1 EA 2 Data Sheet'!B18</f>
        <v>Green</v>
      </c>
      <c r="H7" s="825">
        <f>'1 EA 2 Data Sheet'!B15</f>
        <v>496</v>
      </c>
      <c r="I7" s="825"/>
    </row>
    <row r="8" spans="1:16" s="232" customFormat="1" ht="6" customHeight="1" x14ac:dyDescent="0.2">
      <c r="A8" s="230"/>
      <c r="B8" s="230"/>
      <c r="C8" s="227"/>
      <c r="D8" s="228"/>
      <c r="E8" s="223"/>
      <c r="F8" s="227"/>
      <c r="G8" s="230"/>
      <c r="H8" s="231"/>
      <c r="I8" s="231"/>
    </row>
    <row r="9" spans="1:16" ht="15.75" x14ac:dyDescent="0.2">
      <c r="A9" s="826" t="s">
        <v>123</v>
      </c>
      <c r="B9" s="827"/>
      <c r="C9" s="827"/>
      <c r="D9" s="827"/>
      <c r="E9" s="827"/>
      <c r="F9" s="827"/>
      <c r="G9" s="826"/>
      <c r="H9" s="827"/>
      <c r="I9" s="827"/>
    </row>
    <row r="10" spans="1:16" ht="15" customHeight="1" x14ac:dyDescent="0.2">
      <c r="A10" s="222"/>
      <c r="B10" s="233"/>
      <c r="C10" s="234"/>
      <c r="D10" s="235"/>
      <c r="E10" s="236"/>
      <c r="F10" s="233"/>
      <c r="G10" s="233"/>
      <c r="H10" s="233"/>
      <c r="I10" s="222"/>
    </row>
    <row r="11" spans="1:16" ht="15" customHeight="1" x14ac:dyDescent="0.25">
      <c r="C11" s="237"/>
      <c r="D11" s="822"/>
      <c r="E11" s="822"/>
      <c r="F11" s="238"/>
      <c r="G11" s="234"/>
      <c r="H11" s="239"/>
    </row>
    <row r="12" spans="1:16" ht="15" customHeight="1" x14ac:dyDescent="0.25">
      <c r="A12" s="240"/>
      <c r="C12" s="241"/>
      <c r="D12" s="242"/>
      <c r="E12" s="243"/>
      <c r="F12" s="243"/>
      <c r="G12" s="244"/>
      <c r="H12" s="245"/>
      <c r="I12" s="222"/>
    </row>
    <row r="13" spans="1:16" ht="15" customHeight="1" x14ac:dyDescent="0.25">
      <c r="A13" s="240"/>
      <c r="C13" s="241"/>
      <c r="D13" s="242"/>
      <c r="E13" s="243"/>
      <c r="F13" s="243"/>
      <c r="G13" s="246"/>
      <c r="H13" s="247"/>
      <c r="I13" s="247"/>
    </row>
    <row r="14" spans="1:16" ht="20.25" customHeight="1" x14ac:dyDescent="0.25">
      <c r="A14" s="240"/>
      <c r="C14" s="241"/>
      <c r="D14" s="242"/>
      <c r="E14" s="243"/>
      <c r="F14" s="243"/>
      <c r="G14" s="248"/>
      <c r="H14" s="247"/>
      <c r="I14" s="247"/>
      <c r="P14" s="249" t="s">
        <v>124</v>
      </c>
    </row>
    <row r="15" spans="1:16" ht="15.75" x14ac:dyDescent="0.25">
      <c r="A15" s="240"/>
      <c r="C15" s="241"/>
      <c r="D15" s="242"/>
      <c r="E15" s="243"/>
      <c r="F15" s="243"/>
      <c r="G15" s="248"/>
      <c r="H15" s="247"/>
      <c r="I15" s="247"/>
    </row>
    <row r="16" spans="1:16" ht="15.75" x14ac:dyDescent="0.25">
      <c r="A16" s="240"/>
      <c r="C16" s="241"/>
      <c r="D16" s="242"/>
      <c r="E16" s="243"/>
      <c r="F16" s="243"/>
      <c r="G16" s="248"/>
      <c r="H16" s="247"/>
      <c r="I16" s="247"/>
    </row>
    <row r="17" spans="1:10" ht="15.75" x14ac:dyDescent="0.25">
      <c r="A17" s="240"/>
      <c r="C17" s="241"/>
      <c r="D17" s="242"/>
      <c r="E17" s="243"/>
      <c r="F17" s="243"/>
      <c r="G17" s="248"/>
      <c r="H17" s="247"/>
      <c r="I17" s="247"/>
    </row>
    <row r="18" spans="1:10" ht="15.75" x14ac:dyDescent="0.25">
      <c r="A18" s="240"/>
      <c r="C18" s="241"/>
      <c r="D18" s="242"/>
      <c r="E18" s="243"/>
      <c r="F18" s="243"/>
      <c r="G18" s="248"/>
      <c r="H18" s="247"/>
      <c r="I18" s="247"/>
    </row>
    <row r="19" spans="1:10" ht="12.75" customHeight="1" x14ac:dyDescent="0.25">
      <c r="A19" s="240"/>
      <c r="C19" s="241"/>
      <c r="D19" s="250"/>
      <c r="E19" s="251"/>
      <c r="F19" s="243"/>
      <c r="G19" s="248"/>
      <c r="H19" s="247"/>
      <c r="I19" s="247"/>
    </row>
    <row r="20" spans="1:10" ht="15.75" x14ac:dyDescent="0.25">
      <c r="A20" s="240"/>
      <c r="C20" s="241"/>
      <c r="D20" s="250"/>
      <c r="E20" s="252"/>
      <c r="F20" s="243"/>
      <c r="G20" s="248"/>
      <c r="H20" s="247"/>
      <c r="I20" s="247"/>
    </row>
    <row r="21" spans="1:10" ht="43.5" customHeight="1" x14ac:dyDescent="0.2">
      <c r="D21" s="250"/>
      <c r="E21" s="253"/>
      <c r="F21" s="253"/>
      <c r="G21" s="247"/>
      <c r="H21" s="247"/>
      <c r="I21" s="247"/>
    </row>
    <row r="22" spans="1:10" ht="15.75" x14ac:dyDescent="0.2">
      <c r="A22" s="807" t="s">
        <v>125</v>
      </c>
      <c r="B22" s="808"/>
      <c r="C22" s="808"/>
      <c r="D22" s="808"/>
      <c r="E22" s="808"/>
      <c r="F22" s="809" t="s">
        <v>126</v>
      </c>
      <c r="G22" s="808"/>
      <c r="H22" s="808"/>
      <c r="I22" s="810"/>
    </row>
    <row r="23" spans="1:10" x14ac:dyDescent="0.2">
      <c r="D23" s="250"/>
      <c r="E23" s="253"/>
      <c r="F23" s="253"/>
      <c r="G23" s="247"/>
      <c r="H23" s="247"/>
      <c r="I23" s="247"/>
    </row>
    <row r="24" spans="1:10" x14ac:dyDescent="0.2">
      <c r="D24" s="250"/>
      <c r="E24" s="253"/>
      <c r="F24" s="253"/>
      <c r="G24" s="247"/>
      <c r="H24" s="247"/>
      <c r="I24" s="247"/>
    </row>
    <row r="25" spans="1:10" ht="15.75" x14ac:dyDescent="0.2">
      <c r="A25" s="811"/>
      <c r="B25" s="812"/>
      <c r="C25" s="812"/>
      <c r="D25" s="812"/>
      <c r="E25" s="812"/>
      <c r="F25" s="813"/>
      <c r="G25" s="247"/>
      <c r="H25" s="247"/>
      <c r="I25" s="247"/>
    </row>
    <row r="26" spans="1:10" ht="15.75" x14ac:dyDescent="0.25">
      <c r="A26" s="254"/>
      <c r="B26" s="255"/>
      <c r="C26" s="255"/>
      <c r="D26" s="255"/>
      <c r="E26" s="255"/>
      <c r="F26" s="256"/>
      <c r="G26" s="257"/>
      <c r="H26" s="257"/>
      <c r="I26" s="258"/>
      <c r="J26" s="250"/>
    </row>
    <row r="27" spans="1:10" x14ac:dyDescent="0.2">
      <c r="D27" s="250"/>
      <c r="E27" s="253"/>
      <c r="F27" s="253"/>
      <c r="G27" s="247"/>
      <c r="H27" s="247"/>
      <c r="I27" s="247"/>
    </row>
    <row r="28" spans="1:10" x14ac:dyDescent="0.2">
      <c r="D28" s="250"/>
      <c r="E28" s="253"/>
      <c r="F28" s="253"/>
      <c r="G28" s="247"/>
      <c r="H28" s="247"/>
      <c r="I28" s="247"/>
    </row>
    <row r="29" spans="1:10" x14ac:dyDescent="0.2">
      <c r="D29" s="250"/>
      <c r="E29" s="253"/>
      <c r="F29" s="253"/>
      <c r="G29" s="247"/>
      <c r="H29" s="247"/>
      <c r="I29" s="247"/>
    </row>
    <row r="30" spans="1:10" x14ac:dyDescent="0.2">
      <c r="A30" s="250"/>
      <c r="B30" s="250"/>
      <c r="C30" s="250"/>
      <c r="D30" s="250"/>
      <c r="E30" s="259"/>
      <c r="F30" s="260"/>
      <c r="G30" s="261"/>
      <c r="H30" s="261"/>
      <c r="I30" s="261"/>
    </row>
    <row r="31" spans="1:10" ht="15.75" x14ac:dyDescent="0.2">
      <c r="A31" s="262"/>
      <c r="B31" s="263"/>
      <c r="C31" s="263"/>
      <c r="D31" s="263"/>
      <c r="E31" s="263"/>
      <c r="F31" s="261"/>
      <c r="G31" s="261"/>
      <c r="H31" s="261"/>
      <c r="I31" s="261"/>
    </row>
    <row r="32" spans="1:10" x14ac:dyDescent="0.2">
      <c r="A32" s="250"/>
      <c r="B32" s="250"/>
      <c r="C32" s="250"/>
      <c r="D32" s="250"/>
      <c r="E32" s="250"/>
      <c r="F32" s="261"/>
      <c r="G32" s="261"/>
      <c r="H32" s="261"/>
      <c r="I32" s="261"/>
    </row>
    <row r="33" spans="1:9" x14ac:dyDescent="0.2">
      <c r="A33" s="264"/>
      <c r="B33" s="265"/>
      <c r="C33" s="265"/>
      <c r="D33" s="264"/>
      <c r="E33" s="264"/>
      <c r="F33" s="261"/>
      <c r="G33" s="261"/>
      <c r="H33" s="261"/>
      <c r="I33" s="261"/>
    </row>
    <row r="34" spans="1:9" x14ac:dyDescent="0.2">
      <c r="A34" s="266"/>
      <c r="B34" s="266"/>
      <c r="C34" s="266"/>
      <c r="D34" s="266"/>
      <c r="E34" s="266"/>
      <c r="F34" s="261"/>
      <c r="G34" s="261"/>
      <c r="H34" s="261"/>
      <c r="I34" s="261"/>
    </row>
    <row r="35" spans="1:9" x14ac:dyDescent="0.2">
      <c r="A35" s="267"/>
      <c r="B35" s="268"/>
      <c r="C35" s="268"/>
      <c r="D35" s="269"/>
      <c r="E35" s="269"/>
      <c r="F35" s="261"/>
      <c r="G35" s="261"/>
      <c r="H35" s="261"/>
      <c r="I35" s="261"/>
    </row>
    <row r="36" spans="1:9" x14ac:dyDescent="0.2">
      <c r="A36" s="268"/>
      <c r="B36" s="268"/>
      <c r="C36" s="268"/>
      <c r="D36" s="269"/>
      <c r="E36" s="269"/>
      <c r="F36" s="261"/>
      <c r="G36" s="261"/>
      <c r="H36" s="261"/>
      <c r="I36" s="261"/>
    </row>
    <row r="37" spans="1:9" x14ac:dyDescent="0.2">
      <c r="A37" s="267"/>
      <c r="B37" s="268"/>
      <c r="C37" s="268"/>
      <c r="D37" s="269"/>
      <c r="E37" s="269"/>
      <c r="F37" s="261"/>
      <c r="G37" s="261"/>
      <c r="H37" s="261"/>
      <c r="I37" s="261"/>
    </row>
    <row r="38" spans="1:9" ht="15.75" x14ac:dyDescent="0.2">
      <c r="A38" s="270"/>
      <c r="B38" s="271"/>
      <c r="C38" s="271"/>
      <c r="D38" s="271"/>
      <c r="E38" s="271"/>
      <c r="F38" s="261"/>
      <c r="G38" s="261"/>
      <c r="H38" s="261"/>
      <c r="I38" s="261"/>
    </row>
    <row r="39" spans="1:9" x14ac:dyDescent="0.2">
      <c r="A39" s="267"/>
      <c r="B39" s="268"/>
      <c r="C39" s="268"/>
      <c r="D39" s="269"/>
      <c r="E39" s="269"/>
      <c r="F39" s="261"/>
      <c r="G39" s="261"/>
      <c r="H39" s="261"/>
      <c r="I39" s="261"/>
    </row>
    <row r="40" spans="1:9" x14ac:dyDescent="0.2">
      <c r="A40" s="268"/>
      <c r="B40" s="268"/>
      <c r="C40" s="268"/>
      <c r="D40" s="269"/>
      <c r="E40" s="269"/>
      <c r="F40" s="261"/>
      <c r="G40" s="261"/>
      <c r="H40" s="261"/>
      <c r="I40" s="261"/>
    </row>
    <row r="41" spans="1:9" x14ac:dyDescent="0.2">
      <c r="A41" s="267"/>
      <c r="B41" s="268"/>
      <c r="C41" s="268"/>
      <c r="D41" s="269"/>
      <c r="E41" s="269"/>
      <c r="F41" s="261"/>
      <c r="G41" s="261"/>
      <c r="H41" s="261"/>
      <c r="I41" s="261"/>
    </row>
    <row r="42" spans="1:9" x14ac:dyDescent="0.2">
      <c r="A42" s="268"/>
      <c r="B42" s="268"/>
      <c r="C42" s="268"/>
      <c r="D42" s="269"/>
      <c r="E42" s="269"/>
      <c r="F42" s="261"/>
      <c r="G42" s="261"/>
      <c r="H42" s="261"/>
      <c r="I42" s="261"/>
    </row>
    <row r="43" spans="1:9" x14ac:dyDescent="0.2">
      <c r="A43" s="267"/>
      <c r="B43" s="268"/>
      <c r="C43" s="268"/>
      <c r="D43" s="269"/>
      <c r="E43" s="269"/>
      <c r="F43" s="261"/>
      <c r="G43" s="261"/>
      <c r="H43" s="261"/>
      <c r="I43" s="261"/>
    </row>
    <row r="44" spans="1:9" x14ac:dyDescent="0.2">
      <c r="A44" s="268"/>
      <c r="B44" s="268"/>
      <c r="C44" s="268"/>
      <c r="D44" s="269"/>
      <c r="E44" s="269"/>
      <c r="F44" s="261"/>
      <c r="G44" s="261"/>
      <c r="H44" s="261"/>
      <c r="I44" s="261"/>
    </row>
    <row r="45" spans="1:9" x14ac:dyDescent="0.2">
      <c r="A45" s="268"/>
      <c r="B45" s="268"/>
      <c r="C45" s="268"/>
      <c r="D45" s="269"/>
      <c r="E45" s="269"/>
      <c r="F45" s="261"/>
      <c r="G45" s="261"/>
      <c r="H45" s="261"/>
      <c r="I45" s="261"/>
    </row>
    <row r="46" spans="1:9" x14ac:dyDescent="0.2">
      <c r="A46" s="268"/>
      <c r="B46" s="268"/>
      <c r="C46" s="268"/>
      <c r="D46" s="269"/>
      <c r="E46" s="269"/>
      <c r="F46" s="261"/>
      <c r="G46" s="261"/>
      <c r="H46" s="261"/>
      <c r="I46" s="261"/>
    </row>
    <row r="47" spans="1:9" x14ac:dyDescent="0.2">
      <c r="A47" s="267"/>
      <c r="B47" s="268"/>
      <c r="C47" s="268"/>
      <c r="D47" s="269"/>
      <c r="E47" s="269"/>
      <c r="F47" s="261"/>
      <c r="G47" s="261"/>
      <c r="H47" s="261"/>
      <c r="I47" s="261"/>
    </row>
    <row r="48" spans="1:9" x14ac:dyDescent="0.2">
      <c r="A48" s="268"/>
      <c r="B48" s="268"/>
      <c r="C48" s="268"/>
      <c r="D48" s="269"/>
      <c r="E48" s="269"/>
      <c r="F48" s="261"/>
      <c r="G48" s="261"/>
      <c r="H48" s="261"/>
      <c r="I48" s="261"/>
    </row>
    <row r="49" spans="1:9" x14ac:dyDescent="0.2">
      <c r="A49" s="268"/>
      <c r="B49" s="268"/>
      <c r="C49" s="268"/>
      <c r="D49" s="269"/>
      <c r="E49" s="269"/>
      <c r="F49" s="261"/>
      <c r="G49" s="261"/>
      <c r="H49" s="261"/>
      <c r="I49" s="261"/>
    </row>
    <row r="50" spans="1:9" ht="15" customHeight="1" x14ac:dyDescent="0.2">
      <c r="A50" s="250"/>
      <c r="B50" s="250"/>
      <c r="C50" s="250"/>
      <c r="D50" s="250"/>
      <c r="E50" s="259"/>
      <c r="F50" s="272"/>
      <c r="G50" s="272"/>
      <c r="H50" s="272"/>
      <c r="I50" s="272"/>
    </row>
    <row r="51" spans="1:9" ht="15.75" x14ac:dyDescent="0.2">
      <c r="A51" s="273"/>
      <c r="B51" s="273"/>
      <c r="C51" s="273"/>
      <c r="D51" s="273"/>
      <c r="E51" s="273"/>
      <c r="F51" s="273"/>
      <c r="G51" s="273"/>
      <c r="H51" s="273"/>
      <c r="I51" s="273"/>
    </row>
    <row r="52" spans="1:9" x14ac:dyDescent="0.2">
      <c r="A52" s="274"/>
      <c r="B52" s="274"/>
      <c r="C52" s="274"/>
      <c r="D52" s="274"/>
      <c r="E52" s="274"/>
      <c r="F52" s="274"/>
      <c r="G52" s="274"/>
      <c r="H52" s="274"/>
      <c r="I52" s="274"/>
    </row>
    <row r="53" spans="1:9" ht="15.75" customHeight="1" x14ac:dyDescent="0.2">
      <c r="A53" s="275"/>
      <c r="B53" s="275"/>
      <c r="C53" s="275"/>
      <c r="D53" s="275"/>
      <c r="E53" s="275"/>
      <c r="F53" s="275"/>
      <c r="G53" s="276"/>
      <c r="H53" s="276"/>
      <c r="I53" s="277"/>
    </row>
    <row r="54" spans="1:9" ht="15" customHeight="1" x14ac:dyDescent="0.2">
      <c r="A54" s="274"/>
      <c r="B54" s="274"/>
      <c r="C54" s="274"/>
      <c r="D54" s="274"/>
      <c r="E54" s="274"/>
      <c r="F54" s="274"/>
      <c r="G54" s="274"/>
      <c r="H54" s="274"/>
      <c r="I54" s="277"/>
    </row>
    <row r="55" spans="1:9" ht="24.75" customHeight="1" x14ac:dyDescent="0.2">
      <c r="A55" s="274"/>
      <c r="B55" s="274"/>
      <c r="C55" s="274"/>
      <c r="D55" s="274"/>
      <c r="E55" s="274"/>
      <c r="F55" s="274"/>
      <c r="G55" s="274"/>
      <c r="H55" s="274"/>
      <c r="I55" s="277"/>
    </row>
    <row r="56" spans="1:9" x14ac:dyDescent="0.2">
      <c r="A56" s="218"/>
      <c r="B56" s="218"/>
      <c r="C56" s="218"/>
      <c r="D56" s="218"/>
      <c r="E56" s="218"/>
      <c r="F56" s="218"/>
      <c r="G56" s="218"/>
      <c r="H56" s="218"/>
      <c r="I56" s="218"/>
    </row>
    <row r="57" spans="1:9" x14ac:dyDescent="0.2">
      <c r="A57" s="218"/>
      <c r="B57" s="218"/>
      <c r="C57" s="218"/>
      <c r="D57" s="218"/>
      <c r="E57" s="218"/>
      <c r="F57" s="218"/>
      <c r="G57" s="218"/>
      <c r="H57" s="218"/>
      <c r="I57" s="218"/>
    </row>
    <row r="58" spans="1:9" x14ac:dyDescent="0.2">
      <c r="A58" s="218"/>
      <c r="B58" s="218"/>
      <c r="C58" s="218"/>
      <c r="D58" s="218"/>
      <c r="E58" s="218"/>
      <c r="F58" s="218"/>
      <c r="G58" s="218"/>
      <c r="H58" s="218"/>
      <c r="I58" s="218"/>
    </row>
    <row r="59" spans="1:9" x14ac:dyDescent="0.2">
      <c r="A59" s="218"/>
      <c r="B59" s="218"/>
      <c r="C59" s="218"/>
      <c r="D59" s="218"/>
      <c r="E59" s="218"/>
      <c r="F59" s="218"/>
      <c r="G59" s="218"/>
      <c r="H59" s="218"/>
      <c r="I59" s="218"/>
    </row>
    <row r="60" spans="1:9" x14ac:dyDescent="0.2">
      <c r="A60" s="218"/>
      <c r="B60" s="218"/>
      <c r="C60" s="218"/>
      <c r="D60" s="218"/>
      <c r="E60" s="218"/>
      <c r="F60" s="218"/>
      <c r="G60" s="218"/>
      <c r="H60" s="218"/>
      <c r="I60" s="218"/>
    </row>
    <row r="61" spans="1:9" s="232" customFormat="1" ht="3.75" customHeight="1" x14ac:dyDescent="0.2">
      <c r="A61" s="222"/>
      <c r="B61" s="222"/>
      <c r="C61" s="222"/>
      <c r="D61" s="222"/>
      <c r="E61" s="222"/>
      <c r="F61" s="222"/>
      <c r="G61" s="222"/>
      <c r="H61" s="222"/>
      <c r="I61" s="222"/>
    </row>
    <row r="62" spans="1:9" ht="15.75" x14ac:dyDescent="0.2">
      <c r="A62" s="807" t="s">
        <v>125</v>
      </c>
      <c r="B62" s="808"/>
      <c r="C62" s="808"/>
      <c r="D62" s="808"/>
      <c r="E62" s="808"/>
      <c r="F62" s="809" t="s">
        <v>126</v>
      </c>
      <c r="G62" s="808"/>
      <c r="H62" s="808"/>
      <c r="I62" s="810"/>
    </row>
    <row r="63" spans="1:9" s="232" customFormat="1" ht="15.75" x14ac:dyDescent="0.2">
      <c r="A63" s="278"/>
      <c r="B63" s="279"/>
      <c r="C63" s="279"/>
      <c r="D63" s="279"/>
      <c r="E63" s="279"/>
      <c r="F63" s="278"/>
      <c r="G63" s="279"/>
      <c r="H63" s="279"/>
      <c r="I63" s="279"/>
    </row>
    <row r="64" spans="1:9" ht="18.75" x14ac:dyDescent="0.2">
      <c r="A64" s="222"/>
      <c r="B64" s="233"/>
      <c r="C64" s="234"/>
      <c r="D64" s="233"/>
      <c r="E64" s="233"/>
      <c r="F64" s="233"/>
      <c r="G64" s="233"/>
      <c r="H64" s="233"/>
      <c r="I64" s="222"/>
    </row>
    <row r="65" spans="1:9" ht="18.75" x14ac:dyDescent="0.2">
      <c r="A65" s="222"/>
      <c r="B65" s="239"/>
      <c r="C65" s="234"/>
      <c r="D65" s="280"/>
      <c r="E65" s="234"/>
      <c r="F65" s="280"/>
      <c r="G65" s="234"/>
      <c r="H65" s="239"/>
    </row>
    <row r="66" spans="1:9" ht="15.75" x14ac:dyDescent="0.25">
      <c r="A66" s="222"/>
      <c r="B66" s="245"/>
      <c r="C66" s="245"/>
      <c r="D66" s="245"/>
      <c r="E66" s="245"/>
      <c r="F66" s="245"/>
      <c r="G66" s="245"/>
      <c r="H66" s="245"/>
      <c r="I66" s="222"/>
    </row>
    <row r="67" spans="1:9" ht="15.75" x14ac:dyDescent="0.2">
      <c r="A67" s="811"/>
      <c r="B67" s="812"/>
      <c r="C67" s="812"/>
      <c r="D67" s="812"/>
      <c r="E67" s="812"/>
      <c r="F67" s="813"/>
      <c r="G67" s="281"/>
      <c r="H67" s="247"/>
      <c r="I67" s="247"/>
    </row>
    <row r="68" spans="1:9" ht="15.75" x14ac:dyDescent="0.2">
      <c r="D68" s="250"/>
      <c r="E68" s="270"/>
      <c r="F68" s="270"/>
      <c r="G68" s="247"/>
      <c r="H68" s="247"/>
      <c r="I68" s="247"/>
    </row>
    <row r="69" spans="1:9" ht="15.75" x14ac:dyDescent="0.2">
      <c r="D69" s="250"/>
      <c r="E69" s="270"/>
      <c r="F69" s="270"/>
      <c r="G69" s="247"/>
      <c r="H69" s="247"/>
      <c r="I69" s="247"/>
    </row>
    <row r="70" spans="1:9" x14ac:dyDescent="0.2">
      <c r="D70" s="250"/>
      <c r="E70" s="253"/>
      <c r="F70" s="253"/>
      <c r="G70" s="247"/>
      <c r="H70" s="247"/>
      <c r="I70" s="247"/>
    </row>
    <row r="71" spans="1:9" x14ac:dyDescent="0.2">
      <c r="D71" s="250"/>
      <c r="E71" s="253"/>
      <c r="F71" s="253"/>
      <c r="G71" s="247"/>
      <c r="H71" s="247"/>
      <c r="I71" s="247"/>
    </row>
    <row r="72" spans="1:9" x14ac:dyDescent="0.2">
      <c r="D72" s="250"/>
      <c r="E72" s="253"/>
      <c r="F72" s="253"/>
      <c r="G72" s="247"/>
      <c r="H72" s="247"/>
      <c r="I72" s="247"/>
    </row>
    <row r="73" spans="1:9" x14ac:dyDescent="0.2">
      <c r="D73" s="250"/>
      <c r="E73" s="253"/>
      <c r="F73" s="253"/>
      <c r="G73" s="247"/>
      <c r="H73" s="247"/>
      <c r="I73" s="247"/>
    </row>
    <row r="74" spans="1:9" x14ac:dyDescent="0.2">
      <c r="D74" s="250"/>
      <c r="E74" s="253"/>
      <c r="F74" s="253"/>
      <c r="G74" s="247"/>
      <c r="H74" s="247"/>
      <c r="I74" s="247"/>
    </row>
    <row r="75" spans="1:9" x14ac:dyDescent="0.2">
      <c r="D75" s="250"/>
      <c r="E75" s="253"/>
      <c r="F75" s="253"/>
      <c r="G75" s="247"/>
      <c r="H75" s="247"/>
      <c r="I75" s="247"/>
    </row>
    <row r="76" spans="1:9" x14ac:dyDescent="0.2">
      <c r="D76" s="250"/>
      <c r="E76" s="253"/>
      <c r="F76" s="253"/>
      <c r="G76" s="247"/>
      <c r="H76" s="247"/>
      <c r="I76" s="247"/>
    </row>
    <row r="77" spans="1:9" x14ac:dyDescent="0.2">
      <c r="D77" s="250"/>
      <c r="E77" s="253"/>
      <c r="F77" s="253"/>
      <c r="G77" s="247"/>
      <c r="H77" s="247"/>
      <c r="I77" s="247"/>
    </row>
    <row r="78" spans="1:9" x14ac:dyDescent="0.2">
      <c r="D78" s="250"/>
      <c r="E78" s="253"/>
      <c r="F78" s="253"/>
      <c r="G78" s="247"/>
      <c r="H78" s="247"/>
      <c r="I78" s="247"/>
    </row>
    <row r="79" spans="1:9" ht="28.5" customHeight="1" x14ac:dyDescent="0.2">
      <c r="D79" s="250"/>
      <c r="E79" s="253"/>
      <c r="F79" s="253"/>
      <c r="G79" s="247"/>
      <c r="H79" s="247"/>
      <c r="I79" s="247"/>
    </row>
    <row r="80" spans="1:9" ht="15.75" x14ac:dyDescent="0.2">
      <c r="A80" s="811"/>
      <c r="B80" s="812"/>
      <c r="C80" s="812"/>
      <c r="D80" s="812"/>
      <c r="E80" s="812"/>
      <c r="F80" s="813"/>
      <c r="G80" s="247"/>
      <c r="H80" s="247"/>
      <c r="I80" s="247"/>
    </row>
    <row r="81" spans="1:9" ht="15.75" x14ac:dyDescent="0.2">
      <c r="A81" s="814"/>
      <c r="B81" s="814"/>
      <c r="C81" s="814"/>
      <c r="D81" s="814"/>
      <c r="E81" s="814"/>
      <c r="F81" s="815"/>
      <c r="G81" s="247"/>
      <c r="H81" s="247"/>
      <c r="I81" s="247"/>
    </row>
    <row r="82" spans="1:9" x14ac:dyDescent="0.2">
      <c r="D82" s="250"/>
      <c r="E82" s="253"/>
      <c r="F82" s="253"/>
      <c r="G82" s="247"/>
      <c r="H82" s="247"/>
      <c r="I82" s="247"/>
    </row>
    <row r="83" spans="1:9" x14ac:dyDescent="0.2">
      <c r="D83" s="250"/>
      <c r="E83" s="253"/>
      <c r="F83" s="253"/>
      <c r="G83" s="247"/>
      <c r="H83" s="247"/>
      <c r="I83" s="247"/>
    </row>
    <row r="84" spans="1:9" x14ac:dyDescent="0.2">
      <c r="D84" s="250"/>
      <c r="E84" s="253"/>
      <c r="F84" s="253"/>
      <c r="G84" s="247"/>
      <c r="H84" s="247"/>
      <c r="I84" s="247"/>
    </row>
    <row r="85" spans="1:9" x14ac:dyDescent="0.2">
      <c r="A85" s="250"/>
      <c r="B85" s="250"/>
      <c r="C85" s="250"/>
      <c r="D85" s="250"/>
      <c r="E85" s="259"/>
      <c r="F85" s="282"/>
      <c r="G85" s="283"/>
      <c r="H85" s="283"/>
      <c r="I85" s="283"/>
    </row>
    <row r="86" spans="1:9" ht="15.75" x14ac:dyDescent="0.2">
      <c r="A86" s="262"/>
      <c r="B86" s="263"/>
      <c r="C86" s="263"/>
      <c r="D86" s="263"/>
      <c r="E86" s="263"/>
      <c r="F86" s="283"/>
      <c r="G86" s="283"/>
      <c r="H86" s="283"/>
      <c r="I86" s="283"/>
    </row>
    <row r="87" spans="1:9" x14ac:dyDescent="0.2">
      <c r="A87" s="250"/>
      <c r="B87" s="250"/>
      <c r="C87" s="250"/>
      <c r="D87" s="250"/>
      <c r="E87" s="250"/>
      <c r="F87" s="283"/>
      <c r="G87" s="283"/>
      <c r="H87" s="283"/>
      <c r="I87" s="283"/>
    </row>
    <row r="88" spans="1:9" x14ac:dyDescent="0.2">
      <c r="A88" s="264"/>
      <c r="B88" s="265"/>
      <c r="C88" s="265"/>
      <c r="D88" s="264"/>
      <c r="E88" s="264"/>
      <c r="F88" s="283"/>
      <c r="G88" s="283"/>
      <c r="H88" s="283"/>
      <c r="I88" s="283"/>
    </row>
    <row r="89" spans="1:9" x14ac:dyDescent="0.2">
      <c r="A89" s="266"/>
      <c r="B89" s="266"/>
      <c r="C89" s="266"/>
      <c r="D89" s="266"/>
      <c r="E89" s="266"/>
      <c r="F89" s="283"/>
      <c r="G89" s="283"/>
      <c r="H89" s="283"/>
      <c r="I89" s="283"/>
    </row>
    <row r="90" spans="1:9" x14ac:dyDescent="0.2">
      <c r="A90" s="267"/>
      <c r="B90" s="268"/>
      <c r="C90" s="268"/>
      <c r="D90" s="269"/>
      <c r="E90" s="269"/>
      <c r="F90" s="283"/>
      <c r="G90" s="283"/>
      <c r="H90" s="283"/>
      <c r="I90" s="283"/>
    </row>
    <row r="91" spans="1:9" x14ac:dyDescent="0.2">
      <c r="A91" s="268"/>
      <c r="B91" s="268"/>
      <c r="C91" s="268"/>
      <c r="D91" s="269"/>
      <c r="E91" s="269"/>
      <c r="F91" s="283"/>
      <c r="G91" s="283"/>
      <c r="H91" s="283"/>
      <c r="I91" s="283"/>
    </row>
    <row r="92" spans="1:9" x14ac:dyDescent="0.2">
      <c r="A92" s="267"/>
      <c r="B92" s="268"/>
      <c r="C92" s="268"/>
      <c r="D92" s="269"/>
      <c r="E92" s="269"/>
      <c r="F92" s="283"/>
      <c r="G92" s="283"/>
      <c r="H92" s="283"/>
      <c r="I92" s="283"/>
    </row>
    <row r="93" spans="1:9" ht="15.75" x14ac:dyDescent="0.2">
      <c r="A93" s="270"/>
      <c r="B93" s="271"/>
      <c r="C93" s="271"/>
      <c r="D93" s="271"/>
      <c r="E93" s="271"/>
      <c r="F93" s="261"/>
      <c r="G93" s="284"/>
      <c r="H93" s="284"/>
      <c r="I93" s="284"/>
    </row>
    <row r="94" spans="1:9" x14ac:dyDescent="0.2">
      <c r="A94" s="267"/>
      <c r="B94" s="268"/>
      <c r="C94" s="268"/>
      <c r="D94" s="269"/>
      <c r="E94" s="269"/>
      <c r="F94" s="284"/>
      <c r="G94" s="284"/>
      <c r="H94" s="284"/>
      <c r="I94" s="284"/>
    </row>
    <row r="95" spans="1:9" x14ac:dyDescent="0.2">
      <c r="A95" s="268"/>
      <c r="B95" s="268"/>
      <c r="C95" s="268"/>
      <c r="D95" s="269"/>
      <c r="E95" s="269"/>
      <c r="F95" s="284"/>
      <c r="G95" s="284"/>
      <c r="H95" s="284"/>
      <c r="I95" s="284"/>
    </row>
    <row r="96" spans="1:9" x14ac:dyDescent="0.2">
      <c r="A96" s="267"/>
      <c r="B96" s="268"/>
      <c r="C96" s="268"/>
      <c r="D96" s="269"/>
      <c r="E96" s="269"/>
      <c r="F96" s="284"/>
      <c r="G96" s="284"/>
      <c r="H96" s="284"/>
      <c r="I96" s="284"/>
    </row>
    <row r="97" spans="1:9" x14ac:dyDescent="0.2">
      <c r="A97" s="816" t="s">
        <v>127</v>
      </c>
      <c r="B97" s="817"/>
      <c r="C97" s="817"/>
      <c r="D97" s="817"/>
      <c r="E97" s="817"/>
      <c r="F97" s="817"/>
      <c r="G97" s="818"/>
      <c r="H97" s="818"/>
      <c r="I97" s="818"/>
    </row>
    <row r="98" spans="1:9" x14ac:dyDescent="0.2">
      <c r="A98" s="267"/>
      <c r="B98" s="268"/>
      <c r="C98" s="268"/>
      <c r="D98" s="269"/>
      <c r="E98" s="269"/>
      <c r="F98" s="284"/>
      <c r="G98" s="284"/>
      <c r="H98" s="284"/>
      <c r="I98" s="284"/>
    </row>
    <row r="99" spans="1:9" x14ac:dyDescent="0.2">
      <c r="A99" s="267"/>
      <c r="B99" s="268"/>
      <c r="C99" s="268"/>
      <c r="D99" s="269"/>
      <c r="E99" s="269"/>
      <c r="F99" s="284"/>
      <c r="G99" s="284"/>
      <c r="H99" s="284"/>
      <c r="I99" s="284"/>
    </row>
    <row r="100" spans="1:9" x14ac:dyDescent="0.2">
      <c r="A100" s="267"/>
      <c r="B100" s="268"/>
      <c r="C100" s="268"/>
      <c r="D100" s="269"/>
      <c r="E100" s="269"/>
      <c r="F100" s="284"/>
      <c r="G100" s="284"/>
      <c r="H100" s="284"/>
      <c r="I100" s="284"/>
    </row>
    <row r="101" spans="1:9" x14ac:dyDescent="0.2">
      <c r="A101" s="267"/>
      <c r="B101" s="268"/>
      <c r="C101" s="268"/>
      <c r="D101" s="269"/>
      <c r="E101" s="269"/>
      <c r="F101" s="284"/>
      <c r="G101" s="284"/>
      <c r="H101" s="284"/>
      <c r="I101" s="284"/>
    </row>
    <row r="102" spans="1:9" x14ac:dyDescent="0.2">
      <c r="A102" s="267"/>
      <c r="B102" s="268"/>
      <c r="C102" s="268"/>
      <c r="D102" s="269"/>
      <c r="E102" s="269"/>
      <c r="F102" s="284"/>
      <c r="G102" s="284"/>
      <c r="H102" s="284"/>
      <c r="I102" s="284"/>
    </row>
    <row r="103" spans="1:9" x14ac:dyDescent="0.2">
      <c r="A103" s="267"/>
      <c r="B103" s="268"/>
      <c r="C103" s="268"/>
      <c r="D103" s="269"/>
      <c r="E103" s="269"/>
      <c r="F103" s="284"/>
      <c r="G103" s="284"/>
      <c r="H103" s="284"/>
      <c r="I103" s="284"/>
    </row>
    <row r="104" spans="1:9" x14ac:dyDescent="0.2">
      <c r="A104" s="267"/>
      <c r="B104" s="268"/>
      <c r="C104" s="268"/>
      <c r="D104" s="269"/>
      <c r="E104" s="269"/>
      <c r="F104" s="284"/>
      <c r="G104" s="284"/>
      <c r="H104" s="284"/>
      <c r="I104" s="284"/>
    </row>
    <row r="105" spans="1:9" x14ac:dyDescent="0.2">
      <c r="A105" s="267"/>
      <c r="B105" s="268"/>
      <c r="C105" s="268"/>
      <c r="D105" s="269"/>
      <c r="E105" s="269"/>
      <c r="F105" s="284"/>
      <c r="G105" s="284"/>
      <c r="H105" s="284"/>
      <c r="I105" s="284"/>
    </row>
    <row r="106" spans="1:9" ht="51" customHeight="1" x14ac:dyDescent="0.2">
      <c r="A106" s="267"/>
      <c r="B106" s="268"/>
      <c r="C106" s="268"/>
      <c r="D106" s="269"/>
      <c r="E106" s="269"/>
      <c r="F106" s="284"/>
      <c r="G106" s="284"/>
      <c r="H106" s="284"/>
      <c r="I106" s="284"/>
    </row>
    <row r="107" spans="1:9" x14ac:dyDescent="0.2">
      <c r="A107" s="267"/>
      <c r="B107" s="268"/>
      <c r="C107" s="268"/>
      <c r="D107" s="269"/>
      <c r="E107" s="269"/>
      <c r="F107" s="284"/>
      <c r="G107" s="284"/>
      <c r="H107" s="284"/>
      <c r="I107" s="284"/>
    </row>
    <row r="108" spans="1:9" x14ac:dyDescent="0.2">
      <c r="A108" s="267"/>
      <c r="B108" s="268"/>
      <c r="C108" s="268"/>
      <c r="D108" s="269"/>
      <c r="E108" s="269"/>
      <c r="F108" s="284"/>
      <c r="G108" s="284"/>
      <c r="H108" s="284"/>
      <c r="I108" s="284"/>
    </row>
    <row r="109" spans="1:9" x14ac:dyDescent="0.2">
      <c r="A109" s="267"/>
      <c r="B109" s="268"/>
      <c r="C109" s="268"/>
      <c r="D109" s="269"/>
      <c r="E109" s="269"/>
      <c r="F109" s="284"/>
      <c r="G109" s="284"/>
      <c r="H109" s="284"/>
      <c r="I109" s="284"/>
    </row>
    <row r="110" spans="1:9" x14ac:dyDescent="0.2">
      <c r="A110" s="267"/>
      <c r="B110" s="268"/>
      <c r="C110" s="268"/>
      <c r="D110" s="269"/>
      <c r="E110" s="269"/>
      <c r="F110" s="284"/>
      <c r="G110" s="284"/>
      <c r="H110" s="284"/>
      <c r="I110" s="284"/>
    </row>
    <row r="111" spans="1:9" x14ac:dyDescent="0.2">
      <c r="A111" s="267"/>
      <c r="B111" s="268"/>
      <c r="C111" s="268"/>
      <c r="D111" s="269"/>
      <c r="E111" s="269"/>
      <c r="F111" s="284"/>
      <c r="G111" s="284"/>
      <c r="H111" s="284"/>
      <c r="I111" s="284"/>
    </row>
    <row r="112" spans="1:9" x14ac:dyDescent="0.2">
      <c r="A112" s="267"/>
      <c r="B112" s="268"/>
      <c r="C112" s="268"/>
      <c r="D112" s="269"/>
      <c r="E112" s="269"/>
      <c r="F112" s="284"/>
      <c r="G112" s="284"/>
      <c r="H112" s="284"/>
      <c r="I112" s="284"/>
    </row>
    <row r="113" spans="1:9" x14ac:dyDescent="0.2">
      <c r="A113" s="218"/>
      <c r="B113" s="218"/>
      <c r="C113" s="218"/>
      <c r="D113" s="218"/>
      <c r="E113" s="218"/>
      <c r="F113" s="218"/>
      <c r="G113" s="218"/>
      <c r="H113" s="218"/>
      <c r="I113" s="218"/>
    </row>
    <row r="114" spans="1:9" x14ac:dyDescent="0.2">
      <c r="A114" s="218"/>
      <c r="B114" s="218"/>
      <c r="C114" s="218"/>
      <c r="D114" s="218"/>
      <c r="E114" s="218"/>
      <c r="F114" s="218"/>
      <c r="G114" s="218"/>
      <c r="H114" s="218"/>
      <c r="I114" s="218"/>
    </row>
    <row r="115" spans="1:9" x14ac:dyDescent="0.2">
      <c r="A115" s="218"/>
      <c r="B115" s="218"/>
      <c r="C115" s="218"/>
      <c r="D115" s="218"/>
      <c r="E115" s="218"/>
      <c r="F115" s="218"/>
      <c r="G115" s="218"/>
      <c r="H115" s="218"/>
      <c r="I115" s="218"/>
    </row>
    <row r="116" spans="1:9" x14ac:dyDescent="0.2">
      <c r="A116" s="218"/>
      <c r="B116" s="218"/>
      <c r="C116" s="218"/>
      <c r="D116" s="218"/>
      <c r="E116" s="218"/>
      <c r="F116" s="218"/>
      <c r="G116" s="218"/>
      <c r="H116" s="218"/>
      <c r="I116" s="218"/>
    </row>
    <row r="117" spans="1:9" x14ac:dyDescent="0.2">
      <c r="A117" s="218"/>
      <c r="B117" s="218"/>
      <c r="C117" s="218"/>
      <c r="D117" s="218"/>
      <c r="E117" s="218"/>
      <c r="F117" s="218"/>
      <c r="G117" s="218"/>
      <c r="H117" s="218"/>
      <c r="I117" s="218"/>
    </row>
    <row r="118" spans="1:9" s="232" customFormat="1" ht="3.75" customHeight="1" x14ac:dyDescent="0.2">
      <c r="A118" s="222"/>
      <c r="B118" s="222"/>
      <c r="C118" s="222"/>
      <c r="D118" s="222"/>
      <c r="E118" s="222"/>
      <c r="F118" s="222"/>
      <c r="G118" s="222"/>
      <c r="H118" s="222"/>
      <c r="I118" s="222"/>
    </row>
    <row r="119" spans="1:9" ht="7.9" hidden="1" customHeight="1" x14ac:dyDescent="0.2">
      <c r="A119" s="285"/>
      <c r="B119" s="285"/>
      <c r="C119" s="285"/>
      <c r="D119" s="285"/>
      <c r="E119" s="285"/>
      <c r="F119" s="285"/>
      <c r="G119" s="285"/>
      <c r="H119" s="285"/>
      <c r="I119" s="285"/>
    </row>
    <row r="120" spans="1:9" ht="12.6" customHeight="1" x14ac:dyDescent="0.2">
      <c r="A120" s="816" t="s">
        <v>128</v>
      </c>
      <c r="B120" s="817"/>
      <c r="C120" s="817"/>
      <c r="D120" s="817"/>
      <c r="E120" s="817"/>
      <c r="F120" s="817"/>
      <c r="G120" s="818"/>
      <c r="H120" s="818"/>
      <c r="I120" s="818"/>
    </row>
    <row r="121" spans="1:9" ht="69.75" customHeight="1" x14ac:dyDescent="0.2">
      <c r="A121" s="819" t="s">
        <v>616</v>
      </c>
      <c r="B121" s="820"/>
      <c r="C121" s="820"/>
      <c r="D121" s="820"/>
      <c r="E121" s="820"/>
      <c r="F121" s="820"/>
      <c r="G121" s="820"/>
      <c r="H121" s="820"/>
      <c r="I121" s="820"/>
    </row>
    <row r="122" spans="1:9" ht="69.75" customHeight="1" x14ac:dyDescent="0.2">
      <c r="A122" s="821"/>
      <c r="B122" s="820"/>
      <c r="C122" s="820"/>
      <c r="D122" s="820"/>
      <c r="E122" s="820"/>
      <c r="F122" s="820"/>
      <c r="G122" s="820"/>
      <c r="H122" s="820"/>
      <c r="I122" s="820"/>
    </row>
    <row r="123" spans="1:9" ht="85.5" customHeight="1" x14ac:dyDescent="0.2">
      <c r="A123" s="821"/>
      <c r="B123" s="820"/>
      <c r="C123" s="820"/>
      <c r="D123" s="820"/>
      <c r="E123" s="820"/>
      <c r="F123" s="820"/>
      <c r="G123" s="820"/>
      <c r="H123" s="820"/>
      <c r="I123" s="820"/>
    </row>
    <row r="124" spans="1:9" ht="85.5" customHeight="1" x14ac:dyDescent="0.2">
      <c r="A124" s="821"/>
      <c r="B124" s="820"/>
      <c r="C124" s="820"/>
      <c r="D124" s="820"/>
      <c r="E124" s="820"/>
      <c r="F124" s="820"/>
      <c r="G124" s="820"/>
      <c r="H124" s="820"/>
      <c r="I124" s="820"/>
    </row>
    <row r="125" spans="1:9" ht="85.5" customHeight="1" x14ac:dyDescent="0.2">
      <c r="A125" s="821"/>
      <c r="B125" s="820"/>
      <c r="C125" s="820"/>
      <c r="D125" s="820"/>
      <c r="E125" s="820"/>
      <c r="F125" s="820"/>
      <c r="G125" s="820"/>
      <c r="H125" s="820"/>
      <c r="I125" s="820"/>
    </row>
    <row r="126" spans="1:9" ht="75" customHeight="1" x14ac:dyDescent="0.2">
      <c r="A126" s="821"/>
      <c r="B126" s="820"/>
      <c r="C126" s="820"/>
      <c r="D126" s="820"/>
      <c r="E126" s="820"/>
      <c r="F126" s="820"/>
      <c r="G126" s="820"/>
      <c r="H126" s="820"/>
      <c r="I126" s="820"/>
    </row>
    <row r="127" spans="1:9" ht="111.75" customHeight="1" x14ac:dyDescent="0.2">
      <c r="A127" s="820"/>
      <c r="B127" s="820"/>
      <c r="C127" s="820"/>
      <c r="D127" s="820"/>
      <c r="E127" s="820"/>
      <c r="F127" s="820"/>
      <c r="G127" s="820"/>
      <c r="H127" s="820"/>
      <c r="I127" s="820"/>
    </row>
    <row r="128" spans="1:9" ht="15.75" x14ac:dyDescent="0.2">
      <c r="A128" s="804" t="s">
        <v>57</v>
      </c>
      <c r="B128" s="805"/>
      <c r="C128" s="805"/>
      <c r="D128" s="805"/>
      <c r="E128" s="805"/>
      <c r="F128" s="805"/>
      <c r="G128" s="805"/>
      <c r="H128" s="805"/>
      <c r="I128" s="806"/>
    </row>
    <row r="129" spans="1:9" ht="15.75" x14ac:dyDescent="0.25">
      <c r="A129" s="286" t="s">
        <v>57</v>
      </c>
      <c r="B129" s="286"/>
      <c r="C129" s="286"/>
      <c r="D129" s="286"/>
      <c r="E129" s="286"/>
      <c r="F129" s="286"/>
      <c r="G129" s="287" t="s">
        <v>58</v>
      </c>
      <c r="H129" s="286"/>
      <c r="I129" s="287" t="s">
        <v>59</v>
      </c>
    </row>
    <row r="130" spans="1:9" ht="0.75" customHeight="1" x14ac:dyDescent="0.25">
      <c r="A130" s="801" t="e">
        <f>IF(action2&lt;&gt;0,action2,"")</f>
        <v>#NAME?</v>
      </c>
      <c r="B130" s="802"/>
      <c r="C130" s="802"/>
      <c r="D130" s="802"/>
      <c r="E130" s="802"/>
      <c r="F130" s="803"/>
      <c r="G130" s="801" t="e">
        <f>IF(owner2&lt;&gt;0,owner2,"")</f>
        <v>#NAME?</v>
      </c>
      <c r="H130" s="801"/>
      <c r="I130" s="288" t="e">
        <f>IF(dline2&lt;&gt;0,dline2,"")</f>
        <v>#NAME?</v>
      </c>
    </row>
    <row r="131" spans="1:9" ht="49.9" customHeight="1" x14ac:dyDescent="0.2">
      <c r="A131" s="799" t="str">
        <f>IF('1 EA 2 Data Sheet'!A324=0,"",'1 EA 2 Data Sheet'!A324)</f>
        <v>Detailed analysis of IWS data from National Incident Report System (NIRS) and Case Management System (CMS) to understand discrepancies in reported trends and further review of the use of sub-sector fields to improve clarity, consistency and value of this measure.</v>
      </c>
      <c r="B131" s="799"/>
      <c r="C131" s="799"/>
      <c r="D131" s="799"/>
      <c r="E131" s="799"/>
      <c r="F131" s="800"/>
      <c r="G131" s="799" t="str">
        <f>IF('1 EA 2 Data Sheet'!F324=0,"",'1 EA 2 Data Sheet'!F324)</f>
        <v>Enforcement and Waste Crime Manager</v>
      </c>
      <c r="H131" s="800"/>
      <c r="I131" s="289">
        <v>43190</v>
      </c>
    </row>
    <row r="132" spans="1:9" ht="65.45" customHeight="1" x14ac:dyDescent="0.2">
      <c r="A132" s="799" t="str">
        <f>IF('1 EA 2 Data Sheet'!A328=0,"",'1 EA 2 Data Sheet'!A328)</f>
        <v>Work to be undertaken throughout 2017/18 to understand data and evidence to make meaningful, challenging targets for this Corporate Scorecard measure, ready for financial year 2018/19. Current Corporate Scorecard target to remain static for financial year 2017/18.</v>
      </c>
      <c r="B132" s="799"/>
      <c r="C132" s="799"/>
      <c r="D132" s="799"/>
      <c r="E132" s="799"/>
      <c r="F132" s="800"/>
      <c r="G132" s="799" t="s">
        <v>129</v>
      </c>
      <c r="H132" s="800"/>
      <c r="I132" s="289">
        <v>43190</v>
      </c>
    </row>
    <row r="133" spans="1:9" ht="77.45" customHeight="1" x14ac:dyDescent="0.2">
      <c r="A133" s="799" t="s">
        <v>130</v>
      </c>
      <c r="B133" s="799"/>
      <c r="C133" s="799"/>
      <c r="D133" s="799"/>
      <c r="E133" s="799"/>
      <c r="F133" s="800"/>
      <c r="G133" s="799" t="s">
        <v>131</v>
      </c>
      <c r="H133" s="800"/>
      <c r="I133" s="289">
        <v>43190</v>
      </c>
    </row>
  </sheetData>
  <sheetProtection password="BBC7" sheet="1" objects="1" scenarios="1" selectLockedCells="1" selectUnlockedCells="1"/>
  <mergeCells count="26">
    <mergeCell ref="D11:E11"/>
    <mergeCell ref="H3:I3"/>
    <mergeCell ref="H6:I6"/>
    <mergeCell ref="H7:I7"/>
    <mergeCell ref="A9:F9"/>
    <mergeCell ref="G9:I9"/>
    <mergeCell ref="A128:I128"/>
    <mergeCell ref="A22:E22"/>
    <mergeCell ref="F22:I22"/>
    <mergeCell ref="A25:F25"/>
    <mergeCell ref="A62:E62"/>
    <mergeCell ref="F62:I62"/>
    <mergeCell ref="A67:F67"/>
    <mergeCell ref="A80:F80"/>
    <mergeCell ref="A81:F81"/>
    <mergeCell ref="A97:I97"/>
    <mergeCell ref="A120:I120"/>
    <mergeCell ref="A121:I127"/>
    <mergeCell ref="A133:F133"/>
    <mergeCell ref="G133:H133"/>
    <mergeCell ref="A130:F130"/>
    <mergeCell ref="G130:H130"/>
    <mergeCell ref="A131:F131"/>
    <mergeCell ref="G131:H131"/>
    <mergeCell ref="A132:F132"/>
    <mergeCell ref="G132:H132"/>
  </mergeCells>
  <dataValidations count="1">
    <dataValidation allowBlank="1" showErrorMessage="1" prompt="Select from drop down menu" sqref="D39:E49 D35:E37 D90:E92 D94:E96 D98:E112"/>
  </dataValidations>
  <printOptions horizontalCentered="1"/>
  <pageMargins left="0.23622047244094491" right="0.23622047244094491" top="0.19685039370078741" bottom="0.23622047244094491" header="0.19685039370078741" footer="0.19685039370078741"/>
  <pageSetup paperSize="9" scale="84" orientation="portrait"/>
  <headerFooter differentOddEven="1" differentFirst="1">
    <oddFooter>&amp;R&amp;9Page 3c</oddFooter>
    <evenFooter>&amp;R&amp;9Page 3b</evenFooter>
    <firstFooter>&amp;R&amp;9Page 3a</firstFooter>
  </headerFooter>
  <rowBreaks count="2" manualBreakCount="2">
    <brk id="55" max="8" man="1"/>
    <brk id="112" max="8"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347"/>
  <sheetViews>
    <sheetView zoomScale="80" zoomScaleNormal="80" workbookViewId="0">
      <selection activeCell="B19" sqref="B19"/>
    </sheetView>
  </sheetViews>
  <sheetFormatPr defaultColWidth="12.88671875" defaultRowHeight="15" x14ac:dyDescent="0.2"/>
  <cols>
    <col min="1" max="1" width="15.21875" style="213" customWidth="1"/>
    <col min="2" max="3" width="12.88671875" style="213"/>
    <col min="4" max="4" width="12.88671875" style="213" customWidth="1"/>
    <col min="5" max="5" width="12.88671875" style="213"/>
    <col min="6" max="6" width="19.88671875" style="213" customWidth="1"/>
    <col min="7" max="11" width="12.88671875" style="213"/>
    <col min="12" max="12" width="6.88671875" style="213" customWidth="1"/>
    <col min="13" max="13" width="19" style="213" customWidth="1"/>
    <col min="14" max="18" width="0" style="213" hidden="1" customWidth="1"/>
    <col min="19" max="28" width="12.88671875" style="213"/>
    <col min="29" max="30" width="12.88671875" style="213" customWidth="1"/>
    <col min="31" max="16384" width="12.88671875" style="213"/>
  </cols>
  <sheetData>
    <row r="1" spans="1:10" ht="18.75" x14ac:dyDescent="0.3">
      <c r="A1" s="842" t="s">
        <v>132</v>
      </c>
      <c r="B1" s="843"/>
      <c r="C1" s="843"/>
      <c r="D1" s="843"/>
      <c r="E1" s="843"/>
      <c r="F1" s="843"/>
      <c r="G1" s="829"/>
      <c r="H1" s="829"/>
      <c r="I1" s="829"/>
      <c r="J1" s="829"/>
    </row>
    <row r="2" spans="1:10" ht="15.75" x14ac:dyDescent="0.25">
      <c r="A2" s="844" t="s">
        <v>133</v>
      </c>
      <c r="B2" s="845"/>
      <c r="C2" s="845"/>
      <c r="D2" s="845"/>
      <c r="E2" s="845"/>
      <c r="F2" s="845"/>
      <c r="G2" s="845"/>
      <c r="H2" s="290"/>
      <c r="I2" s="290"/>
    </row>
    <row r="3" spans="1:10" ht="15" customHeight="1" x14ac:dyDescent="0.2">
      <c r="A3" s="846" t="s">
        <v>134</v>
      </c>
      <c r="B3" s="829"/>
      <c r="C3" s="829"/>
      <c r="D3" s="829"/>
      <c r="E3" s="829"/>
      <c r="F3" s="250"/>
      <c r="G3" s="250"/>
      <c r="H3" s="250"/>
      <c r="I3" s="250"/>
      <c r="J3" s="250"/>
    </row>
    <row r="4" spans="1:10" x14ac:dyDescent="0.2">
      <c r="A4" s="829"/>
      <c r="B4" s="829"/>
      <c r="C4" s="829"/>
      <c r="D4" s="829"/>
      <c r="E4" s="829"/>
      <c r="F4" s="250"/>
      <c r="G4" s="250"/>
      <c r="H4" s="250"/>
      <c r="I4" s="250"/>
      <c r="J4" s="250"/>
    </row>
    <row r="5" spans="1:10" ht="15.75" x14ac:dyDescent="0.25">
      <c r="A5" s="291"/>
      <c r="B5" s="291"/>
      <c r="C5" s="290"/>
      <c r="D5" s="290"/>
      <c r="E5" s="290"/>
      <c r="F5" s="290"/>
      <c r="G5" s="290"/>
      <c r="H5" s="290"/>
      <c r="I5" s="290"/>
    </row>
    <row r="6" spans="1:10" ht="15.75" x14ac:dyDescent="0.25">
      <c r="A6" s="292" t="s">
        <v>63</v>
      </c>
      <c r="B6" s="293">
        <v>1</v>
      </c>
      <c r="C6" s="290"/>
      <c r="D6" s="294" t="s">
        <v>64</v>
      </c>
      <c r="E6" s="295"/>
      <c r="F6" s="296"/>
      <c r="G6" s="296"/>
      <c r="H6" s="296"/>
      <c r="I6" s="296"/>
    </row>
    <row r="7" spans="1:10" ht="15.6" customHeight="1" x14ac:dyDescent="0.25">
      <c r="A7" s="297" t="s">
        <v>65</v>
      </c>
      <c r="B7" s="298">
        <v>0</v>
      </c>
      <c r="C7" s="290"/>
      <c r="D7" s="847" t="s">
        <v>135</v>
      </c>
      <c r="E7" s="848"/>
      <c r="F7" s="848"/>
      <c r="G7" s="848"/>
      <c r="H7" s="848"/>
      <c r="I7" s="849"/>
    </row>
    <row r="8" spans="1:10" ht="15.75" x14ac:dyDescent="0.25">
      <c r="A8" s="299" t="s">
        <v>67</v>
      </c>
      <c r="B8" s="300">
        <v>1.1000000000000001</v>
      </c>
      <c r="C8" s="290"/>
      <c r="D8" s="848"/>
      <c r="E8" s="848"/>
      <c r="F8" s="848"/>
      <c r="G8" s="848"/>
      <c r="H8" s="848"/>
      <c r="I8" s="849"/>
    </row>
    <row r="9" spans="1:10" ht="15" customHeight="1" x14ac:dyDescent="0.25">
      <c r="A9" s="299" t="s">
        <v>68</v>
      </c>
      <c r="B9" s="300">
        <v>1</v>
      </c>
      <c r="C9" s="290"/>
      <c r="D9" s="848"/>
      <c r="E9" s="848"/>
      <c r="F9" s="848"/>
      <c r="G9" s="848"/>
      <c r="H9" s="848"/>
      <c r="I9" s="849"/>
    </row>
    <row r="10" spans="1:10" ht="15" customHeight="1" x14ac:dyDescent="0.25">
      <c r="A10" s="301" t="s">
        <v>69</v>
      </c>
      <c r="B10" s="302">
        <v>10000000000</v>
      </c>
      <c r="C10" s="290"/>
      <c r="D10" s="848"/>
      <c r="E10" s="848"/>
      <c r="F10" s="848"/>
      <c r="G10" s="848"/>
      <c r="H10" s="848"/>
      <c r="I10" s="849"/>
    </row>
    <row r="11" spans="1:10" ht="15.75" x14ac:dyDescent="0.25">
      <c r="A11" s="303" t="s">
        <v>70</v>
      </c>
      <c r="B11" s="304">
        <v>1.1000000000000001</v>
      </c>
      <c r="C11" s="290"/>
      <c r="D11" s="850"/>
      <c r="E11" s="850"/>
      <c r="F11" s="850"/>
      <c r="G11" s="850"/>
      <c r="H11" s="850"/>
      <c r="I11" s="849"/>
    </row>
    <row r="12" spans="1:10" ht="15.75" x14ac:dyDescent="0.25">
      <c r="A12" s="291"/>
      <c r="B12" s="291"/>
      <c r="C12" s="290"/>
      <c r="D12" s="850"/>
      <c r="E12" s="850"/>
      <c r="F12" s="850"/>
      <c r="G12" s="850"/>
      <c r="H12" s="850"/>
      <c r="I12" s="849"/>
    </row>
    <row r="13" spans="1:10" ht="15.75" x14ac:dyDescent="0.25">
      <c r="A13" s="305" t="s">
        <v>71</v>
      </c>
      <c r="B13" s="306" t="s">
        <v>72</v>
      </c>
      <c r="C13" s="290"/>
      <c r="D13" s="850"/>
      <c r="E13" s="850"/>
      <c r="F13" s="850"/>
      <c r="G13" s="850"/>
      <c r="H13" s="850"/>
      <c r="I13" s="849"/>
    </row>
    <row r="14" spans="1:10" ht="15.75" x14ac:dyDescent="0.25">
      <c r="A14" s="307" t="s">
        <v>73</v>
      </c>
      <c r="B14" s="308">
        <f>B284</f>
        <v>394</v>
      </c>
      <c r="C14" s="290"/>
      <c r="D14" s="850"/>
      <c r="E14" s="850"/>
      <c r="F14" s="850"/>
      <c r="G14" s="850"/>
      <c r="H14" s="850"/>
      <c r="I14" s="849"/>
    </row>
    <row r="15" spans="1:10" ht="15.75" x14ac:dyDescent="0.25">
      <c r="A15" s="305" t="s">
        <v>121</v>
      </c>
      <c r="B15" s="309">
        <f>D304</f>
        <v>496</v>
      </c>
      <c r="C15" s="290"/>
      <c r="D15" s="850"/>
      <c r="E15" s="850"/>
      <c r="F15" s="850"/>
      <c r="G15" s="850"/>
      <c r="H15" s="850"/>
      <c r="I15" s="849"/>
    </row>
    <row r="16" spans="1:10" ht="15.75" x14ac:dyDescent="0.25">
      <c r="A16" s="305" t="s">
        <v>136</v>
      </c>
      <c r="B16" s="310">
        <f>B14/B15</f>
        <v>0.79435483870967738</v>
      </c>
      <c r="C16" s="290"/>
      <c r="D16" s="850"/>
      <c r="E16" s="850"/>
      <c r="F16" s="850"/>
      <c r="G16" s="850"/>
      <c r="H16" s="850"/>
      <c r="I16" s="849"/>
    </row>
    <row r="17" spans="1:34" ht="15.75" x14ac:dyDescent="0.25">
      <c r="A17" s="305" t="s">
        <v>137</v>
      </c>
      <c r="B17" s="177" t="str">
        <f>IF(B16&gt;B11,"Red", IF(B16&gt;B9,"Amber","Green"))</f>
        <v>Green</v>
      </c>
      <c r="C17" s="290"/>
      <c r="D17" s="850"/>
      <c r="E17" s="850"/>
      <c r="F17" s="850"/>
      <c r="G17" s="850"/>
      <c r="H17" s="850"/>
      <c r="I17" s="849"/>
    </row>
    <row r="18" spans="1:34" ht="15.75" x14ac:dyDescent="0.25">
      <c r="A18" s="305" t="s">
        <v>138</v>
      </c>
      <c r="B18" s="311" t="s">
        <v>41</v>
      </c>
      <c r="C18" s="290"/>
      <c r="D18" s="850"/>
      <c r="E18" s="850"/>
      <c r="F18" s="850"/>
      <c r="G18" s="850"/>
      <c r="H18" s="850"/>
      <c r="I18" s="849"/>
    </row>
    <row r="19" spans="1:34" ht="15.75" x14ac:dyDescent="0.25">
      <c r="A19" s="312"/>
      <c r="B19" s="313"/>
      <c r="C19" s="290"/>
      <c r="D19" s="850"/>
      <c r="E19" s="850"/>
      <c r="F19" s="850"/>
      <c r="G19" s="850"/>
      <c r="H19" s="850"/>
      <c r="I19" s="849"/>
    </row>
    <row r="20" spans="1:34" ht="15.75" x14ac:dyDescent="0.25">
      <c r="B20" s="291"/>
      <c r="C20" s="290"/>
      <c r="D20" s="290"/>
      <c r="E20" s="290"/>
      <c r="F20" s="290"/>
      <c r="G20" s="290"/>
      <c r="H20" s="290"/>
      <c r="I20" s="290"/>
    </row>
    <row r="21" spans="1:34" ht="15.75" x14ac:dyDescent="0.25">
      <c r="A21" s="291"/>
      <c r="B21" s="291"/>
      <c r="C21" s="290"/>
      <c r="D21" s="290"/>
      <c r="E21" s="290"/>
      <c r="F21" s="290"/>
      <c r="G21" s="290"/>
      <c r="H21" s="290"/>
      <c r="I21" s="290"/>
    </row>
    <row r="22" spans="1:34" ht="15.6" hidden="1" customHeight="1" x14ac:dyDescent="0.25">
      <c r="A22" s="314" t="s">
        <v>139</v>
      </c>
      <c r="B22" s="315"/>
      <c r="C22" s="315"/>
      <c r="D22" s="196" t="str">
        <f>IF(B22="","",B22/C22)</f>
        <v/>
      </c>
      <c r="E22" s="197" t="str">
        <f>IF(D22="","",IF(D22&gt;=$B$7,"GREEN",IF(D22&gt;=$B$9, "AMBER",IF(D22&gt;=$B$11,"RED"))))</f>
        <v/>
      </c>
      <c r="G22" s="290"/>
    </row>
    <row r="23" spans="1:34" ht="15.6" customHeight="1" x14ac:dyDescent="0.3">
      <c r="A23" s="316" t="s">
        <v>140</v>
      </c>
      <c r="B23" s="290"/>
      <c r="C23" s="290"/>
      <c r="D23" s="290"/>
      <c r="E23" s="290"/>
      <c r="F23" s="290"/>
      <c r="G23" s="290" t="s">
        <v>141</v>
      </c>
      <c r="H23" s="290"/>
      <c r="I23" s="290"/>
      <c r="M23" s="213" t="s">
        <v>142</v>
      </c>
    </row>
    <row r="24" spans="1:34" ht="15.6" customHeight="1" x14ac:dyDescent="0.25">
      <c r="A24" s="317" t="s">
        <v>82</v>
      </c>
      <c r="B24" s="318" t="s">
        <v>143</v>
      </c>
      <c r="C24" s="318" t="s">
        <v>144</v>
      </c>
      <c r="D24" s="318" t="s">
        <v>145</v>
      </c>
      <c r="E24" s="318" t="s">
        <v>146</v>
      </c>
      <c r="F24" s="290"/>
      <c r="G24" s="317" t="s">
        <v>82</v>
      </c>
      <c r="H24" s="318" t="s">
        <v>147</v>
      </c>
      <c r="I24" s="318" t="s">
        <v>148</v>
      </c>
      <c r="J24" s="318" t="s">
        <v>149</v>
      </c>
      <c r="K24" s="318" t="s">
        <v>150</v>
      </c>
      <c r="M24" s="319" t="s">
        <v>82</v>
      </c>
      <c r="N24" s="320" t="s">
        <v>151</v>
      </c>
      <c r="O24" s="320" t="s">
        <v>152</v>
      </c>
      <c r="P24" s="320" t="s">
        <v>153</v>
      </c>
      <c r="Q24" s="320" t="s">
        <v>154</v>
      </c>
      <c r="R24" s="320" t="s">
        <v>155</v>
      </c>
      <c r="S24" s="320" t="s">
        <v>156</v>
      </c>
      <c r="T24" s="320" t="s">
        <v>157</v>
      </c>
      <c r="U24" s="320" t="s">
        <v>158</v>
      </c>
      <c r="V24" s="320" t="s">
        <v>159</v>
      </c>
      <c r="W24" s="320" t="s">
        <v>160</v>
      </c>
      <c r="X24" s="320" t="s">
        <v>161</v>
      </c>
      <c r="Y24" s="320" t="s">
        <v>162</v>
      </c>
      <c r="Z24" s="320" t="s">
        <v>163</v>
      </c>
      <c r="AA24" s="320" t="s">
        <v>164</v>
      </c>
      <c r="AB24" s="320" t="s">
        <v>165</v>
      </c>
      <c r="AC24" s="320" t="s">
        <v>166</v>
      </c>
      <c r="AD24" s="320" t="s">
        <v>167</v>
      </c>
      <c r="AE24" s="320" t="s">
        <v>168</v>
      </c>
      <c r="AF24" s="320" t="s">
        <v>169</v>
      </c>
      <c r="AG24" s="320" t="s">
        <v>170</v>
      </c>
      <c r="AH24" s="320" t="s">
        <v>171</v>
      </c>
    </row>
    <row r="25" spans="1:34" ht="15.6" customHeight="1" x14ac:dyDescent="0.25">
      <c r="A25" s="317">
        <v>2013</v>
      </c>
      <c r="B25" s="321">
        <v>15</v>
      </c>
      <c r="C25" s="321">
        <v>24</v>
      </c>
      <c r="D25" s="321">
        <v>14</v>
      </c>
      <c r="E25" s="321">
        <v>19</v>
      </c>
      <c r="F25" s="290"/>
      <c r="G25" s="317">
        <v>2013</v>
      </c>
      <c r="H25" s="322">
        <f ca="1">B25/B44</f>
        <v>16.314935064935064</v>
      </c>
      <c r="I25" s="322">
        <f ca="1">C25/C44</f>
        <v>20.721649484536083</v>
      </c>
      <c r="J25" s="322">
        <f ca="1">D25/D44</f>
        <v>14.475308641975309</v>
      </c>
      <c r="K25" s="322">
        <f ca="1">E25/E44</f>
        <v>19.890625</v>
      </c>
      <c r="M25" s="319" t="s">
        <v>73</v>
      </c>
      <c r="N25" s="320">
        <f>B25</f>
        <v>15</v>
      </c>
      <c r="O25" s="320">
        <f>C25</f>
        <v>24</v>
      </c>
      <c r="P25" s="320">
        <f>D25</f>
        <v>14</v>
      </c>
      <c r="Q25" s="320">
        <f>E25</f>
        <v>19</v>
      </c>
      <c r="R25" s="320">
        <f>B26</f>
        <v>10</v>
      </c>
      <c r="S25" s="320">
        <f>C26</f>
        <v>16</v>
      </c>
      <c r="T25" s="320">
        <f>D26</f>
        <v>16</v>
      </c>
      <c r="U25" s="320">
        <f>E26</f>
        <v>17</v>
      </c>
      <c r="V25" s="320">
        <f>B27</f>
        <v>13</v>
      </c>
      <c r="W25" s="320">
        <f>C27</f>
        <v>21</v>
      </c>
      <c r="X25" s="320">
        <f>D27</f>
        <v>13</v>
      </c>
      <c r="Y25" s="320">
        <f>E27</f>
        <v>14</v>
      </c>
      <c r="Z25" s="320">
        <f>B28</f>
        <v>17</v>
      </c>
      <c r="AA25" s="320">
        <f>C28</f>
        <v>26</v>
      </c>
      <c r="AB25" s="320">
        <f>D28</f>
        <v>30</v>
      </c>
      <c r="AC25" s="320">
        <f>E28</f>
        <v>22</v>
      </c>
      <c r="AD25" s="320">
        <f>B29</f>
        <v>22</v>
      </c>
      <c r="AE25" s="320">
        <f>C29</f>
        <v>10</v>
      </c>
      <c r="AF25" s="320">
        <f t="shared" ref="AF25:AG25" si="0">D29</f>
        <v>8</v>
      </c>
      <c r="AG25" s="320">
        <f t="shared" si="0"/>
        <v>8</v>
      </c>
      <c r="AH25" s="320">
        <f>B30</f>
        <v>0</v>
      </c>
    </row>
    <row r="26" spans="1:34" ht="15.6" customHeight="1" x14ac:dyDescent="0.25">
      <c r="A26" s="317">
        <v>2014</v>
      </c>
      <c r="B26" s="321">
        <v>10</v>
      </c>
      <c r="C26" s="321">
        <v>16</v>
      </c>
      <c r="D26" s="321">
        <v>16</v>
      </c>
      <c r="E26" s="321">
        <v>17</v>
      </c>
      <c r="F26" s="290"/>
      <c r="G26" s="317">
        <v>2014</v>
      </c>
      <c r="H26" s="322">
        <f t="shared" ref="H26:K40" ca="1" si="1">B26/B$44</f>
        <v>10.876623376623376</v>
      </c>
      <c r="I26" s="322">
        <f ca="1">C26/C$44</f>
        <v>13.814432989690722</v>
      </c>
      <c r="J26" s="322">
        <f ca="1">D26/D$44</f>
        <v>16.543209876543209</v>
      </c>
      <c r="K26" s="322">
        <f ca="1">E26/E$44</f>
        <v>17.796875</v>
      </c>
      <c r="M26" s="319" t="s">
        <v>172</v>
      </c>
      <c r="N26" s="323">
        <f ca="1">H25</f>
        <v>16.314935064935064</v>
      </c>
      <c r="O26" s="323">
        <f ca="1">I25</f>
        <v>20.721649484536083</v>
      </c>
      <c r="P26" s="323">
        <f ca="1">J25</f>
        <v>14.475308641975309</v>
      </c>
      <c r="Q26" s="323">
        <f ca="1">K25</f>
        <v>19.890625</v>
      </c>
      <c r="R26" s="323">
        <f ca="1">H26</f>
        <v>10.876623376623376</v>
      </c>
      <c r="S26" s="323">
        <f ca="1">I26</f>
        <v>13.814432989690722</v>
      </c>
      <c r="T26" s="323">
        <f ca="1">J26</f>
        <v>16.543209876543209</v>
      </c>
      <c r="U26" s="323">
        <f ca="1">K26</f>
        <v>17.796875</v>
      </c>
      <c r="V26" s="323">
        <f ca="1">H27</f>
        <v>14.13961038961039</v>
      </c>
      <c r="W26" s="323">
        <f ca="1">I27</f>
        <v>18.131443298969074</v>
      </c>
      <c r="X26" s="323">
        <f ca="1">J27</f>
        <v>13.441358024691358</v>
      </c>
      <c r="Y26" s="323">
        <f ca="1">K27</f>
        <v>14.65625</v>
      </c>
      <c r="Z26" s="323">
        <f ca="1">H28</f>
        <v>18.490259740259738</v>
      </c>
      <c r="AA26" s="323">
        <f ca="1">I28</f>
        <v>22.448453608247423</v>
      </c>
      <c r="AB26" s="323">
        <f ca="1">J28</f>
        <v>31.018518518518519</v>
      </c>
      <c r="AC26" s="323">
        <f ca="1">K28</f>
        <v>23.03125</v>
      </c>
      <c r="AD26" s="323">
        <f ca="1">H29</f>
        <v>23.928571428571427</v>
      </c>
      <c r="AE26" s="323">
        <f ca="1">I29</f>
        <v>8.6340206185567006</v>
      </c>
      <c r="AF26" s="323">
        <f t="shared" ref="AF26:AG26" ca="1" si="2">J29</f>
        <v>8.2716049382716044</v>
      </c>
      <c r="AG26" s="323">
        <f t="shared" ca="1" si="2"/>
        <v>8.375</v>
      </c>
      <c r="AH26" s="323">
        <f ca="1">H30</f>
        <v>0</v>
      </c>
    </row>
    <row r="27" spans="1:34" ht="15.6" customHeight="1" x14ac:dyDescent="0.25">
      <c r="A27" s="317">
        <v>2015</v>
      </c>
      <c r="B27" s="321">
        <v>13</v>
      </c>
      <c r="C27" s="321">
        <v>21</v>
      </c>
      <c r="D27" s="321">
        <v>13</v>
      </c>
      <c r="E27" s="321">
        <v>14</v>
      </c>
      <c r="F27" s="290"/>
      <c r="G27" s="317">
        <v>2015</v>
      </c>
      <c r="H27" s="322">
        <f t="shared" ca="1" si="1"/>
        <v>14.13961038961039</v>
      </c>
      <c r="I27" s="322">
        <f t="shared" ca="1" si="1"/>
        <v>18.131443298969074</v>
      </c>
      <c r="J27" s="322">
        <f t="shared" ca="1" si="1"/>
        <v>13.441358024691358</v>
      </c>
      <c r="K27" s="322">
        <f t="shared" ca="1" si="1"/>
        <v>14.65625</v>
      </c>
    </row>
    <row r="28" spans="1:34" ht="15.6" customHeight="1" x14ac:dyDescent="0.25">
      <c r="A28" s="317">
        <v>2016</v>
      </c>
      <c r="B28" s="321">
        <v>17</v>
      </c>
      <c r="C28" s="321">
        <v>26</v>
      </c>
      <c r="D28" s="321">
        <v>30</v>
      </c>
      <c r="E28" s="321">
        <v>22</v>
      </c>
      <c r="F28" s="290"/>
      <c r="G28" s="317">
        <v>2016</v>
      </c>
      <c r="H28" s="322">
        <f t="shared" ca="1" si="1"/>
        <v>18.490259740259738</v>
      </c>
      <c r="I28" s="322">
        <f t="shared" ca="1" si="1"/>
        <v>22.448453608247423</v>
      </c>
      <c r="J28" s="322">
        <f t="shared" ca="1" si="1"/>
        <v>31.018518518518519</v>
      </c>
      <c r="K28" s="322">
        <f t="shared" ca="1" si="1"/>
        <v>23.03125</v>
      </c>
    </row>
    <row r="29" spans="1:34" ht="15.6" customHeight="1" x14ac:dyDescent="0.25">
      <c r="A29" s="317">
        <v>2017</v>
      </c>
      <c r="B29" s="324">
        <v>22</v>
      </c>
      <c r="C29" s="324">
        <v>10</v>
      </c>
      <c r="D29" s="324">
        <v>8</v>
      </c>
      <c r="E29" s="324">
        <v>8</v>
      </c>
      <c r="F29" s="290"/>
      <c r="G29" s="317">
        <v>2017</v>
      </c>
      <c r="H29" s="322">
        <f t="shared" ca="1" si="1"/>
        <v>23.928571428571427</v>
      </c>
      <c r="I29" s="322">
        <f t="shared" ca="1" si="1"/>
        <v>8.6340206185567006</v>
      </c>
      <c r="J29" s="322">
        <f t="shared" ca="1" si="1"/>
        <v>8.2716049382716044</v>
      </c>
      <c r="K29" s="322">
        <f t="shared" ca="1" si="1"/>
        <v>8.375</v>
      </c>
    </row>
    <row r="30" spans="1:34" ht="15.6" hidden="1" customHeight="1" x14ac:dyDescent="0.25">
      <c r="A30" s="317">
        <v>2018</v>
      </c>
      <c r="B30" s="325"/>
      <c r="C30" s="325"/>
      <c r="D30" s="325"/>
      <c r="E30" s="325"/>
      <c r="F30" s="290"/>
      <c r="G30" s="317">
        <v>2018</v>
      </c>
      <c r="H30" s="322">
        <f t="shared" ca="1" si="1"/>
        <v>0</v>
      </c>
      <c r="I30" s="322">
        <f t="shared" ca="1" si="1"/>
        <v>0</v>
      </c>
      <c r="J30" s="322">
        <f t="shared" ca="1" si="1"/>
        <v>0</v>
      </c>
      <c r="K30" s="322">
        <f t="shared" ca="1" si="1"/>
        <v>0</v>
      </c>
    </row>
    <row r="31" spans="1:34" ht="15.6" hidden="1" customHeight="1" x14ac:dyDescent="0.25">
      <c r="A31" s="317">
        <v>2019</v>
      </c>
      <c r="B31" s="325"/>
      <c r="C31" s="325"/>
      <c r="D31" s="325"/>
      <c r="E31" s="325"/>
      <c r="F31" s="290"/>
      <c r="G31" s="317">
        <v>2019</v>
      </c>
      <c r="H31" s="322">
        <f t="shared" ca="1" si="1"/>
        <v>0</v>
      </c>
      <c r="I31" s="322">
        <f t="shared" ca="1" si="1"/>
        <v>0</v>
      </c>
      <c r="J31" s="322">
        <f t="shared" ca="1" si="1"/>
        <v>0</v>
      </c>
      <c r="K31" s="322">
        <f t="shared" ca="1" si="1"/>
        <v>0</v>
      </c>
    </row>
    <row r="32" spans="1:34" ht="15.6" hidden="1" customHeight="1" x14ac:dyDescent="0.25">
      <c r="A32" s="317">
        <v>2020</v>
      </c>
      <c r="B32" s="326"/>
      <c r="C32" s="325"/>
      <c r="D32" s="325"/>
      <c r="E32" s="325"/>
      <c r="F32" s="290"/>
      <c r="G32" s="317">
        <v>2020</v>
      </c>
      <c r="H32" s="322">
        <f t="shared" ca="1" si="1"/>
        <v>0</v>
      </c>
      <c r="I32" s="322">
        <f t="shared" ca="1" si="1"/>
        <v>0</v>
      </c>
      <c r="J32" s="322">
        <f t="shared" ca="1" si="1"/>
        <v>0</v>
      </c>
      <c r="K32" s="322">
        <f t="shared" ca="1" si="1"/>
        <v>0</v>
      </c>
    </row>
    <row r="33" spans="1:11" ht="15.6" hidden="1" customHeight="1" x14ac:dyDescent="0.25">
      <c r="A33" s="317">
        <v>2021</v>
      </c>
      <c r="B33" s="326"/>
      <c r="C33" s="325"/>
      <c r="D33" s="325"/>
      <c r="E33" s="325"/>
      <c r="F33" s="290"/>
      <c r="G33" s="317">
        <v>2021</v>
      </c>
      <c r="H33" s="322">
        <f t="shared" ca="1" si="1"/>
        <v>0</v>
      </c>
      <c r="I33" s="322">
        <f t="shared" ca="1" si="1"/>
        <v>0</v>
      </c>
      <c r="J33" s="322">
        <f t="shared" ca="1" si="1"/>
        <v>0</v>
      </c>
      <c r="K33" s="322">
        <f t="shared" ca="1" si="1"/>
        <v>0</v>
      </c>
    </row>
    <row r="34" spans="1:11" ht="15.6" hidden="1" customHeight="1" x14ac:dyDescent="0.25">
      <c r="A34" s="317">
        <v>2023</v>
      </c>
      <c r="B34" s="326"/>
      <c r="C34" s="325"/>
      <c r="D34" s="325"/>
      <c r="E34" s="325"/>
      <c r="F34" s="290"/>
      <c r="G34" s="317">
        <v>2022</v>
      </c>
      <c r="H34" s="322">
        <f t="shared" ca="1" si="1"/>
        <v>0</v>
      </c>
      <c r="I34" s="322">
        <f t="shared" ca="1" si="1"/>
        <v>0</v>
      </c>
      <c r="J34" s="322">
        <f t="shared" ca="1" si="1"/>
        <v>0</v>
      </c>
      <c r="K34" s="322">
        <f t="shared" ca="1" si="1"/>
        <v>0</v>
      </c>
    </row>
    <row r="35" spans="1:11" ht="15.6" hidden="1" customHeight="1" x14ac:dyDescent="0.25">
      <c r="A35" s="317">
        <v>2024</v>
      </c>
      <c r="B35" s="326"/>
      <c r="C35" s="327"/>
      <c r="D35" s="327"/>
      <c r="E35" s="327"/>
      <c r="F35" s="290"/>
      <c r="G35" s="317">
        <v>2023</v>
      </c>
      <c r="H35" s="322">
        <f t="shared" ca="1" si="1"/>
        <v>0</v>
      </c>
      <c r="I35" s="322">
        <f t="shared" ca="1" si="1"/>
        <v>0</v>
      </c>
      <c r="J35" s="322">
        <f t="shared" ca="1" si="1"/>
        <v>0</v>
      </c>
      <c r="K35" s="322">
        <f t="shared" ca="1" si="1"/>
        <v>0</v>
      </c>
    </row>
    <row r="36" spans="1:11" ht="15.6" hidden="1" customHeight="1" x14ac:dyDescent="0.25">
      <c r="A36" s="317">
        <v>2025</v>
      </c>
      <c r="B36" s="326"/>
      <c r="C36" s="327"/>
      <c r="D36" s="327"/>
      <c r="E36" s="327"/>
      <c r="F36" s="290"/>
      <c r="G36" s="317">
        <v>2024</v>
      </c>
      <c r="H36" s="322">
        <f t="shared" ca="1" si="1"/>
        <v>0</v>
      </c>
      <c r="I36" s="322">
        <f t="shared" ca="1" si="1"/>
        <v>0</v>
      </c>
      <c r="J36" s="322">
        <f t="shared" ca="1" si="1"/>
        <v>0</v>
      </c>
      <c r="K36" s="322">
        <f t="shared" ca="1" si="1"/>
        <v>0</v>
      </c>
    </row>
    <row r="37" spans="1:11" ht="15.6" hidden="1" customHeight="1" x14ac:dyDescent="0.25">
      <c r="A37" s="317">
        <v>2026</v>
      </c>
      <c r="B37" s="326"/>
      <c r="C37" s="325"/>
      <c r="D37" s="325"/>
      <c r="E37" s="325"/>
      <c r="F37" s="290"/>
      <c r="G37" s="317">
        <v>2025</v>
      </c>
      <c r="H37" s="322">
        <f t="shared" ca="1" si="1"/>
        <v>0</v>
      </c>
      <c r="I37" s="322">
        <f t="shared" ca="1" si="1"/>
        <v>0</v>
      </c>
      <c r="J37" s="322">
        <f t="shared" ca="1" si="1"/>
        <v>0</v>
      </c>
      <c r="K37" s="322">
        <f t="shared" ca="1" si="1"/>
        <v>0</v>
      </c>
    </row>
    <row r="38" spans="1:11" ht="15.6" hidden="1" customHeight="1" x14ac:dyDescent="0.25">
      <c r="A38" s="317">
        <v>2027</v>
      </c>
      <c r="B38" s="325"/>
      <c r="C38" s="325"/>
      <c r="D38" s="325"/>
      <c r="E38" s="325"/>
      <c r="F38" s="290"/>
      <c r="G38" s="317">
        <v>2026</v>
      </c>
      <c r="H38" s="322">
        <f t="shared" ca="1" si="1"/>
        <v>0</v>
      </c>
      <c r="I38" s="322">
        <f t="shared" ca="1" si="1"/>
        <v>0</v>
      </c>
      <c r="J38" s="322">
        <f t="shared" ca="1" si="1"/>
        <v>0</v>
      </c>
      <c r="K38" s="322">
        <f t="shared" ca="1" si="1"/>
        <v>0</v>
      </c>
    </row>
    <row r="39" spans="1:11" ht="15.6" hidden="1" customHeight="1" x14ac:dyDescent="0.25">
      <c r="A39" s="317">
        <v>2028</v>
      </c>
      <c r="B39" s="327"/>
      <c r="C39" s="327"/>
      <c r="D39" s="327"/>
      <c r="E39" s="327"/>
      <c r="F39" s="290"/>
      <c r="G39" s="317">
        <v>2027</v>
      </c>
      <c r="H39" s="322">
        <f t="shared" ca="1" si="1"/>
        <v>0</v>
      </c>
      <c r="I39" s="322">
        <f t="shared" ca="1" si="1"/>
        <v>0</v>
      </c>
      <c r="J39" s="322">
        <f t="shared" ca="1" si="1"/>
        <v>0</v>
      </c>
      <c r="K39" s="322">
        <f t="shared" ca="1" si="1"/>
        <v>0</v>
      </c>
    </row>
    <row r="40" spans="1:11" ht="15.6" hidden="1" customHeight="1" x14ac:dyDescent="0.25">
      <c r="A40" s="317">
        <v>2029</v>
      </c>
      <c r="B40" s="327"/>
      <c r="C40" s="327"/>
      <c r="D40" s="327"/>
      <c r="E40" s="327"/>
      <c r="F40" s="290"/>
      <c r="G40" s="317">
        <v>2028</v>
      </c>
      <c r="H40" s="322">
        <f t="shared" ca="1" si="1"/>
        <v>0</v>
      </c>
      <c r="I40" s="322">
        <f t="shared" ca="1" si="1"/>
        <v>0</v>
      </c>
      <c r="J40" s="322">
        <f t="shared" ca="1" si="1"/>
        <v>0</v>
      </c>
      <c r="K40" s="322">
        <f t="shared" ca="1" si="1"/>
        <v>0</v>
      </c>
    </row>
    <row r="41" spans="1:11" ht="25.15" hidden="1" customHeight="1" x14ac:dyDescent="0.25">
      <c r="A41" s="328"/>
      <c r="B41" s="329"/>
      <c r="C41" s="329"/>
      <c r="D41" s="329"/>
      <c r="E41" s="329"/>
      <c r="F41" s="290"/>
      <c r="G41" s="328"/>
      <c r="H41" s="330"/>
      <c r="I41" s="330"/>
      <c r="J41" s="330"/>
      <c r="K41" s="330"/>
    </row>
    <row r="42" spans="1:11" ht="15.6" customHeight="1" x14ac:dyDescent="0.25">
      <c r="A42" s="290"/>
      <c r="B42" s="290"/>
      <c r="C42" s="290"/>
      <c r="D42" s="290"/>
      <c r="E42" s="290"/>
      <c r="F42" s="331" t="s">
        <v>173</v>
      </c>
      <c r="G42" s="834" t="s">
        <v>174</v>
      </c>
      <c r="H42" s="834"/>
      <c r="I42" s="332"/>
    </row>
    <row r="43" spans="1:11" ht="15.6" customHeight="1" x14ac:dyDescent="0.25">
      <c r="A43" s="331" t="s">
        <v>175</v>
      </c>
      <c r="B43" s="333">
        <f ca="1">AVERAGE(OFFSET(B25,0,0,COUNTA(B25:B40),1))</f>
        <v>15.4</v>
      </c>
      <c r="C43" s="333">
        <f ca="1">AVERAGE(OFFSET(C25,0,0,COUNTA(C25:C40),1))</f>
        <v>19.399999999999999</v>
      </c>
      <c r="D43" s="333">
        <f ca="1">AVERAGE(OFFSET(D25,0,0,COUNTA(D25:D40),1))</f>
        <v>16.2</v>
      </c>
      <c r="E43" s="333">
        <f ca="1">AVERAGE(OFFSET(E25,0,0,COUNTA(E25:E40),1))</f>
        <v>16</v>
      </c>
      <c r="F43" s="334">
        <f ca="1">AVERAGE(B43:E43)</f>
        <v>16.75</v>
      </c>
      <c r="G43" s="835">
        <f ca="1">AVERAGE(B44:E44)</f>
        <v>1</v>
      </c>
      <c r="H43" s="836"/>
      <c r="I43" s="332"/>
    </row>
    <row r="44" spans="1:11" ht="15.6" customHeight="1" x14ac:dyDescent="0.25">
      <c r="A44" s="331" t="s">
        <v>176</v>
      </c>
      <c r="B44" s="333">
        <f ca="1">B43/$F43</f>
        <v>0.91940298507462692</v>
      </c>
      <c r="C44" s="333">
        <f ca="1">C43/$F43</f>
        <v>1.1582089552238806</v>
      </c>
      <c r="D44" s="333">
        <f ca="1">D43/$F43</f>
        <v>0.96716417910447761</v>
      </c>
      <c r="E44" s="333">
        <f ca="1">E43/$F43</f>
        <v>0.95522388059701491</v>
      </c>
      <c r="F44" s="335"/>
      <c r="G44" s="290"/>
      <c r="H44" s="336"/>
      <c r="I44" s="332"/>
    </row>
    <row r="45" spans="1:11" ht="15.6" customHeight="1" x14ac:dyDescent="0.25">
      <c r="A45" s="331"/>
      <c r="B45" s="333"/>
      <c r="C45" s="333"/>
      <c r="D45" s="333"/>
      <c r="E45" s="333"/>
      <c r="F45" s="335"/>
      <c r="G45" s="290"/>
      <c r="H45" s="336"/>
      <c r="I45" s="332"/>
    </row>
    <row r="46" spans="1:11" ht="15.6" customHeight="1" x14ac:dyDescent="0.25">
      <c r="A46" s="331" t="s">
        <v>177</v>
      </c>
      <c r="B46" s="290"/>
      <c r="C46" s="290"/>
      <c r="D46" s="290"/>
      <c r="E46" s="290"/>
      <c r="F46" s="335"/>
      <c r="G46" s="290"/>
      <c r="H46" s="336"/>
      <c r="I46" s="332"/>
    </row>
    <row r="47" spans="1:11" ht="15.6" customHeight="1" x14ac:dyDescent="0.2">
      <c r="A47" s="317" t="s">
        <v>82</v>
      </c>
      <c r="B47" s="318" t="s">
        <v>165</v>
      </c>
      <c r="C47" s="318" t="s">
        <v>166</v>
      </c>
      <c r="D47" s="318" t="s">
        <v>167</v>
      </c>
      <c r="E47" s="318" t="s">
        <v>168</v>
      </c>
      <c r="F47" s="318" t="s">
        <v>169</v>
      </c>
      <c r="G47" s="318" t="s">
        <v>170</v>
      </c>
      <c r="H47" s="336"/>
      <c r="I47" s="332"/>
    </row>
    <row r="48" spans="1:11" ht="15.6" hidden="1" customHeight="1" x14ac:dyDescent="0.2">
      <c r="A48" s="317" t="s">
        <v>151</v>
      </c>
      <c r="B48" s="318">
        <v>14</v>
      </c>
      <c r="C48" s="318"/>
      <c r="D48" s="318">
        <v>2</v>
      </c>
      <c r="E48" s="318"/>
      <c r="F48" s="318"/>
      <c r="G48" s="318"/>
      <c r="H48" s="336"/>
      <c r="I48" s="332"/>
    </row>
    <row r="49" spans="1:9" ht="15.6" hidden="1" customHeight="1" x14ac:dyDescent="0.2">
      <c r="A49" s="317" t="s">
        <v>152</v>
      </c>
      <c r="B49" s="318">
        <v>9</v>
      </c>
      <c r="C49" s="318">
        <v>1</v>
      </c>
      <c r="D49" s="318"/>
      <c r="E49" s="318"/>
      <c r="F49" s="318"/>
      <c r="G49" s="318"/>
      <c r="H49" s="336"/>
      <c r="I49" s="332"/>
    </row>
    <row r="50" spans="1:9" ht="15.6" hidden="1" customHeight="1" x14ac:dyDescent="0.2">
      <c r="A50" s="317" t="s">
        <v>153</v>
      </c>
      <c r="B50" s="318">
        <v>3</v>
      </c>
      <c r="C50" s="318">
        <v>1</v>
      </c>
      <c r="D50" s="318"/>
      <c r="E50" s="318"/>
      <c r="F50" s="318"/>
      <c r="G50" s="318"/>
      <c r="H50" s="336"/>
      <c r="I50" s="332"/>
    </row>
    <row r="51" spans="1:9" ht="15.6" hidden="1" customHeight="1" x14ac:dyDescent="0.2">
      <c r="A51" s="317" t="s">
        <v>154</v>
      </c>
      <c r="B51" s="318">
        <v>10</v>
      </c>
      <c r="C51" s="318">
        <v>1</v>
      </c>
      <c r="D51" s="318"/>
      <c r="E51" s="318"/>
      <c r="F51" s="318"/>
      <c r="G51" s="318"/>
      <c r="H51" s="336"/>
      <c r="I51" s="332"/>
    </row>
    <row r="52" spans="1:9" ht="15.6" hidden="1" customHeight="1" x14ac:dyDescent="0.2">
      <c r="A52" s="317" t="s">
        <v>155</v>
      </c>
      <c r="B52" s="318">
        <v>13</v>
      </c>
      <c r="C52" s="318"/>
      <c r="D52" s="318"/>
      <c r="E52" s="318"/>
      <c r="F52" s="318"/>
      <c r="G52" s="318"/>
      <c r="H52" s="336"/>
      <c r="I52" s="332"/>
    </row>
    <row r="53" spans="1:9" ht="15.6" hidden="1" customHeight="1" x14ac:dyDescent="0.2">
      <c r="A53" s="317" t="s">
        <v>156</v>
      </c>
      <c r="B53" s="318">
        <v>8</v>
      </c>
      <c r="C53" s="318">
        <v>1</v>
      </c>
      <c r="D53" s="318"/>
      <c r="E53" s="318"/>
      <c r="F53" s="318"/>
      <c r="G53" s="318"/>
      <c r="H53" s="336"/>
      <c r="I53" s="332"/>
    </row>
    <row r="54" spans="1:9" ht="15.6" hidden="1" customHeight="1" x14ac:dyDescent="0.2">
      <c r="A54" s="317" t="s">
        <v>157</v>
      </c>
      <c r="B54" s="318">
        <v>7</v>
      </c>
      <c r="C54" s="318"/>
      <c r="D54" s="318"/>
      <c r="E54" s="318"/>
      <c r="F54" s="318"/>
      <c r="G54" s="318"/>
      <c r="H54" s="336"/>
      <c r="I54" s="332"/>
    </row>
    <row r="55" spans="1:9" ht="15.6" hidden="1" customHeight="1" x14ac:dyDescent="0.2">
      <c r="A55" s="317" t="s">
        <v>158</v>
      </c>
      <c r="B55" s="325">
        <v>3</v>
      </c>
      <c r="C55" s="325"/>
      <c r="D55" s="325"/>
      <c r="E55" s="325"/>
      <c r="F55" s="325"/>
      <c r="G55" s="325"/>
      <c r="H55" s="336"/>
      <c r="I55" s="332"/>
    </row>
    <row r="56" spans="1:9" ht="15.6" hidden="1" customHeight="1" x14ac:dyDescent="0.2">
      <c r="A56" s="317" t="s">
        <v>159</v>
      </c>
      <c r="B56" s="325">
        <v>3</v>
      </c>
      <c r="C56" s="325">
        <v>1</v>
      </c>
      <c r="D56" s="325"/>
      <c r="E56" s="325"/>
      <c r="F56" s="325"/>
      <c r="G56" s="325"/>
      <c r="H56" s="336"/>
      <c r="I56" s="332"/>
    </row>
    <row r="57" spans="1:9" ht="15.6" customHeight="1" x14ac:dyDescent="0.2">
      <c r="A57" s="317" t="s">
        <v>178</v>
      </c>
      <c r="B57" s="337"/>
      <c r="C57" s="337"/>
      <c r="D57" s="338">
        <v>7</v>
      </c>
      <c r="E57" s="338"/>
      <c r="F57" s="338"/>
      <c r="G57" s="339">
        <v>1</v>
      </c>
      <c r="H57" s="336"/>
      <c r="I57" s="332"/>
    </row>
    <row r="58" spans="1:9" ht="15.6" customHeight="1" x14ac:dyDescent="0.2">
      <c r="A58" s="317" t="s">
        <v>179</v>
      </c>
      <c r="B58" s="337"/>
      <c r="C58" s="337"/>
      <c r="D58" s="338">
        <v>10</v>
      </c>
      <c r="E58" s="338">
        <v>10</v>
      </c>
      <c r="F58" s="338">
        <v>6</v>
      </c>
      <c r="G58" s="339">
        <v>2</v>
      </c>
      <c r="H58" s="336"/>
      <c r="I58" s="332"/>
    </row>
    <row r="59" spans="1:9" ht="15.6" customHeight="1" x14ac:dyDescent="0.2">
      <c r="A59" s="317" t="s">
        <v>180</v>
      </c>
      <c r="B59" s="337"/>
      <c r="C59" s="337"/>
      <c r="D59" s="338">
        <v>3</v>
      </c>
      <c r="E59" s="338"/>
      <c r="F59" s="338">
        <v>2</v>
      </c>
      <c r="G59" s="339">
        <v>3</v>
      </c>
      <c r="H59" s="336"/>
      <c r="I59" s="332"/>
    </row>
    <row r="60" spans="1:9" ht="15.6" customHeight="1" x14ac:dyDescent="0.2">
      <c r="A60" s="317" t="s">
        <v>181</v>
      </c>
      <c r="B60" s="337"/>
      <c r="C60" s="337"/>
      <c r="D60" s="338">
        <v>2</v>
      </c>
      <c r="E60" s="338"/>
      <c r="F60" s="338"/>
      <c r="G60" s="340">
        <v>2</v>
      </c>
      <c r="H60" s="336"/>
      <c r="I60" s="332"/>
    </row>
    <row r="61" spans="1:9" ht="15.6" customHeight="1" x14ac:dyDescent="0.2">
      <c r="A61" s="317" t="s">
        <v>182</v>
      </c>
      <c r="B61" s="337"/>
      <c r="C61" s="337"/>
      <c r="D61" s="337"/>
      <c r="E61" s="337"/>
      <c r="F61" s="337"/>
      <c r="G61" s="339"/>
      <c r="H61" s="336"/>
      <c r="I61" s="332"/>
    </row>
    <row r="62" spans="1:9" ht="15.6" customHeight="1" x14ac:dyDescent="0.2">
      <c r="A62" s="317" t="s">
        <v>183</v>
      </c>
      <c r="B62" s="337"/>
      <c r="C62" s="337"/>
      <c r="D62" s="337"/>
      <c r="E62" s="337"/>
      <c r="F62" s="337"/>
      <c r="G62" s="339"/>
      <c r="H62" s="336"/>
      <c r="I62" s="332"/>
    </row>
    <row r="63" spans="1:9" ht="15.6" customHeight="1" x14ac:dyDescent="0.2">
      <c r="A63" s="317" t="s">
        <v>184</v>
      </c>
      <c r="B63" s="337"/>
      <c r="C63" s="337"/>
      <c r="D63" s="337"/>
      <c r="E63" s="337"/>
      <c r="F63" s="337"/>
      <c r="G63" s="339"/>
      <c r="H63" s="336"/>
      <c r="I63" s="332"/>
    </row>
    <row r="64" spans="1:9" ht="15.6" customHeight="1" x14ac:dyDescent="0.2">
      <c r="A64" s="317" t="s">
        <v>185</v>
      </c>
      <c r="B64" s="337"/>
      <c r="C64" s="337"/>
      <c r="D64" s="337"/>
      <c r="E64" s="337"/>
      <c r="F64" s="337"/>
      <c r="G64" s="340"/>
      <c r="H64" s="336"/>
      <c r="I64" s="332"/>
    </row>
    <row r="65" spans="1:34" ht="15.6" customHeight="1" x14ac:dyDescent="0.2">
      <c r="A65" s="317" t="s">
        <v>186</v>
      </c>
      <c r="B65" s="337"/>
      <c r="C65" s="337"/>
      <c r="D65" s="337"/>
      <c r="E65" s="337"/>
      <c r="F65" s="337"/>
      <c r="G65" s="340"/>
      <c r="H65" s="336"/>
      <c r="I65" s="332"/>
    </row>
    <row r="66" spans="1:34" ht="15.6" hidden="1" customHeight="1" x14ac:dyDescent="0.25">
      <c r="A66" s="317" t="s">
        <v>169</v>
      </c>
      <c r="B66" s="341"/>
      <c r="C66" s="327"/>
      <c r="D66" s="327"/>
      <c r="E66" s="327"/>
      <c r="F66" s="335"/>
      <c r="G66" s="290"/>
      <c r="H66" s="336"/>
      <c r="I66" s="332"/>
    </row>
    <row r="67" spans="1:34" ht="15.6" hidden="1" customHeight="1" x14ac:dyDescent="0.25">
      <c r="A67" s="317" t="s">
        <v>170</v>
      </c>
      <c r="B67" s="341"/>
      <c r="C67" s="327"/>
      <c r="D67" s="327"/>
      <c r="E67" s="327"/>
      <c r="F67" s="335"/>
      <c r="G67" s="290"/>
      <c r="H67" s="336"/>
      <c r="I67" s="332"/>
    </row>
    <row r="68" spans="1:34" ht="15.6" customHeight="1" x14ac:dyDescent="0.25">
      <c r="A68" s="331"/>
      <c r="B68" s="333"/>
      <c r="C68" s="333"/>
      <c r="D68" s="333"/>
      <c r="E68" s="333"/>
      <c r="F68" s="335"/>
      <c r="G68" s="290"/>
      <c r="H68" s="336"/>
      <c r="I68" s="332"/>
    </row>
    <row r="69" spans="1:34" ht="15.6" customHeight="1" x14ac:dyDescent="0.25">
      <c r="A69" s="290"/>
      <c r="B69" s="333"/>
      <c r="C69" s="333"/>
      <c r="D69" s="333"/>
      <c r="E69" s="333"/>
      <c r="F69" s="335"/>
      <c r="G69" s="290"/>
      <c r="H69" s="336"/>
      <c r="I69" s="332"/>
    </row>
    <row r="70" spans="1:34" ht="15.6" customHeight="1" x14ac:dyDescent="0.3">
      <c r="A70" s="316" t="s">
        <v>187</v>
      </c>
      <c r="B70" s="290"/>
      <c r="C70" s="290"/>
      <c r="D70" s="290"/>
      <c r="E70" s="290"/>
      <c r="F70" s="290"/>
      <c r="G70" s="290" t="s">
        <v>188</v>
      </c>
      <c r="H70" s="290"/>
      <c r="I70" s="290"/>
      <c r="M70" s="213" t="s">
        <v>189</v>
      </c>
    </row>
    <row r="71" spans="1:34" ht="15.6" customHeight="1" x14ac:dyDescent="0.25">
      <c r="A71" s="317" t="s">
        <v>82</v>
      </c>
      <c r="B71" s="318" t="s">
        <v>143</v>
      </c>
      <c r="C71" s="318" t="s">
        <v>144</v>
      </c>
      <c r="D71" s="318" t="s">
        <v>145</v>
      </c>
      <c r="E71" s="318" t="s">
        <v>146</v>
      </c>
      <c r="F71" s="290"/>
      <c r="G71" s="317" t="s">
        <v>82</v>
      </c>
      <c r="H71" s="318" t="s">
        <v>147</v>
      </c>
      <c r="I71" s="318" t="s">
        <v>148</v>
      </c>
      <c r="J71" s="318" t="s">
        <v>149</v>
      </c>
      <c r="K71" s="318" t="s">
        <v>150</v>
      </c>
      <c r="M71" s="319" t="s">
        <v>82</v>
      </c>
      <c r="N71" s="320" t="s">
        <v>151</v>
      </c>
      <c r="O71" s="320" t="s">
        <v>152</v>
      </c>
      <c r="P71" s="320" t="s">
        <v>153</v>
      </c>
      <c r="Q71" s="320" t="s">
        <v>154</v>
      </c>
      <c r="R71" s="320" t="s">
        <v>155</v>
      </c>
      <c r="S71" s="320" t="s">
        <v>156</v>
      </c>
      <c r="T71" s="320" t="s">
        <v>157</v>
      </c>
      <c r="U71" s="320" t="s">
        <v>158</v>
      </c>
      <c r="V71" s="320" t="s">
        <v>159</v>
      </c>
      <c r="W71" s="320" t="s">
        <v>160</v>
      </c>
      <c r="X71" s="320" t="s">
        <v>161</v>
      </c>
      <c r="Y71" s="320" t="s">
        <v>162</v>
      </c>
      <c r="Z71" s="320" t="s">
        <v>163</v>
      </c>
      <c r="AA71" s="320" t="s">
        <v>164</v>
      </c>
      <c r="AB71" s="320" t="s">
        <v>165</v>
      </c>
      <c r="AC71" s="320" t="s">
        <v>166</v>
      </c>
      <c r="AD71" s="320" t="s">
        <v>167</v>
      </c>
      <c r="AE71" s="320" t="s">
        <v>168</v>
      </c>
      <c r="AF71" s="320" t="s">
        <v>169</v>
      </c>
      <c r="AG71" s="320" t="s">
        <v>170</v>
      </c>
      <c r="AH71" s="320" t="s">
        <v>171</v>
      </c>
    </row>
    <row r="72" spans="1:34" ht="15.6" customHeight="1" x14ac:dyDescent="0.25">
      <c r="A72" s="317">
        <v>2013</v>
      </c>
      <c r="B72" s="321">
        <v>14</v>
      </c>
      <c r="C72" s="321">
        <v>38</v>
      </c>
      <c r="D72" s="321">
        <v>39</v>
      </c>
      <c r="E72" s="321">
        <v>11</v>
      </c>
      <c r="F72" s="290"/>
      <c r="G72" s="317">
        <v>2013</v>
      </c>
      <c r="H72" s="322">
        <f ca="1">B72/B90</f>
        <v>24.83653846153846</v>
      </c>
      <c r="I72" s="322">
        <f ca="1">C72/C90</f>
        <v>29.707627118644066</v>
      </c>
      <c r="J72" s="322">
        <f ca="1">D72/D90</f>
        <v>26.650000000000002</v>
      </c>
      <c r="K72" s="322">
        <f ca="1">E72/E90</f>
        <v>15.855468749999998</v>
      </c>
      <c r="M72" s="319" t="s">
        <v>73</v>
      </c>
      <c r="N72" s="320">
        <f>B72</f>
        <v>14</v>
      </c>
      <c r="O72" s="320">
        <f>C72</f>
        <v>38</v>
      </c>
      <c r="P72" s="320">
        <f>D72</f>
        <v>39</v>
      </c>
      <c r="Q72" s="320">
        <f>E72</f>
        <v>11</v>
      </c>
      <c r="R72" s="320">
        <f>B73</f>
        <v>13</v>
      </c>
      <c r="S72" s="320">
        <f>C73</f>
        <v>26</v>
      </c>
      <c r="T72" s="320">
        <f>D73</f>
        <v>21</v>
      </c>
      <c r="U72" s="320">
        <f>E73</f>
        <v>9</v>
      </c>
      <c r="V72" s="320">
        <f>B74</f>
        <v>11</v>
      </c>
      <c r="W72" s="320">
        <f>C74</f>
        <v>20</v>
      </c>
      <c r="X72" s="320">
        <f>D74</f>
        <v>26</v>
      </c>
      <c r="Y72" s="320">
        <f>E74</f>
        <v>11</v>
      </c>
      <c r="Z72" s="320">
        <f>B75</f>
        <v>9</v>
      </c>
      <c r="AA72" s="320">
        <f>C75</f>
        <v>13</v>
      </c>
      <c r="AB72" s="320">
        <f>D75</f>
        <v>30</v>
      </c>
      <c r="AC72" s="320">
        <f>E75</f>
        <v>14</v>
      </c>
      <c r="AD72" s="320">
        <f>B76</f>
        <v>5</v>
      </c>
      <c r="AE72" s="320">
        <f>C76</f>
        <v>21</v>
      </c>
      <c r="AF72" s="320">
        <f t="shared" ref="AF72:AG72" si="3">D76</f>
        <v>19</v>
      </c>
      <c r="AG72" s="320">
        <f t="shared" si="3"/>
        <v>19</v>
      </c>
      <c r="AH72" s="320">
        <f>B77</f>
        <v>0</v>
      </c>
    </row>
    <row r="73" spans="1:34" ht="15.6" customHeight="1" x14ac:dyDescent="0.25">
      <c r="A73" s="317">
        <v>2014</v>
      </c>
      <c r="B73" s="321">
        <v>13</v>
      </c>
      <c r="C73" s="321">
        <v>26</v>
      </c>
      <c r="D73" s="321">
        <v>21</v>
      </c>
      <c r="E73" s="321">
        <v>9</v>
      </c>
      <c r="F73" s="290"/>
      <c r="G73" s="317">
        <v>2014</v>
      </c>
      <c r="H73" s="322">
        <f ca="1">B73/B90</f>
        <v>23.062499999999996</v>
      </c>
      <c r="I73" s="322">
        <f ca="1">C73/C90</f>
        <v>20.326271186440678</v>
      </c>
      <c r="J73" s="322">
        <f ca="1">D73/D90</f>
        <v>14.35</v>
      </c>
      <c r="K73" s="322">
        <f ca="1">E73/E90</f>
        <v>12.972656249999998</v>
      </c>
      <c r="M73" s="319" t="s">
        <v>172</v>
      </c>
      <c r="N73" s="323">
        <f ca="1">H72</f>
        <v>24.83653846153846</v>
      </c>
      <c r="O73" s="323">
        <f ca="1">I72</f>
        <v>29.707627118644066</v>
      </c>
      <c r="P73" s="323">
        <f ca="1">J72</f>
        <v>26.650000000000002</v>
      </c>
      <c r="Q73" s="323">
        <f ca="1">K72</f>
        <v>15.855468749999998</v>
      </c>
      <c r="R73" s="323">
        <f ca="1">H73</f>
        <v>23.062499999999996</v>
      </c>
      <c r="S73" s="323">
        <f ca="1">I73</f>
        <v>20.326271186440678</v>
      </c>
      <c r="T73" s="323">
        <f ca="1">J73</f>
        <v>14.35</v>
      </c>
      <c r="U73" s="323">
        <f ca="1">K73</f>
        <v>12.972656249999998</v>
      </c>
      <c r="V73" s="323">
        <f ca="1">H74</f>
        <v>19.514423076923073</v>
      </c>
      <c r="W73" s="323">
        <f ca="1">I74</f>
        <v>15.635593220338983</v>
      </c>
      <c r="X73" s="323">
        <f ca="1">J74</f>
        <v>17.766666666666666</v>
      </c>
      <c r="Y73" s="323">
        <f ca="1">K74</f>
        <v>15.855468749999998</v>
      </c>
      <c r="Z73" s="323">
        <f ca="1">H75</f>
        <v>15.966346153846152</v>
      </c>
      <c r="AA73" s="323">
        <f ca="1">I75</f>
        <v>10.163135593220339</v>
      </c>
      <c r="AB73" s="323">
        <f ca="1">J75</f>
        <v>20.5</v>
      </c>
      <c r="AC73" s="323">
        <f ca="1">K75</f>
        <v>20.179687499999996</v>
      </c>
      <c r="AD73" s="323">
        <f ca="1">H76</f>
        <v>8.8701923076923066</v>
      </c>
      <c r="AE73" s="323">
        <f ca="1">I76</f>
        <v>16.417372881355931</v>
      </c>
      <c r="AF73" s="323">
        <f t="shared" ref="AF73:AG73" ca="1" si="4">J76</f>
        <v>12.983333333333334</v>
      </c>
      <c r="AG73" s="323">
        <f t="shared" ca="1" si="4"/>
        <v>27.386718749999996</v>
      </c>
      <c r="AH73" s="323">
        <f ca="1">H77</f>
        <v>0</v>
      </c>
    </row>
    <row r="74" spans="1:34" ht="15.6" customHeight="1" x14ac:dyDescent="0.25">
      <c r="A74" s="317">
        <v>2015</v>
      </c>
      <c r="B74" s="321">
        <v>11</v>
      </c>
      <c r="C74" s="321">
        <v>20</v>
      </c>
      <c r="D74" s="321">
        <v>26</v>
      </c>
      <c r="E74" s="321">
        <v>11</v>
      </c>
      <c r="F74" s="290"/>
      <c r="G74" s="317">
        <v>2015</v>
      </c>
      <c r="H74" s="322">
        <f ca="1">B74/B90</f>
        <v>19.514423076923073</v>
      </c>
      <c r="I74" s="322">
        <f ca="1">C74/C90</f>
        <v>15.635593220338983</v>
      </c>
      <c r="J74" s="322">
        <f ca="1">D74/D90</f>
        <v>17.766666666666666</v>
      </c>
      <c r="K74" s="322">
        <f ca="1">E74/E90</f>
        <v>15.855468749999998</v>
      </c>
    </row>
    <row r="75" spans="1:34" ht="15.6" customHeight="1" x14ac:dyDescent="0.25">
      <c r="A75" s="317">
        <v>2016</v>
      </c>
      <c r="B75" s="321">
        <v>9</v>
      </c>
      <c r="C75" s="321">
        <v>13</v>
      </c>
      <c r="D75" s="321">
        <v>30</v>
      </c>
      <c r="E75" s="321">
        <v>14</v>
      </c>
      <c r="F75" s="290"/>
      <c r="G75" s="317">
        <v>2016</v>
      </c>
      <c r="H75" s="322">
        <f ca="1">B75/B90</f>
        <v>15.966346153846152</v>
      </c>
      <c r="I75" s="322">
        <f ca="1">C75/C90</f>
        <v>10.163135593220339</v>
      </c>
      <c r="J75" s="322">
        <f ca="1">D75/D90</f>
        <v>20.5</v>
      </c>
      <c r="K75" s="322">
        <f ca="1">E75/E90</f>
        <v>20.179687499999996</v>
      </c>
    </row>
    <row r="76" spans="1:34" ht="15.6" customHeight="1" x14ac:dyDescent="0.25">
      <c r="A76" s="317">
        <v>2017</v>
      </c>
      <c r="B76" s="324">
        <v>5</v>
      </c>
      <c r="C76" s="324">
        <v>21</v>
      </c>
      <c r="D76" s="340">
        <v>19</v>
      </c>
      <c r="E76" s="340">
        <v>19</v>
      </c>
      <c r="F76" s="290"/>
      <c r="G76" s="317">
        <v>2017</v>
      </c>
      <c r="H76" s="322">
        <f ca="1">B76/B90</f>
        <v>8.8701923076923066</v>
      </c>
      <c r="I76" s="322">
        <f ca="1">C76/C90</f>
        <v>16.417372881355931</v>
      </c>
      <c r="J76" s="322">
        <f ca="1">D76/D90</f>
        <v>12.983333333333334</v>
      </c>
      <c r="K76" s="322">
        <f ca="1">E76/E90</f>
        <v>27.386718749999996</v>
      </c>
    </row>
    <row r="77" spans="1:34" ht="15.6" hidden="1" customHeight="1" x14ac:dyDescent="0.25">
      <c r="A77" s="317">
        <v>2018</v>
      </c>
      <c r="B77" s="325"/>
      <c r="C77" s="325"/>
      <c r="D77" s="325"/>
      <c r="E77" s="325"/>
      <c r="F77" s="290"/>
      <c r="G77" s="317">
        <v>2018</v>
      </c>
      <c r="H77" s="322">
        <f ca="1">B77/B90</f>
        <v>0</v>
      </c>
      <c r="I77" s="322">
        <f ca="1">C77/C90</f>
        <v>0</v>
      </c>
      <c r="J77" s="322">
        <f ca="1">D77/D90</f>
        <v>0</v>
      </c>
      <c r="K77" s="322">
        <f ca="1">E77/E90</f>
        <v>0</v>
      </c>
    </row>
    <row r="78" spans="1:34" ht="15.6" hidden="1" customHeight="1" x14ac:dyDescent="0.25">
      <c r="A78" s="317">
        <v>2019</v>
      </c>
      <c r="B78" s="325"/>
      <c r="C78" s="325"/>
      <c r="D78" s="325"/>
      <c r="E78" s="325"/>
      <c r="F78" s="290"/>
      <c r="G78" s="317">
        <v>2019</v>
      </c>
      <c r="H78" s="322">
        <f ca="1">B78/B90</f>
        <v>0</v>
      </c>
      <c r="I78" s="322">
        <f ca="1">C78/C90</f>
        <v>0</v>
      </c>
      <c r="J78" s="322">
        <f ca="1">D78/D90</f>
        <v>0</v>
      </c>
      <c r="K78" s="322">
        <f ca="1">E78/E90</f>
        <v>0</v>
      </c>
    </row>
    <row r="79" spans="1:34" ht="15.6" hidden="1" customHeight="1" x14ac:dyDescent="0.25">
      <c r="A79" s="317">
        <v>2020</v>
      </c>
      <c r="B79" s="325"/>
      <c r="C79" s="325"/>
      <c r="D79" s="325"/>
      <c r="E79" s="325"/>
      <c r="F79" s="290"/>
      <c r="G79" s="317">
        <v>2020</v>
      </c>
      <c r="H79" s="322">
        <f ca="1">B79/B90</f>
        <v>0</v>
      </c>
      <c r="I79" s="322">
        <f ca="1">C79/C90</f>
        <v>0</v>
      </c>
      <c r="J79" s="322">
        <f ca="1">D79/D90</f>
        <v>0</v>
      </c>
      <c r="K79" s="322">
        <f ca="1">E79/E90</f>
        <v>0</v>
      </c>
    </row>
    <row r="80" spans="1:34" ht="15.6" hidden="1" customHeight="1" x14ac:dyDescent="0.25">
      <c r="A80" s="317">
        <v>2021</v>
      </c>
      <c r="B80" s="325"/>
      <c r="C80" s="325"/>
      <c r="D80" s="325"/>
      <c r="E80" s="325"/>
      <c r="F80" s="290"/>
      <c r="G80" s="317">
        <v>2021</v>
      </c>
      <c r="H80" s="322">
        <f ca="1">B80/B90</f>
        <v>0</v>
      </c>
      <c r="I80" s="322">
        <f ca="1">C80/C90</f>
        <v>0</v>
      </c>
      <c r="J80" s="322">
        <f ca="1">D80/D90</f>
        <v>0</v>
      </c>
      <c r="K80" s="322">
        <f ca="1">E80/E90</f>
        <v>0</v>
      </c>
    </row>
    <row r="81" spans="1:11" ht="15.6" hidden="1" customHeight="1" x14ac:dyDescent="0.25">
      <c r="A81" s="317">
        <v>2022</v>
      </c>
      <c r="B81" s="325"/>
      <c r="C81" s="325"/>
      <c r="D81" s="325"/>
      <c r="E81" s="325"/>
      <c r="F81" s="290"/>
      <c r="G81" s="317">
        <v>2022</v>
      </c>
      <c r="H81" s="322">
        <f ca="1">B81/B90</f>
        <v>0</v>
      </c>
      <c r="I81" s="322">
        <f ca="1">C81/C90</f>
        <v>0</v>
      </c>
      <c r="J81" s="322">
        <f ca="1">D81/D90</f>
        <v>0</v>
      </c>
      <c r="K81" s="322">
        <f ca="1">E81/E90</f>
        <v>0</v>
      </c>
    </row>
    <row r="82" spans="1:11" ht="15.6" hidden="1" customHeight="1" x14ac:dyDescent="0.25">
      <c r="A82" s="317">
        <v>2023</v>
      </c>
      <c r="B82" s="325"/>
      <c r="C82" s="327"/>
      <c r="D82" s="327"/>
      <c r="E82" s="327"/>
      <c r="F82" s="290"/>
      <c r="G82" s="317">
        <v>2023</v>
      </c>
      <c r="H82" s="322">
        <f ca="1">B82/B90</f>
        <v>0</v>
      </c>
      <c r="I82" s="322">
        <f ca="1">C82/C90</f>
        <v>0</v>
      </c>
      <c r="J82" s="322">
        <f ca="1">D82/D90</f>
        <v>0</v>
      </c>
      <c r="K82" s="322">
        <f ca="1">E82/E90</f>
        <v>0</v>
      </c>
    </row>
    <row r="83" spans="1:11" ht="15.6" hidden="1" customHeight="1" x14ac:dyDescent="0.25">
      <c r="A83" s="317">
        <v>2024</v>
      </c>
      <c r="B83" s="325"/>
      <c r="C83" s="327"/>
      <c r="D83" s="327"/>
      <c r="E83" s="327"/>
      <c r="F83" s="290"/>
      <c r="G83" s="317">
        <v>2024</v>
      </c>
      <c r="H83" s="322">
        <f ca="1">B83/B90</f>
        <v>0</v>
      </c>
      <c r="I83" s="322">
        <f ca="1">C83/C90</f>
        <v>0</v>
      </c>
      <c r="J83" s="322">
        <f ca="1">D83/D90</f>
        <v>0</v>
      </c>
      <c r="K83" s="322">
        <f ca="1">E83/E90</f>
        <v>0</v>
      </c>
    </row>
    <row r="84" spans="1:11" ht="15.6" hidden="1" customHeight="1" x14ac:dyDescent="0.25">
      <c r="A84" s="317">
        <v>2025</v>
      </c>
      <c r="B84" s="325"/>
      <c r="C84" s="325"/>
      <c r="D84" s="325"/>
      <c r="E84" s="325"/>
      <c r="F84" s="290"/>
      <c r="G84" s="317">
        <v>2025</v>
      </c>
      <c r="H84" s="322">
        <f ca="1">B84/B90</f>
        <v>0</v>
      </c>
      <c r="I84" s="322">
        <f ca="1">C84/C90</f>
        <v>0</v>
      </c>
      <c r="J84" s="322">
        <f ca="1">D84/D90</f>
        <v>0</v>
      </c>
      <c r="K84" s="322">
        <f ca="1">E84/E90</f>
        <v>0</v>
      </c>
    </row>
    <row r="85" spans="1:11" ht="15.6" hidden="1" customHeight="1" x14ac:dyDescent="0.25">
      <c r="A85" s="317">
        <v>2026</v>
      </c>
      <c r="B85" s="325"/>
      <c r="C85" s="325"/>
      <c r="D85" s="325"/>
      <c r="E85" s="325"/>
      <c r="F85" s="290"/>
      <c r="G85" s="317">
        <v>2026</v>
      </c>
      <c r="H85" s="322">
        <f ca="1">B85/B90</f>
        <v>0</v>
      </c>
      <c r="I85" s="322">
        <f ca="1">C85/C90</f>
        <v>0</v>
      </c>
      <c r="J85" s="322">
        <f ca="1">D85/D90</f>
        <v>0</v>
      </c>
      <c r="K85" s="322">
        <f ca="1">E85/E90</f>
        <v>0</v>
      </c>
    </row>
    <row r="86" spans="1:11" ht="15.6" hidden="1" customHeight="1" x14ac:dyDescent="0.25">
      <c r="A86" s="317">
        <v>2027</v>
      </c>
      <c r="B86" s="341"/>
      <c r="C86" s="327"/>
      <c r="D86" s="327"/>
      <c r="E86" s="327"/>
      <c r="F86" s="290"/>
      <c r="G86" s="317">
        <v>2027</v>
      </c>
      <c r="H86" s="322">
        <f ca="1">B86/B90</f>
        <v>0</v>
      </c>
      <c r="I86" s="322">
        <f ca="1">C86/C90</f>
        <v>0</v>
      </c>
      <c r="J86" s="322">
        <f ca="1">D86/D90</f>
        <v>0</v>
      </c>
      <c r="K86" s="322">
        <f ca="1">E86/E90</f>
        <v>0</v>
      </c>
    </row>
    <row r="87" spans="1:11" ht="15.6" hidden="1" customHeight="1" x14ac:dyDescent="0.25">
      <c r="A87" s="317">
        <v>2028</v>
      </c>
      <c r="B87" s="341"/>
      <c r="C87" s="327"/>
      <c r="D87" s="327"/>
      <c r="E87" s="327"/>
      <c r="F87" s="290"/>
      <c r="G87" s="317">
        <v>2028</v>
      </c>
      <c r="H87" s="322">
        <f ca="1">B87/B90</f>
        <v>0</v>
      </c>
      <c r="I87" s="322">
        <f ca="1">C87/C90</f>
        <v>0</v>
      </c>
      <c r="J87" s="322">
        <f ca="1">D87/D90</f>
        <v>0</v>
      </c>
      <c r="K87" s="322">
        <f ca="1">E87/E90</f>
        <v>0</v>
      </c>
    </row>
    <row r="88" spans="1:11" ht="15.6" customHeight="1" x14ac:dyDescent="0.25">
      <c r="A88" s="290"/>
      <c r="B88" s="290"/>
      <c r="C88" s="290"/>
      <c r="D88" s="290"/>
      <c r="E88" s="290"/>
      <c r="F88" s="331" t="s">
        <v>173</v>
      </c>
      <c r="G88" s="834" t="s">
        <v>174</v>
      </c>
      <c r="H88" s="834"/>
      <c r="I88" s="332"/>
    </row>
    <row r="89" spans="1:11" ht="15.6" customHeight="1" x14ac:dyDescent="0.25">
      <c r="A89" s="331" t="s">
        <v>175</v>
      </c>
      <c r="B89" s="333">
        <f ca="1">AVERAGE(OFFSET(B72,0,0,COUNTA(B72:B87),1))</f>
        <v>10.4</v>
      </c>
      <c r="C89" s="333">
        <f ca="1">AVERAGE(OFFSET(C72,0,0,COUNTA(C72:C87),1))</f>
        <v>23.6</v>
      </c>
      <c r="D89" s="333">
        <f ca="1">AVERAGE(OFFSET(D72,0,0,COUNTA(D72:D87),1))</f>
        <v>27</v>
      </c>
      <c r="E89" s="333">
        <f ca="1">AVERAGE(OFFSET(E72,0,0,COUNTA(E72:E87),1))</f>
        <v>12.8</v>
      </c>
      <c r="F89" s="334">
        <f ca="1">AVERAGE(B89:E89)</f>
        <v>18.45</v>
      </c>
      <c r="G89" s="835">
        <f ca="1">AVERAGE(B90:E90)</f>
        <v>1</v>
      </c>
      <c r="H89" s="836"/>
      <c r="I89" s="332"/>
    </row>
    <row r="90" spans="1:11" ht="15.6" customHeight="1" x14ac:dyDescent="0.25">
      <c r="A90" s="331" t="s">
        <v>176</v>
      </c>
      <c r="B90" s="333">
        <f ca="1">B89/$F89</f>
        <v>0.56368563685636863</v>
      </c>
      <c r="C90" s="333">
        <f ca="1">C89/$F89</f>
        <v>1.2791327913279134</v>
      </c>
      <c r="D90" s="333">
        <f ca="1">D89/$F89</f>
        <v>1.4634146341463414</v>
      </c>
      <c r="E90" s="333">
        <f ca="1">E89/$F89</f>
        <v>0.6937669376693768</v>
      </c>
      <c r="F90" s="335"/>
      <c r="G90" s="290"/>
      <c r="H90" s="336"/>
      <c r="I90" s="332"/>
    </row>
    <row r="91" spans="1:11" ht="15.6" customHeight="1" x14ac:dyDescent="0.25">
      <c r="A91" s="290"/>
      <c r="B91" s="333"/>
      <c r="C91" s="333"/>
      <c r="D91" s="333"/>
      <c r="E91" s="333"/>
      <c r="F91" s="335"/>
      <c r="G91" s="290"/>
      <c r="H91" s="336"/>
      <c r="I91" s="332"/>
    </row>
    <row r="92" spans="1:11" ht="15.6" customHeight="1" x14ac:dyDescent="0.25">
      <c r="A92" s="290"/>
      <c r="B92" s="333"/>
      <c r="C92" s="333"/>
      <c r="D92" s="333"/>
      <c r="E92" s="333"/>
      <c r="F92" s="335"/>
      <c r="G92" s="290"/>
      <c r="H92" s="336"/>
      <c r="I92" s="332"/>
    </row>
    <row r="93" spans="1:11" ht="15.6" customHeight="1" x14ac:dyDescent="0.3">
      <c r="A93" s="316" t="s">
        <v>190</v>
      </c>
      <c r="B93" s="290"/>
      <c r="C93" s="290"/>
      <c r="D93" s="290"/>
      <c r="E93" s="290"/>
      <c r="F93" s="335"/>
      <c r="G93" s="290"/>
      <c r="H93" s="336"/>
      <c r="I93" s="332"/>
    </row>
    <row r="94" spans="1:11" ht="15.6" customHeight="1" x14ac:dyDescent="0.2">
      <c r="A94" s="317" t="s">
        <v>191</v>
      </c>
      <c r="B94" s="318" t="s">
        <v>165</v>
      </c>
      <c r="C94" s="318" t="s">
        <v>166</v>
      </c>
      <c r="D94" s="318" t="s">
        <v>167</v>
      </c>
      <c r="E94" s="318" t="s">
        <v>168</v>
      </c>
      <c r="F94" s="318" t="s">
        <v>169</v>
      </c>
      <c r="G94" s="318" t="s">
        <v>170</v>
      </c>
      <c r="H94" s="336"/>
      <c r="I94" s="332"/>
    </row>
    <row r="95" spans="1:11" ht="15.6" hidden="1" customHeight="1" x14ac:dyDescent="0.2">
      <c r="A95" s="317" t="s">
        <v>151</v>
      </c>
      <c r="B95" s="318">
        <v>3</v>
      </c>
      <c r="C95" s="318">
        <v>2</v>
      </c>
      <c r="D95" s="318"/>
      <c r="E95" s="318"/>
      <c r="F95" s="318"/>
      <c r="G95" s="318"/>
      <c r="H95" s="336"/>
      <c r="I95" s="332"/>
    </row>
    <row r="96" spans="1:11" ht="15.6" hidden="1" customHeight="1" x14ac:dyDescent="0.2">
      <c r="A96" s="317" t="s">
        <v>152</v>
      </c>
      <c r="B96" s="318">
        <v>18</v>
      </c>
      <c r="C96" s="318">
        <v>1</v>
      </c>
      <c r="D96" s="318"/>
      <c r="E96" s="318">
        <v>3</v>
      </c>
      <c r="F96" s="318">
        <v>3</v>
      </c>
      <c r="G96" s="318">
        <v>3</v>
      </c>
      <c r="H96" s="336"/>
      <c r="I96" s="332"/>
    </row>
    <row r="97" spans="1:9" ht="15.6" hidden="1" customHeight="1" x14ac:dyDescent="0.2">
      <c r="A97" s="317" t="s">
        <v>153</v>
      </c>
      <c r="B97" s="318">
        <v>8</v>
      </c>
      <c r="C97" s="318">
        <v>9</v>
      </c>
      <c r="D97" s="318">
        <v>1</v>
      </c>
      <c r="E97" s="318">
        <v>1</v>
      </c>
      <c r="F97" s="318">
        <v>1</v>
      </c>
      <c r="G97" s="318">
        <v>1</v>
      </c>
      <c r="H97" s="336"/>
      <c r="I97" s="332"/>
    </row>
    <row r="98" spans="1:9" ht="15.6" hidden="1" customHeight="1" x14ac:dyDescent="0.2">
      <c r="A98" s="317" t="s">
        <v>154</v>
      </c>
      <c r="B98" s="318">
        <v>12</v>
      </c>
      <c r="C98" s="318">
        <v>5</v>
      </c>
      <c r="D98" s="318"/>
      <c r="E98" s="318">
        <v>1</v>
      </c>
      <c r="F98" s="318">
        <v>1</v>
      </c>
      <c r="G98" s="318">
        <v>1</v>
      </c>
      <c r="H98" s="336"/>
      <c r="I98" s="332"/>
    </row>
    <row r="99" spans="1:9" ht="15.6" hidden="1" customHeight="1" x14ac:dyDescent="0.2">
      <c r="A99" s="317" t="s">
        <v>155</v>
      </c>
      <c r="B99" s="318">
        <v>8</v>
      </c>
      <c r="C99" s="318">
        <v>1</v>
      </c>
      <c r="D99" s="318"/>
      <c r="E99" s="318">
        <v>1</v>
      </c>
      <c r="F99" s="318">
        <v>1</v>
      </c>
      <c r="G99" s="318">
        <v>1</v>
      </c>
      <c r="H99" s="336"/>
      <c r="I99" s="332"/>
    </row>
    <row r="100" spans="1:9" ht="15.6" hidden="1" customHeight="1" x14ac:dyDescent="0.2">
      <c r="A100" s="317" t="s">
        <v>156</v>
      </c>
      <c r="B100" s="318">
        <v>9</v>
      </c>
      <c r="C100" s="318">
        <v>1</v>
      </c>
      <c r="D100" s="318">
        <v>1</v>
      </c>
      <c r="E100" s="318">
        <v>3</v>
      </c>
      <c r="F100" s="318">
        <v>3</v>
      </c>
      <c r="G100" s="318">
        <v>3</v>
      </c>
      <c r="H100" s="336"/>
      <c r="I100" s="332"/>
    </row>
    <row r="101" spans="1:9" ht="15.6" hidden="1" customHeight="1" x14ac:dyDescent="0.2">
      <c r="A101" s="317" t="s">
        <v>157</v>
      </c>
      <c r="B101" s="318">
        <v>19</v>
      </c>
      <c r="C101" s="318">
        <v>1</v>
      </c>
      <c r="D101" s="318">
        <v>1</v>
      </c>
      <c r="E101" s="318"/>
      <c r="F101" s="318"/>
      <c r="G101" s="318"/>
      <c r="H101" s="336"/>
      <c r="I101" s="332"/>
    </row>
    <row r="102" spans="1:9" ht="15.6" hidden="1" customHeight="1" x14ac:dyDescent="0.2">
      <c r="A102" s="317" t="s">
        <v>158</v>
      </c>
      <c r="B102" s="325">
        <v>6</v>
      </c>
      <c r="C102" s="325">
        <v>1</v>
      </c>
      <c r="D102" s="325"/>
      <c r="E102" s="325"/>
      <c r="F102" s="325"/>
      <c r="G102" s="325"/>
      <c r="H102" s="336"/>
      <c r="I102" s="332"/>
    </row>
    <row r="103" spans="1:9" ht="15.6" hidden="1" customHeight="1" x14ac:dyDescent="0.2">
      <c r="A103" s="317" t="s">
        <v>159</v>
      </c>
      <c r="B103" s="325">
        <v>5</v>
      </c>
      <c r="C103" s="325">
        <v>3</v>
      </c>
      <c r="D103" s="325"/>
      <c r="E103" s="325"/>
      <c r="F103" s="325"/>
      <c r="G103" s="325"/>
      <c r="H103" s="336"/>
      <c r="I103" s="332"/>
    </row>
    <row r="104" spans="1:9" ht="15.6" customHeight="1" x14ac:dyDescent="0.25">
      <c r="A104" s="317" t="s">
        <v>192</v>
      </c>
      <c r="B104" s="342"/>
      <c r="C104" s="342"/>
      <c r="D104" s="340">
        <v>2</v>
      </c>
      <c r="E104" s="340">
        <v>8</v>
      </c>
      <c r="F104" s="339">
        <v>3</v>
      </c>
      <c r="G104" s="339">
        <v>4</v>
      </c>
      <c r="H104" s="290">
        <v>16</v>
      </c>
      <c r="I104" s="332"/>
    </row>
    <row r="105" spans="1:9" ht="15.6" customHeight="1" x14ac:dyDescent="0.25">
      <c r="A105" s="317" t="s">
        <v>193</v>
      </c>
      <c r="B105" s="342"/>
      <c r="C105" s="342"/>
      <c r="D105" s="340"/>
      <c r="E105" s="340">
        <v>4</v>
      </c>
      <c r="F105" s="339">
        <v>4</v>
      </c>
      <c r="G105" s="339">
        <v>4</v>
      </c>
      <c r="H105" s="290">
        <v>12</v>
      </c>
      <c r="I105" s="332"/>
    </row>
    <row r="106" spans="1:9" ht="15.6" customHeight="1" x14ac:dyDescent="0.25">
      <c r="A106" s="317" t="s">
        <v>194</v>
      </c>
      <c r="B106" s="342"/>
      <c r="C106" s="342"/>
      <c r="D106" s="340">
        <v>1</v>
      </c>
      <c r="E106" s="340">
        <v>3</v>
      </c>
      <c r="F106" s="339">
        <v>4</v>
      </c>
      <c r="G106" s="339">
        <v>3</v>
      </c>
      <c r="H106" s="290">
        <v>9</v>
      </c>
      <c r="I106" s="332"/>
    </row>
    <row r="107" spans="1:9" ht="15.6" customHeight="1" x14ac:dyDescent="0.25">
      <c r="A107" s="317" t="s">
        <v>195</v>
      </c>
      <c r="B107" s="325"/>
      <c r="C107" s="325"/>
      <c r="D107" s="340"/>
      <c r="E107" s="340">
        <v>2</v>
      </c>
      <c r="F107" s="340">
        <v>2</v>
      </c>
      <c r="G107" s="340">
        <v>3</v>
      </c>
      <c r="H107" s="290">
        <v>6</v>
      </c>
      <c r="I107" s="332"/>
    </row>
    <row r="108" spans="1:9" ht="15.6" customHeight="1" x14ac:dyDescent="0.25">
      <c r="A108" s="317" t="s">
        <v>196</v>
      </c>
      <c r="B108" s="342"/>
      <c r="C108" s="342"/>
      <c r="D108" s="340">
        <v>1</v>
      </c>
      <c r="E108" s="340"/>
      <c r="F108" s="339">
        <v>2</v>
      </c>
      <c r="G108" s="339">
        <v>3</v>
      </c>
      <c r="H108" s="290">
        <v>5</v>
      </c>
      <c r="I108" s="332"/>
    </row>
    <row r="109" spans="1:9" ht="15.6" customHeight="1" x14ac:dyDescent="0.25">
      <c r="A109" s="317" t="s">
        <v>197</v>
      </c>
      <c r="B109" s="342"/>
      <c r="C109" s="342"/>
      <c r="D109" s="340"/>
      <c r="E109" s="340">
        <v>1</v>
      </c>
      <c r="F109" s="339">
        <v>3</v>
      </c>
      <c r="G109" s="339"/>
      <c r="H109" s="290">
        <v>4</v>
      </c>
      <c r="I109" s="332"/>
    </row>
    <row r="110" spans="1:9" ht="15.6" customHeight="1" x14ac:dyDescent="0.25">
      <c r="A110" s="317" t="s">
        <v>198</v>
      </c>
      <c r="B110" s="342"/>
      <c r="C110" s="342"/>
      <c r="D110" s="340"/>
      <c r="E110" s="340">
        <v>1</v>
      </c>
      <c r="F110" s="339"/>
      <c r="G110" s="339">
        <v>2</v>
      </c>
      <c r="H110" s="290">
        <v>2</v>
      </c>
      <c r="I110" s="332"/>
    </row>
    <row r="111" spans="1:9" ht="15.6" customHeight="1" x14ac:dyDescent="0.25">
      <c r="A111" s="317" t="s">
        <v>199</v>
      </c>
      <c r="B111" s="342"/>
      <c r="C111" s="342"/>
      <c r="D111" s="340">
        <v>1</v>
      </c>
      <c r="E111" s="340">
        <v>1</v>
      </c>
      <c r="F111" s="339">
        <v>1</v>
      </c>
      <c r="G111" s="339"/>
      <c r="H111" s="290">
        <v>2</v>
      </c>
      <c r="I111" s="332"/>
    </row>
    <row r="112" spans="1:9" ht="15.6" customHeight="1" x14ac:dyDescent="0.25">
      <c r="A112" s="317" t="s">
        <v>200</v>
      </c>
      <c r="B112" s="325"/>
      <c r="C112" s="325"/>
      <c r="D112" s="340"/>
      <c r="E112" s="340">
        <v>1</v>
      </c>
      <c r="F112" s="340"/>
      <c r="G112" s="339"/>
      <c r="H112" s="290">
        <v>1</v>
      </c>
      <c r="I112" s="332"/>
    </row>
    <row r="113" spans="1:34" ht="15.6" hidden="1" customHeight="1" x14ac:dyDescent="0.25">
      <c r="A113" s="317" t="s">
        <v>169</v>
      </c>
      <c r="B113" s="327"/>
      <c r="C113" s="327"/>
      <c r="D113" s="327"/>
      <c r="E113" s="327"/>
      <c r="F113" s="335"/>
      <c r="G113" s="290"/>
      <c r="H113" s="336"/>
      <c r="I113" s="332"/>
    </row>
    <row r="114" spans="1:34" ht="15.6" hidden="1" customHeight="1" x14ac:dyDescent="0.25">
      <c r="A114" s="317" t="s">
        <v>170</v>
      </c>
      <c r="B114" s="327"/>
      <c r="C114" s="327"/>
      <c r="D114" s="327"/>
      <c r="E114" s="327"/>
      <c r="F114" s="335"/>
      <c r="G114" s="290"/>
      <c r="H114" s="336"/>
      <c r="I114" s="332"/>
    </row>
    <row r="115" spans="1:34" ht="15.6" customHeight="1" x14ac:dyDescent="0.25">
      <c r="A115" s="331"/>
      <c r="B115" s="333"/>
      <c r="C115" s="333"/>
      <c r="D115" s="333"/>
      <c r="E115" s="333"/>
      <c r="F115" s="335"/>
      <c r="G115" s="290"/>
      <c r="H115" s="336"/>
      <c r="I115" s="332"/>
    </row>
    <row r="116" spans="1:34" ht="15.6" customHeight="1" x14ac:dyDescent="0.25">
      <c r="A116" s="331"/>
      <c r="B116" s="333"/>
      <c r="C116" s="333"/>
      <c r="D116" s="333"/>
      <c r="E116" s="333"/>
      <c r="F116" s="335"/>
      <c r="G116" s="290"/>
      <c r="H116" s="336"/>
      <c r="I116" s="332"/>
    </row>
    <row r="117" spans="1:34" ht="15.6" customHeight="1" x14ac:dyDescent="0.25">
      <c r="A117" s="331"/>
      <c r="B117" s="333"/>
      <c r="C117" s="333"/>
      <c r="D117" s="333"/>
      <c r="E117" s="333"/>
      <c r="F117" s="335"/>
      <c r="G117" s="290"/>
      <c r="H117" s="336"/>
      <c r="I117" s="332"/>
    </row>
    <row r="118" spans="1:34" ht="21" customHeight="1" x14ac:dyDescent="0.35">
      <c r="A118" s="343" t="s">
        <v>201</v>
      </c>
      <c r="B118" s="290"/>
      <c r="C118" s="290"/>
      <c r="D118" s="290"/>
      <c r="E118" s="290"/>
      <c r="F118" s="290"/>
      <c r="G118" s="290" t="s">
        <v>202</v>
      </c>
      <c r="H118" s="290"/>
      <c r="I118" s="290"/>
      <c r="M118" s="213" t="s">
        <v>203</v>
      </c>
    </row>
    <row r="119" spans="1:34" ht="15.6" customHeight="1" x14ac:dyDescent="0.25">
      <c r="A119" s="317" t="s">
        <v>82</v>
      </c>
      <c r="B119" s="318" t="s">
        <v>143</v>
      </c>
      <c r="C119" s="318" t="s">
        <v>144</v>
      </c>
      <c r="D119" s="318" t="s">
        <v>145</v>
      </c>
      <c r="E119" s="318" t="s">
        <v>146</v>
      </c>
      <c r="F119" s="290"/>
      <c r="G119" s="317" t="s">
        <v>82</v>
      </c>
      <c r="H119" s="318" t="s">
        <v>147</v>
      </c>
      <c r="I119" s="318" t="s">
        <v>148</v>
      </c>
      <c r="J119" s="318" t="s">
        <v>149</v>
      </c>
      <c r="K119" s="318" t="s">
        <v>150</v>
      </c>
      <c r="M119" s="319" t="s">
        <v>82</v>
      </c>
      <c r="N119" s="320" t="s">
        <v>151</v>
      </c>
      <c r="O119" s="320" t="s">
        <v>152</v>
      </c>
      <c r="P119" s="320" t="s">
        <v>153</v>
      </c>
      <c r="Q119" s="320" t="s">
        <v>154</v>
      </c>
      <c r="R119" s="320" t="s">
        <v>155</v>
      </c>
      <c r="S119" s="320" t="s">
        <v>156</v>
      </c>
      <c r="T119" s="320" t="s">
        <v>157</v>
      </c>
      <c r="U119" s="320" t="s">
        <v>158</v>
      </c>
      <c r="V119" s="320" t="s">
        <v>159</v>
      </c>
      <c r="W119" s="320" t="s">
        <v>160</v>
      </c>
      <c r="X119" s="320" t="s">
        <v>161</v>
      </c>
      <c r="Y119" s="320" t="s">
        <v>162</v>
      </c>
      <c r="Z119" s="320" t="s">
        <v>163</v>
      </c>
      <c r="AA119" s="320" t="s">
        <v>164</v>
      </c>
      <c r="AB119" s="320" t="s">
        <v>165</v>
      </c>
      <c r="AC119" s="320" t="s">
        <v>166</v>
      </c>
      <c r="AD119" s="320" t="s">
        <v>167</v>
      </c>
      <c r="AE119" s="320" t="s">
        <v>168</v>
      </c>
      <c r="AF119" s="320" t="s">
        <v>169</v>
      </c>
      <c r="AG119" s="320" t="s">
        <v>170</v>
      </c>
      <c r="AH119" s="320" t="s">
        <v>171</v>
      </c>
    </row>
    <row r="120" spans="1:34" ht="15.6" customHeight="1" x14ac:dyDescent="0.25">
      <c r="A120" s="317">
        <v>2013</v>
      </c>
      <c r="B120" s="321">
        <v>25</v>
      </c>
      <c r="C120" s="321">
        <v>20</v>
      </c>
      <c r="D120" s="321">
        <v>18</v>
      </c>
      <c r="E120" s="321">
        <v>21</v>
      </c>
      <c r="F120" s="290"/>
      <c r="G120" s="317">
        <v>2013</v>
      </c>
      <c r="H120" s="322">
        <f ca="1">B120/B138</f>
        <v>20.196280991735538</v>
      </c>
      <c r="I120" s="322">
        <f ca="1">C120/C138</f>
        <v>23.273809523809522</v>
      </c>
      <c r="J120" s="322">
        <f ca="1">D120/D138</f>
        <v>19.55</v>
      </c>
      <c r="K120" s="322">
        <f ca="1">E120/E138</f>
        <v>21.382812500000004</v>
      </c>
      <c r="M120" s="319" t="s">
        <v>73</v>
      </c>
      <c r="N120" s="320">
        <f>B120</f>
        <v>25</v>
      </c>
      <c r="O120" s="320">
        <f>C120</f>
        <v>20</v>
      </c>
      <c r="P120" s="320">
        <f>D120</f>
        <v>18</v>
      </c>
      <c r="Q120" s="320">
        <f>E120</f>
        <v>21</v>
      </c>
      <c r="R120" s="320">
        <f>B121</f>
        <v>23</v>
      </c>
      <c r="S120" s="320">
        <f>C121</f>
        <v>21</v>
      </c>
      <c r="T120" s="320">
        <f>D121</f>
        <v>15</v>
      </c>
      <c r="U120" s="320">
        <f>E121</f>
        <v>35</v>
      </c>
      <c r="V120" s="320">
        <f>B122</f>
        <v>21</v>
      </c>
      <c r="W120" s="320">
        <f>C122</f>
        <v>21</v>
      </c>
      <c r="X120" s="320">
        <f>D122</f>
        <v>27</v>
      </c>
      <c r="Y120" s="320">
        <f>E122</f>
        <v>17</v>
      </c>
      <c r="Z120" s="320">
        <f>B123</f>
        <v>33</v>
      </c>
      <c r="AA120" s="320">
        <f>C123</f>
        <v>13</v>
      </c>
      <c r="AB120" s="320">
        <f>D123</f>
        <v>16</v>
      </c>
      <c r="AC120" s="320">
        <f>E123</f>
        <v>8</v>
      </c>
      <c r="AD120" s="320">
        <f>B124</f>
        <v>19</v>
      </c>
      <c r="AE120" s="320">
        <f>C124</f>
        <v>9</v>
      </c>
      <c r="AF120" s="320">
        <f t="shared" ref="AF120:AG120" si="5">D124</f>
        <v>14</v>
      </c>
      <c r="AG120" s="320">
        <f t="shared" si="5"/>
        <v>15</v>
      </c>
      <c r="AH120" s="320">
        <f>B125</f>
        <v>0</v>
      </c>
    </row>
    <row r="121" spans="1:34" ht="15.6" customHeight="1" x14ac:dyDescent="0.25">
      <c r="A121" s="317">
        <v>2014</v>
      </c>
      <c r="B121" s="321">
        <v>23</v>
      </c>
      <c r="C121" s="321">
        <v>21</v>
      </c>
      <c r="D121" s="321">
        <v>15</v>
      </c>
      <c r="E121" s="321">
        <v>35</v>
      </c>
      <c r="F121" s="290"/>
      <c r="G121" s="317">
        <v>2014</v>
      </c>
      <c r="H121" s="322">
        <f ca="1">B121/B138</f>
        <v>18.580578512396695</v>
      </c>
      <c r="I121" s="322">
        <f ca="1">C121/C138</f>
        <v>24.4375</v>
      </c>
      <c r="J121" s="322">
        <f ca="1">D121/D138</f>
        <v>16.291666666666668</v>
      </c>
      <c r="K121" s="322">
        <f ca="1">E121/E138</f>
        <v>35.638020833333336</v>
      </c>
      <c r="M121" s="319" t="s">
        <v>172</v>
      </c>
      <c r="N121" s="323">
        <f ca="1">H120</f>
        <v>20.196280991735538</v>
      </c>
      <c r="O121" s="323">
        <f ca="1">I120</f>
        <v>23.273809523809522</v>
      </c>
      <c r="P121" s="323">
        <f ca="1">J120</f>
        <v>19.55</v>
      </c>
      <c r="Q121" s="323">
        <f ca="1">K120</f>
        <v>21.382812500000004</v>
      </c>
      <c r="R121" s="323">
        <f ca="1">H121</f>
        <v>18.580578512396695</v>
      </c>
      <c r="S121" s="323">
        <f ca="1">I121</f>
        <v>24.4375</v>
      </c>
      <c r="T121" s="323">
        <f ca="1">J121</f>
        <v>16.291666666666668</v>
      </c>
      <c r="U121" s="323">
        <f ca="1">K121</f>
        <v>35.638020833333336</v>
      </c>
      <c r="V121" s="323">
        <f ca="1">H122</f>
        <v>16.964876033057852</v>
      </c>
      <c r="W121" s="323">
        <f ca="1">I122</f>
        <v>24.4375</v>
      </c>
      <c r="X121" s="323">
        <f ca="1">J122</f>
        <v>29.324999999999999</v>
      </c>
      <c r="Y121" s="323">
        <f ca="1">K122</f>
        <v>17.309895833333336</v>
      </c>
      <c r="Z121" s="323">
        <f ca="1">H123</f>
        <v>26.65909090909091</v>
      </c>
      <c r="AA121" s="323">
        <f ca="1">I123</f>
        <v>15.12797619047619</v>
      </c>
      <c r="AB121" s="323">
        <f ca="1">J123</f>
        <v>17.37777777777778</v>
      </c>
      <c r="AC121" s="323">
        <f ca="1">K123</f>
        <v>8.1458333333333339</v>
      </c>
      <c r="AD121" s="323">
        <f ca="1">H124</f>
        <v>15.349173553719009</v>
      </c>
      <c r="AE121" s="323">
        <f ca="1">I124</f>
        <v>10.473214285714285</v>
      </c>
      <c r="AF121" s="323">
        <f t="shared" ref="AF121:AG121" ca="1" si="6">J124</f>
        <v>15.205555555555556</v>
      </c>
      <c r="AG121" s="323">
        <f t="shared" ca="1" si="6"/>
        <v>15.273437500000002</v>
      </c>
      <c r="AH121" s="323">
        <f ca="1">H125</f>
        <v>0</v>
      </c>
    </row>
    <row r="122" spans="1:34" ht="15.6" customHeight="1" x14ac:dyDescent="0.25">
      <c r="A122" s="317">
        <v>2015</v>
      </c>
      <c r="B122" s="321">
        <v>21</v>
      </c>
      <c r="C122" s="321">
        <v>21</v>
      </c>
      <c r="D122" s="321">
        <v>27</v>
      </c>
      <c r="E122" s="321">
        <v>17</v>
      </c>
      <c r="F122" s="290"/>
      <c r="G122" s="317">
        <v>2015</v>
      </c>
      <c r="H122" s="322">
        <f ca="1">B122/B138</f>
        <v>16.964876033057852</v>
      </c>
      <c r="I122" s="322">
        <f ca="1">C122/C138</f>
        <v>24.4375</v>
      </c>
      <c r="J122" s="322">
        <f ca="1">D122/D138</f>
        <v>29.324999999999999</v>
      </c>
      <c r="K122" s="322">
        <f ca="1">E122/E138</f>
        <v>17.309895833333336</v>
      </c>
    </row>
    <row r="123" spans="1:34" ht="15.6" customHeight="1" x14ac:dyDescent="0.25">
      <c r="A123" s="317">
        <v>2016</v>
      </c>
      <c r="B123" s="321">
        <v>33</v>
      </c>
      <c r="C123" s="321">
        <v>13</v>
      </c>
      <c r="D123" s="321">
        <v>16</v>
      </c>
      <c r="E123" s="321">
        <v>8</v>
      </c>
      <c r="F123" s="290"/>
      <c r="G123" s="317">
        <v>2016</v>
      </c>
      <c r="H123" s="322">
        <f ca="1">B123/B138</f>
        <v>26.65909090909091</v>
      </c>
      <c r="I123" s="322">
        <f ca="1">C123/C138</f>
        <v>15.12797619047619</v>
      </c>
      <c r="J123" s="322">
        <f ca="1">D123/D138</f>
        <v>17.37777777777778</v>
      </c>
      <c r="K123" s="322">
        <f ca="1">E123/E138</f>
        <v>8.1458333333333339</v>
      </c>
    </row>
    <row r="124" spans="1:34" ht="15.6" customHeight="1" x14ac:dyDescent="0.25">
      <c r="A124" s="317">
        <v>2017</v>
      </c>
      <c r="B124" s="324">
        <v>19</v>
      </c>
      <c r="C124" s="324">
        <v>9</v>
      </c>
      <c r="D124" s="340">
        <v>14</v>
      </c>
      <c r="E124" s="340">
        <v>15</v>
      </c>
      <c r="F124" s="290"/>
      <c r="G124" s="317">
        <v>2017</v>
      </c>
      <c r="H124" s="322">
        <f ca="1">B124/B138</f>
        <v>15.349173553719009</v>
      </c>
      <c r="I124" s="322">
        <f ca="1">C124/C138</f>
        <v>10.473214285714285</v>
      </c>
      <c r="J124" s="322">
        <f ca="1">D124/D138</f>
        <v>15.205555555555556</v>
      </c>
      <c r="K124" s="322">
        <f ca="1">E124/E138</f>
        <v>15.273437500000002</v>
      </c>
    </row>
    <row r="125" spans="1:34" ht="15.6" hidden="1" customHeight="1" x14ac:dyDescent="0.25">
      <c r="A125" s="317">
        <v>2018</v>
      </c>
      <c r="B125" s="325"/>
      <c r="C125" s="325"/>
      <c r="D125" s="325"/>
      <c r="E125" s="325"/>
      <c r="F125" s="290"/>
      <c r="G125" s="317">
        <v>2018</v>
      </c>
      <c r="H125" s="322">
        <f ca="1">B125/B138</f>
        <v>0</v>
      </c>
      <c r="I125" s="322">
        <f ca="1">C125/C138</f>
        <v>0</v>
      </c>
      <c r="J125" s="322">
        <f ca="1">D125/D138</f>
        <v>0</v>
      </c>
      <c r="K125" s="322">
        <f ca="1">E125/E138</f>
        <v>0</v>
      </c>
    </row>
    <row r="126" spans="1:34" ht="15.6" hidden="1" customHeight="1" x14ac:dyDescent="0.25">
      <c r="A126" s="317">
        <v>2019</v>
      </c>
      <c r="B126" s="325"/>
      <c r="C126" s="325"/>
      <c r="D126" s="325"/>
      <c r="E126" s="325"/>
      <c r="F126" s="290"/>
      <c r="G126" s="317">
        <v>2019</v>
      </c>
      <c r="H126" s="322">
        <f ca="1">B126/B138</f>
        <v>0</v>
      </c>
      <c r="I126" s="322">
        <f ca="1">C126/C138</f>
        <v>0</v>
      </c>
      <c r="J126" s="322">
        <f ca="1">D126/D138</f>
        <v>0</v>
      </c>
      <c r="K126" s="322">
        <f ca="1">E126/E138</f>
        <v>0</v>
      </c>
    </row>
    <row r="127" spans="1:34" ht="15.6" hidden="1" customHeight="1" x14ac:dyDescent="0.25">
      <c r="A127" s="317">
        <v>2020</v>
      </c>
      <c r="B127" s="325"/>
      <c r="C127" s="325"/>
      <c r="D127" s="325"/>
      <c r="E127" s="325"/>
      <c r="F127" s="290"/>
      <c r="G127" s="317">
        <v>2020</v>
      </c>
      <c r="H127" s="322">
        <f ca="1">B127/B138</f>
        <v>0</v>
      </c>
      <c r="I127" s="322">
        <f ca="1">C127/C138</f>
        <v>0</v>
      </c>
      <c r="J127" s="322">
        <f ca="1">D127/D138</f>
        <v>0</v>
      </c>
      <c r="K127" s="322">
        <f ca="1">E127/E138</f>
        <v>0</v>
      </c>
    </row>
    <row r="128" spans="1:34" ht="15.6" hidden="1" customHeight="1" x14ac:dyDescent="0.25">
      <c r="A128" s="317">
        <v>2021</v>
      </c>
      <c r="B128" s="325"/>
      <c r="C128" s="325"/>
      <c r="D128" s="325"/>
      <c r="E128" s="325"/>
      <c r="F128" s="290"/>
      <c r="G128" s="317">
        <v>2021</v>
      </c>
      <c r="H128" s="322">
        <f ca="1">B128/B138</f>
        <v>0</v>
      </c>
      <c r="I128" s="322">
        <f ca="1">C128/C138</f>
        <v>0</v>
      </c>
      <c r="J128" s="322">
        <f ca="1">D128/D138</f>
        <v>0</v>
      </c>
      <c r="K128" s="322">
        <f ca="1">E128/E138</f>
        <v>0</v>
      </c>
    </row>
    <row r="129" spans="1:11" ht="15.6" hidden="1" customHeight="1" x14ac:dyDescent="0.25">
      <c r="A129" s="317">
        <v>2022</v>
      </c>
      <c r="B129" s="325"/>
      <c r="C129" s="325"/>
      <c r="D129" s="325"/>
      <c r="E129" s="325"/>
      <c r="F129" s="290"/>
      <c r="G129" s="317">
        <v>2022</v>
      </c>
      <c r="H129" s="322">
        <f ca="1">B129/B138</f>
        <v>0</v>
      </c>
      <c r="I129" s="322">
        <f ca="1">C129/C138</f>
        <v>0</v>
      </c>
      <c r="J129" s="322">
        <f ca="1">D129/D138</f>
        <v>0</v>
      </c>
      <c r="K129" s="322">
        <f ca="1">E129/E138</f>
        <v>0</v>
      </c>
    </row>
    <row r="130" spans="1:11" ht="15.6" hidden="1" customHeight="1" x14ac:dyDescent="0.25">
      <c r="A130" s="317">
        <v>2023</v>
      </c>
      <c r="B130" s="325"/>
      <c r="C130" s="327"/>
      <c r="D130" s="327"/>
      <c r="E130" s="327"/>
      <c r="F130" s="290"/>
      <c r="G130" s="317">
        <v>2023</v>
      </c>
      <c r="H130" s="322">
        <f ca="1">B130/B138</f>
        <v>0</v>
      </c>
      <c r="I130" s="322" t="e">
        <f>IF('1 EA 2 Data Sheet'!dline1_1EA2=0,"")</f>
        <v>#NAME?</v>
      </c>
      <c r="J130" s="322">
        <f ca="1">D130/D138</f>
        <v>0</v>
      </c>
      <c r="K130" s="322">
        <f ca="1">E130/E138</f>
        <v>0</v>
      </c>
    </row>
    <row r="131" spans="1:11" ht="15.6" hidden="1" customHeight="1" x14ac:dyDescent="0.25">
      <c r="A131" s="317">
        <v>2024</v>
      </c>
      <c r="B131" s="325"/>
      <c r="C131" s="327"/>
      <c r="D131" s="327"/>
      <c r="E131" s="327"/>
      <c r="F131" s="290"/>
      <c r="G131" s="317">
        <v>2024</v>
      </c>
      <c r="H131" s="322">
        <f ca="1">B131/B138</f>
        <v>0</v>
      </c>
      <c r="I131" s="322">
        <f ca="1">C131/C138</f>
        <v>0</v>
      </c>
      <c r="J131" s="322">
        <f ca="1">D131/D138</f>
        <v>0</v>
      </c>
      <c r="K131" s="322">
        <f ca="1">E131/E138</f>
        <v>0</v>
      </c>
    </row>
    <row r="132" spans="1:11" ht="15.6" hidden="1" customHeight="1" x14ac:dyDescent="0.25">
      <c r="A132" s="317">
        <v>2025</v>
      </c>
      <c r="B132" s="325"/>
      <c r="C132" s="325"/>
      <c r="D132" s="325"/>
      <c r="E132" s="325"/>
      <c r="F132" s="290"/>
      <c r="G132" s="317">
        <v>2025</v>
      </c>
      <c r="H132" s="322">
        <f ca="1">B132/B138</f>
        <v>0</v>
      </c>
      <c r="I132" s="322">
        <f ca="1">C132/C138</f>
        <v>0</v>
      </c>
      <c r="J132" s="322">
        <f ca="1">D132/D138</f>
        <v>0</v>
      </c>
      <c r="K132" s="322">
        <f ca="1">E132/E138</f>
        <v>0</v>
      </c>
    </row>
    <row r="133" spans="1:11" ht="15.6" hidden="1" customHeight="1" x14ac:dyDescent="0.25">
      <c r="A133" s="317">
        <v>2026</v>
      </c>
      <c r="B133" s="326"/>
      <c r="C133" s="325"/>
      <c r="D133" s="325"/>
      <c r="E133" s="325"/>
      <c r="F133" s="290"/>
      <c r="G133" s="317">
        <v>2026</v>
      </c>
      <c r="H133" s="322">
        <f ca="1">B133/B138</f>
        <v>0</v>
      </c>
      <c r="I133" s="322">
        <f ca="1">C133/C138</f>
        <v>0</v>
      </c>
      <c r="J133" s="322">
        <f ca="1">D133/D138</f>
        <v>0</v>
      </c>
      <c r="K133" s="322">
        <f ca="1">E133/E138</f>
        <v>0</v>
      </c>
    </row>
    <row r="134" spans="1:11" ht="15.6" hidden="1" customHeight="1" x14ac:dyDescent="0.25">
      <c r="A134" s="317">
        <v>2027</v>
      </c>
      <c r="B134" s="327"/>
      <c r="C134" s="327"/>
      <c r="D134" s="327"/>
      <c r="E134" s="327"/>
      <c r="F134" s="290"/>
      <c r="G134" s="317">
        <v>2027</v>
      </c>
      <c r="H134" s="322">
        <f ca="1">B134/B138</f>
        <v>0</v>
      </c>
      <c r="I134" s="322">
        <f ca="1">C134/C138</f>
        <v>0</v>
      </c>
      <c r="J134" s="322">
        <f ca="1">D134/D138</f>
        <v>0</v>
      </c>
      <c r="K134" s="322">
        <f ca="1">E134/E138</f>
        <v>0</v>
      </c>
    </row>
    <row r="135" spans="1:11" ht="15.6" hidden="1" customHeight="1" x14ac:dyDescent="0.25">
      <c r="A135" s="317">
        <v>2028</v>
      </c>
      <c r="B135" s="327"/>
      <c r="C135" s="327"/>
      <c r="D135" s="327"/>
      <c r="E135" s="327"/>
      <c r="F135" s="290"/>
      <c r="G135" s="317">
        <v>2028</v>
      </c>
      <c r="H135" s="322">
        <f ca="1">B135/B138</f>
        <v>0</v>
      </c>
      <c r="I135" s="322">
        <f ca="1">C135/C138</f>
        <v>0</v>
      </c>
      <c r="J135" s="322">
        <f ca="1">D135/D138</f>
        <v>0</v>
      </c>
      <c r="K135" s="322">
        <f ca="1">E135/E138</f>
        <v>0</v>
      </c>
    </row>
    <row r="136" spans="1:11" ht="15.6" customHeight="1" x14ac:dyDescent="0.25">
      <c r="A136" s="290"/>
      <c r="B136" s="290"/>
      <c r="C136" s="290"/>
      <c r="D136" s="290"/>
      <c r="E136" s="290"/>
      <c r="F136" s="331" t="s">
        <v>173</v>
      </c>
      <c r="G136" s="834" t="s">
        <v>174</v>
      </c>
      <c r="H136" s="834"/>
      <c r="I136" s="332"/>
    </row>
    <row r="137" spans="1:11" ht="15.6" customHeight="1" x14ac:dyDescent="0.25">
      <c r="A137" s="331" t="s">
        <v>175</v>
      </c>
      <c r="B137" s="333">
        <f ca="1">AVERAGE(OFFSET(B120,0,0,COUNTA(B120:B135),1))</f>
        <v>24.2</v>
      </c>
      <c r="C137" s="333">
        <f ca="1">AVERAGE(OFFSET(C120,0,0,COUNTA(C120:C135),1))</f>
        <v>16.8</v>
      </c>
      <c r="D137" s="333">
        <f ca="1">AVERAGE(OFFSET(D120,0,0,COUNTA(D120:D135),1))</f>
        <v>18</v>
      </c>
      <c r="E137" s="333">
        <f ca="1">AVERAGE(OFFSET(E120,0,0,COUNTA(E120:E135),1))</f>
        <v>19.2</v>
      </c>
      <c r="F137" s="334">
        <f ca="1">AVERAGE(B137:E137)</f>
        <v>19.55</v>
      </c>
      <c r="G137" s="835">
        <f ca="1">AVERAGE(B138:E138)</f>
        <v>1</v>
      </c>
      <c r="H137" s="836"/>
      <c r="I137" s="332"/>
    </row>
    <row r="138" spans="1:11" ht="15.6" customHeight="1" x14ac:dyDescent="0.25">
      <c r="A138" s="331" t="s">
        <v>176</v>
      </c>
      <c r="B138" s="333">
        <f ca="1">B137/$F137</f>
        <v>1.2378516624040921</v>
      </c>
      <c r="C138" s="333">
        <f ca="1">C137/$F137</f>
        <v>0.85933503836317138</v>
      </c>
      <c r="D138" s="333">
        <f ca="1">D137/$F137</f>
        <v>0.92071611253196928</v>
      </c>
      <c r="E138" s="333">
        <f ca="1">E137/$F137</f>
        <v>0.98209718670076718</v>
      </c>
      <c r="F138" s="335"/>
      <c r="G138" s="290"/>
      <c r="H138" s="336"/>
      <c r="I138" s="332"/>
    </row>
    <row r="139" spans="1:11" ht="15.6" customHeight="1" x14ac:dyDescent="0.25">
      <c r="A139" s="331"/>
      <c r="B139" s="333"/>
      <c r="C139" s="333"/>
      <c r="D139" s="333"/>
      <c r="E139" s="333"/>
      <c r="F139" s="335"/>
      <c r="G139" s="290"/>
      <c r="H139" s="336"/>
      <c r="I139" s="332"/>
    </row>
    <row r="140" spans="1:11" ht="15.6" customHeight="1" x14ac:dyDescent="0.25">
      <c r="A140" s="331" t="s">
        <v>204</v>
      </c>
      <c r="B140" s="290"/>
      <c r="C140" s="290"/>
      <c r="D140" s="290"/>
      <c r="E140" s="290"/>
      <c r="F140" s="335"/>
      <c r="G140" s="290"/>
      <c r="H140" s="336"/>
      <c r="I140" s="332"/>
    </row>
    <row r="141" spans="1:11" ht="15.6" customHeight="1" x14ac:dyDescent="0.2">
      <c r="A141" s="317" t="s">
        <v>82</v>
      </c>
      <c r="B141" s="318" t="s">
        <v>165</v>
      </c>
      <c r="C141" s="318" t="s">
        <v>166</v>
      </c>
      <c r="D141" s="318" t="s">
        <v>167</v>
      </c>
      <c r="E141" s="318" t="s">
        <v>168</v>
      </c>
      <c r="F141" s="318" t="s">
        <v>169</v>
      </c>
      <c r="G141" s="318" t="s">
        <v>170</v>
      </c>
      <c r="H141" s="336"/>
      <c r="I141" s="332"/>
    </row>
    <row r="142" spans="1:11" ht="15.6" hidden="1" customHeight="1" x14ac:dyDescent="0.2">
      <c r="A142" s="317" t="s">
        <v>151</v>
      </c>
      <c r="B142" s="318"/>
      <c r="C142" s="318"/>
      <c r="D142" s="318"/>
      <c r="E142" s="318">
        <v>1</v>
      </c>
      <c r="F142" s="318">
        <v>1</v>
      </c>
      <c r="G142" s="318">
        <v>1</v>
      </c>
      <c r="H142" s="336"/>
      <c r="I142" s="332"/>
    </row>
    <row r="143" spans="1:11" ht="15.6" hidden="1" customHeight="1" x14ac:dyDescent="0.2">
      <c r="A143" s="317" t="s">
        <v>152</v>
      </c>
      <c r="B143" s="318">
        <v>5</v>
      </c>
      <c r="C143" s="318"/>
      <c r="D143" s="318">
        <v>1</v>
      </c>
      <c r="E143" s="318"/>
      <c r="F143" s="318"/>
      <c r="G143" s="318"/>
      <c r="H143" s="336"/>
      <c r="I143" s="332"/>
    </row>
    <row r="144" spans="1:11" ht="15.6" hidden="1" customHeight="1" x14ac:dyDescent="0.2">
      <c r="A144" s="317" t="s">
        <v>153</v>
      </c>
      <c r="B144" s="318">
        <v>16</v>
      </c>
      <c r="C144" s="318"/>
      <c r="D144" s="318"/>
      <c r="E144" s="318"/>
      <c r="F144" s="318"/>
      <c r="G144" s="318"/>
      <c r="H144" s="336"/>
      <c r="I144" s="332"/>
    </row>
    <row r="145" spans="1:9" ht="15.6" hidden="1" customHeight="1" x14ac:dyDescent="0.2">
      <c r="A145" s="317" t="s">
        <v>154</v>
      </c>
      <c r="B145" s="318">
        <v>9</v>
      </c>
      <c r="C145" s="318"/>
      <c r="D145" s="318">
        <v>1</v>
      </c>
      <c r="E145" s="318">
        <v>1</v>
      </c>
      <c r="F145" s="318">
        <v>1</v>
      </c>
      <c r="G145" s="318">
        <v>1</v>
      </c>
      <c r="H145" s="336"/>
      <c r="I145" s="332"/>
    </row>
    <row r="146" spans="1:9" ht="15.6" hidden="1" customHeight="1" x14ac:dyDescent="0.2">
      <c r="A146" s="317" t="s">
        <v>155</v>
      </c>
      <c r="B146" s="318">
        <v>2</v>
      </c>
      <c r="C146" s="318"/>
      <c r="D146" s="318"/>
      <c r="E146" s="325"/>
      <c r="F146" s="325"/>
      <c r="G146" s="325"/>
      <c r="H146" s="336"/>
      <c r="I146" s="332"/>
    </row>
    <row r="147" spans="1:9" ht="15.6" hidden="1" customHeight="1" x14ac:dyDescent="0.2">
      <c r="A147" s="317" t="s">
        <v>156</v>
      </c>
      <c r="B147" s="318">
        <v>5</v>
      </c>
      <c r="C147" s="318">
        <v>3</v>
      </c>
      <c r="D147" s="318"/>
      <c r="E147" s="318"/>
      <c r="F147" s="318"/>
      <c r="G147" s="318"/>
      <c r="H147" s="336"/>
      <c r="I147" s="332"/>
    </row>
    <row r="148" spans="1:9" ht="15.6" hidden="1" customHeight="1" x14ac:dyDescent="0.2">
      <c r="A148" s="317" t="s">
        <v>157</v>
      </c>
      <c r="B148" s="318">
        <v>8</v>
      </c>
      <c r="C148" s="318"/>
      <c r="D148" s="318"/>
      <c r="E148" s="318"/>
      <c r="F148" s="318"/>
      <c r="G148" s="318"/>
      <c r="H148" s="336"/>
      <c r="I148" s="332"/>
    </row>
    <row r="149" spans="1:9" ht="15.6" hidden="1" customHeight="1" x14ac:dyDescent="0.2">
      <c r="A149" s="317" t="s">
        <v>158</v>
      </c>
      <c r="B149" s="325">
        <v>6</v>
      </c>
      <c r="C149" s="325"/>
      <c r="D149" s="325"/>
      <c r="E149" s="318"/>
      <c r="F149" s="318"/>
      <c r="G149" s="318"/>
      <c r="H149" s="336"/>
      <c r="I149" s="332"/>
    </row>
    <row r="150" spans="1:9" ht="15.6" hidden="1" customHeight="1" x14ac:dyDescent="0.2">
      <c r="A150" s="317" t="s">
        <v>159</v>
      </c>
      <c r="B150" s="325">
        <v>3</v>
      </c>
      <c r="C150" s="325"/>
      <c r="D150" s="325">
        <v>3</v>
      </c>
      <c r="E150" s="318">
        <v>1</v>
      </c>
      <c r="F150" s="318">
        <v>1</v>
      </c>
      <c r="G150" s="318">
        <v>1</v>
      </c>
      <c r="H150" s="336"/>
      <c r="I150" s="332"/>
    </row>
    <row r="151" spans="1:9" ht="15.6" customHeight="1" x14ac:dyDescent="0.2">
      <c r="A151" s="317" t="s">
        <v>205</v>
      </c>
      <c r="B151" s="342"/>
      <c r="C151" s="342"/>
      <c r="D151" s="339">
        <v>18</v>
      </c>
      <c r="E151" s="324">
        <v>5</v>
      </c>
      <c r="F151" s="324">
        <v>9</v>
      </c>
      <c r="G151" s="324">
        <v>13</v>
      </c>
      <c r="H151" s="336"/>
      <c r="I151" s="332"/>
    </row>
    <row r="152" spans="1:9" ht="15.6" customHeight="1" x14ac:dyDescent="0.2">
      <c r="A152" s="317" t="s">
        <v>206</v>
      </c>
      <c r="B152" s="342"/>
      <c r="C152" s="342"/>
      <c r="D152" s="339"/>
      <c r="E152" s="324">
        <v>1</v>
      </c>
      <c r="F152" s="324">
        <v>3</v>
      </c>
      <c r="G152" s="324">
        <v>2</v>
      </c>
      <c r="H152" s="336"/>
      <c r="I152" s="332"/>
    </row>
    <row r="153" spans="1:9" ht="15.6" customHeight="1" x14ac:dyDescent="0.2">
      <c r="A153" s="317" t="s">
        <v>207</v>
      </c>
      <c r="B153" s="342"/>
      <c r="C153" s="342"/>
      <c r="D153" s="339"/>
      <c r="E153" s="339">
        <v>3</v>
      </c>
      <c r="F153" s="339">
        <v>1</v>
      </c>
      <c r="G153" s="339"/>
      <c r="H153" s="336"/>
      <c r="I153" s="332"/>
    </row>
    <row r="154" spans="1:9" ht="15.6" customHeight="1" x14ac:dyDescent="0.2">
      <c r="A154" s="317" t="s">
        <v>208</v>
      </c>
      <c r="B154" s="325"/>
      <c r="C154" s="325"/>
      <c r="D154" s="340">
        <v>1</v>
      </c>
      <c r="E154" s="344"/>
      <c r="F154" s="344">
        <v>1</v>
      </c>
      <c r="G154" s="344"/>
      <c r="H154" s="336"/>
      <c r="I154" s="332"/>
    </row>
    <row r="155" spans="1:9" ht="15.6" customHeight="1" x14ac:dyDescent="0.2">
      <c r="A155" s="317" t="s">
        <v>182</v>
      </c>
      <c r="B155" s="342"/>
      <c r="C155" s="342"/>
      <c r="D155" s="342"/>
      <c r="E155" s="321"/>
      <c r="F155" s="321"/>
      <c r="G155" s="324"/>
      <c r="H155" s="336"/>
      <c r="I155" s="332"/>
    </row>
    <row r="156" spans="1:9" ht="15.6" customHeight="1" x14ac:dyDescent="0.2">
      <c r="A156" s="317" t="s">
        <v>183</v>
      </c>
      <c r="B156" s="342"/>
      <c r="C156" s="342"/>
      <c r="D156" s="342"/>
      <c r="E156" s="321"/>
      <c r="F156" s="321"/>
      <c r="G156" s="324"/>
      <c r="H156" s="336"/>
      <c r="I156" s="332"/>
    </row>
    <row r="157" spans="1:9" ht="15.6" customHeight="1" x14ac:dyDescent="0.2">
      <c r="A157" s="317" t="s">
        <v>184</v>
      </c>
      <c r="B157" s="342"/>
      <c r="C157" s="342"/>
      <c r="D157" s="342"/>
      <c r="E157" s="342"/>
      <c r="F157" s="342"/>
      <c r="G157" s="339"/>
      <c r="H157" s="336"/>
      <c r="I157" s="332"/>
    </row>
    <row r="158" spans="1:9" ht="15.6" customHeight="1" x14ac:dyDescent="0.2">
      <c r="A158" s="317" t="s">
        <v>185</v>
      </c>
      <c r="B158" s="342"/>
      <c r="C158" s="342"/>
      <c r="D158" s="342"/>
      <c r="E158" s="342"/>
      <c r="F158" s="342"/>
      <c r="G158" s="339"/>
      <c r="H158" s="336"/>
      <c r="I158" s="332"/>
    </row>
    <row r="159" spans="1:9" ht="15.6" customHeight="1" x14ac:dyDescent="0.2">
      <c r="A159" s="317" t="s">
        <v>186</v>
      </c>
      <c r="B159" s="342"/>
      <c r="C159" s="342"/>
      <c r="D159" s="342"/>
      <c r="E159" s="342"/>
      <c r="F159" s="342"/>
      <c r="G159" s="340"/>
      <c r="H159" s="336"/>
      <c r="I159" s="332"/>
    </row>
    <row r="160" spans="1:9" ht="15.6" hidden="1" customHeight="1" x14ac:dyDescent="0.25">
      <c r="A160" s="317" t="s">
        <v>169</v>
      </c>
      <c r="B160" s="327"/>
      <c r="C160" s="327"/>
      <c r="D160" s="327"/>
      <c r="E160" s="327"/>
      <c r="F160" s="335"/>
      <c r="G160" s="290"/>
      <c r="H160" s="336"/>
      <c r="I160" s="332"/>
    </row>
    <row r="161" spans="1:34" ht="15.6" hidden="1" customHeight="1" x14ac:dyDescent="0.25">
      <c r="A161" s="317" t="s">
        <v>170</v>
      </c>
      <c r="B161" s="327"/>
      <c r="C161" s="327"/>
      <c r="D161" s="327"/>
      <c r="E161" s="327"/>
      <c r="F161" s="335"/>
      <c r="G161" s="290"/>
      <c r="H161" s="336"/>
      <c r="I161" s="332"/>
    </row>
    <row r="162" spans="1:34" ht="15.6" customHeight="1" x14ac:dyDescent="0.25">
      <c r="A162" s="331"/>
      <c r="B162" s="333"/>
      <c r="C162" s="333"/>
      <c r="D162" s="333"/>
      <c r="E162" s="333"/>
      <c r="F162" s="335"/>
      <c r="G162" s="290"/>
      <c r="H162" s="336"/>
      <c r="I162" s="332"/>
    </row>
    <row r="163" spans="1:34" ht="15.6" customHeight="1" x14ac:dyDescent="0.25">
      <c r="A163" s="290"/>
      <c r="B163" s="333"/>
      <c r="C163" s="333"/>
      <c r="D163" s="333"/>
      <c r="E163" s="333"/>
      <c r="F163" s="335"/>
      <c r="G163" s="290"/>
      <c r="H163" s="336"/>
      <c r="I163" s="332"/>
    </row>
    <row r="164" spans="1:34" ht="21" customHeight="1" x14ac:dyDescent="0.35">
      <c r="A164" s="345" t="s">
        <v>209</v>
      </c>
      <c r="B164" s="290"/>
      <c r="C164" s="290"/>
      <c r="D164" s="290"/>
      <c r="E164" s="290"/>
      <c r="F164" s="290"/>
      <c r="G164" s="290" t="s">
        <v>210</v>
      </c>
      <c r="H164" s="290"/>
      <c r="I164" s="290"/>
      <c r="M164" s="213" t="s">
        <v>211</v>
      </c>
    </row>
    <row r="165" spans="1:34" ht="15.6" customHeight="1" x14ac:dyDescent="0.25">
      <c r="A165" s="317" t="s">
        <v>82</v>
      </c>
      <c r="B165" s="318" t="s">
        <v>143</v>
      </c>
      <c r="C165" s="318" t="s">
        <v>144</v>
      </c>
      <c r="D165" s="318" t="s">
        <v>145</v>
      </c>
      <c r="E165" s="318" t="s">
        <v>146</v>
      </c>
      <c r="F165" s="290"/>
      <c r="G165" s="317" t="s">
        <v>82</v>
      </c>
      <c r="H165" s="318" t="s">
        <v>147</v>
      </c>
      <c r="I165" s="318" t="s">
        <v>148</v>
      </c>
      <c r="J165" s="318" t="s">
        <v>149</v>
      </c>
      <c r="K165" s="318" t="s">
        <v>150</v>
      </c>
      <c r="M165" s="319" t="s">
        <v>82</v>
      </c>
      <c r="N165" s="320" t="s">
        <v>151</v>
      </c>
      <c r="O165" s="320" t="s">
        <v>152</v>
      </c>
      <c r="P165" s="320" t="s">
        <v>153</v>
      </c>
      <c r="Q165" s="320" t="s">
        <v>154</v>
      </c>
      <c r="R165" s="320" t="s">
        <v>155</v>
      </c>
      <c r="S165" s="320" t="s">
        <v>156</v>
      </c>
      <c r="T165" s="320" t="s">
        <v>157</v>
      </c>
      <c r="U165" s="320" t="s">
        <v>158</v>
      </c>
      <c r="V165" s="320" t="s">
        <v>159</v>
      </c>
      <c r="W165" s="320" t="s">
        <v>160</v>
      </c>
      <c r="X165" s="320" t="s">
        <v>161</v>
      </c>
      <c r="Y165" s="320" t="s">
        <v>162</v>
      </c>
      <c r="Z165" s="320" t="s">
        <v>163</v>
      </c>
      <c r="AA165" s="320" t="s">
        <v>164</v>
      </c>
      <c r="AB165" s="320" t="s">
        <v>165</v>
      </c>
      <c r="AC165" s="320" t="s">
        <v>166</v>
      </c>
      <c r="AD165" s="320" t="s">
        <v>167</v>
      </c>
      <c r="AE165" s="320" t="s">
        <v>168</v>
      </c>
      <c r="AF165" s="320" t="s">
        <v>169</v>
      </c>
      <c r="AG165" s="320" t="s">
        <v>170</v>
      </c>
      <c r="AH165" s="320" t="s">
        <v>171</v>
      </c>
    </row>
    <row r="166" spans="1:34" ht="15.6" customHeight="1" x14ac:dyDescent="0.25">
      <c r="A166" s="317">
        <v>2013</v>
      </c>
      <c r="B166" s="321">
        <v>11</v>
      </c>
      <c r="C166" s="321">
        <v>22</v>
      </c>
      <c r="D166" s="321">
        <v>47</v>
      </c>
      <c r="E166" s="321">
        <v>26</v>
      </c>
      <c r="F166" s="290"/>
      <c r="G166" s="317">
        <v>2013</v>
      </c>
      <c r="H166" s="322">
        <f ca="1">B166/B181</f>
        <v>14.75537634408602</v>
      </c>
      <c r="I166" s="322">
        <f ca="1">C166/C181</f>
        <v>21.27519379844961</v>
      </c>
      <c r="J166" s="322">
        <f ca="1">D166/D181</f>
        <v>32.039617486338798</v>
      </c>
      <c r="K166" s="322">
        <f ca="1">E166/E181</f>
        <v>34.505319148936167</v>
      </c>
      <c r="M166" s="319" t="s">
        <v>73</v>
      </c>
      <c r="N166" s="320">
        <f>B166</f>
        <v>11</v>
      </c>
      <c r="O166" s="320">
        <f>C166</f>
        <v>22</v>
      </c>
      <c r="P166" s="320">
        <f>D166</f>
        <v>47</v>
      </c>
      <c r="Q166" s="320">
        <f>E166</f>
        <v>26</v>
      </c>
      <c r="R166" s="320">
        <f>B167</f>
        <v>21</v>
      </c>
      <c r="S166" s="320">
        <f>C167</f>
        <v>28</v>
      </c>
      <c r="T166" s="320">
        <f>D167</f>
        <v>45</v>
      </c>
      <c r="U166" s="320">
        <f>E167</f>
        <v>21</v>
      </c>
      <c r="V166" s="320">
        <f>B168</f>
        <v>23</v>
      </c>
      <c r="W166" s="320">
        <f>C168</f>
        <v>28</v>
      </c>
      <c r="X166" s="320">
        <f>D168</f>
        <v>39</v>
      </c>
      <c r="Y166" s="320">
        <f>E168</f>
        <v>19</v>
      </c>
      <c r="Z166" s="320">
        <f>B169</f>
        <v>19</v>
      </c>
      <c r="AA166" s="320">
        <f>C169</f>
        <v>25</v>
      </c>
      <c r="AB166" s="320">
        <f>D169</f>
        <v>30</v>
      </c>
      <c r="AC166" s="320">
        <f>E169</f>
        <v>19</v>
      </c>
      <c r="AD166" s="320">
        <f>B170</f>
        <v>19</v>
      </c>
      <c r="AE166" s="320">
        <f>C170</f>
        <v>26</v>
      </c>
      <c r="AF166" s="320">
        <f t="shared" ref="AF166:AG166" si="7">D170</f>
        <v>22</v>
      </c>
      <c r="AG166" s="320">
        <f t="shared" si="7"/>
        <v>9</v>
      </c>
      <c r="AH166" s="320">
        <f>B171</f>
        <v>0</v>
      </c>
    </row>
    <row r="167" spans="1:34" ht="15.6" customHeight="1" x14ac:dyDescent="0.25">
      <c r="A167" s="317">
        <v>2014</v>
      </c>
      <c r="B167" s="321">
        <v>21</v>
      </c>
      <c r="C167" s="321">
        <v>28</v>
      </c>
      <c r="D167" s="321">
        <v>45</v>
      </c>
      <c r="E167" s="321">
        <v>21</v>
      </c>
      <c r="F167" s="290"/>
      <c r="G167" s="317">
        <v>2014</v>
      </c>
      <c r="H167" s="322">
        <f ca="1">B167/B181</f>
        <v>28.169354838709676</v>
      </c>
      <c r="I167" s="322">
        <f ca="1">C167/C181</f>
        <v>27.077519379844958</v>
      </c>
      <c r="J167" s="322">
        <f ca="1">D167/D181</f>
        <v>30.67622950819672</v>
      </c>
      <c r="K167" s="322">
        <f ca="1">E167/E181</f>
        <v>27.869680851063826</v>
      </c>
      <c r="M167" s="319" t="s">
        <v>172</v>
      </c>
      <c r="N167" s="323">
        <f ca="1">H166</f>
        <v>14.75537634408602</v>
      </c>
      <c r="O167" s="323">
        <f ca="1">I166</f>
        <v>21.27519379844961</v>
      </c>
      <c r="P167" s="323">
        <f ca="1">J166</f>
        <v>32.039617486338798</v>
      </c>
      <c r="Q167" s="323">
        <f ca="1">K166</f>
        <v>34.505319148936167</v>
      </c>
      <c r="R167" s="323">
        <f ca="1">H167</f>
        <v>28.169354838709676</v>
      </c>
      <c r="S167" s="323">
        <f ca="1">I167</f>
        <v>27.077519379844958</v>
      </c>
      <c r="T167" s="323">
        <f ca="1">J167</f>
        <v>30.67622950819672</v>
      </c>
      <c r="U167" s="323">
        <f ca="1">K167</f>
        <v>27.869680851063826</v>
      </c>
      <c r="V167" s="323">
        <f ca="1">H168</f>
        <v>30.852150537634405</v>
      </c>
      <c r="W167" s="323">
        <f ca="1">I168</f>
        <v>27.077519379844958</v>
      </c>
      <c r="X167" s="323">
        <f ca="1">J168</f>
        <v>26.58606557377049</v>
      </c>
      <c r="Y167" s="323">
        <f ca="1">K168</f>
        <v>25.215425531914892</v>
      </c>
      <c r="Z167" s="323">
        <f ca="1">H169</f>
        <v>25.486559139784944</v>
      </c>
      <c r="AA167" s="323">
        <f ca="1">I169</f>
        <v>24.176356589147282</v>
      </c>
      <c r="AB167" s="323">
        <f ca="1">J169</f>
        <v>20.450819672131146</v>
      </c>
      <c r="AC167" s="323">
        <f ca="1">K169</f>
        <v>25.215425531914892</v>
      </c>
      <c r="AD167" s="323">
        <f ca="1">H170</f>
        <v>25.486559139784944</v>
      </c>
      <c r="AE167" s="323">
        <f ca="1">I170</f>
        <v>25.143410852713174</v>
      </c>
      <c r="AF167" s="323">
        <f t="shared" ref="AF167:AG167" ca="1" si="8">J170</f>
        <v>14.99726775956284</v>
      </c>
      <c r="AG167" s="323">
        <f t="shared" ca="1" si="8"/>
        <v>11.944148936170212</v>
      </c>
      <c r="AH167" s="323">
        <f ca="1">H171</f>
        <v>0</v>
      </c>
    </row>
    <row r="168" spans="1:34" ht="15.6" customHeight="1" x14ac:dyDescent="0.25">
      <c r="A168" s="317">
        <v>2015</v>
      </c>
      <c r="B168" s="321">
        <v>23</v>
      </c>
      <c r="C168" s="321">
        <v>28</v>
      </c>
      <c r="D168" s="321">
        <v>39</v>
      </c>
      <c r="E168" s="321">
        <v>19</v>
      </c>
      <c r="F168" s="290"/>
      <c r="G168" s="317">
        <v>2015</v>
      </c>
      <c r="H168" s="322">
        <f ca="1">B168/B181</f>
        <v>30.852150537634405</v>
      </c>
      <c r="I168" s="322">
        <f ca="1">C168/C181</f>
        <v>27.077519379844958</v>
      </c>
      <c r="J168" s="322">
        <f ca="1">D168/D181</f>
        <v>26.58606557377049</v>
      </c>
      <c r="K168" s="322">
        <f ca="1">E168/E181</f>
        <v>25.215425531914892</v>
      </c>
    </row>
    <row r="169" spans="1:34" ht="15.6" customHeight="1" x14ac:dyDescent="0.25">
      <c r="A169" s="317">
        <v>2016</v>
      </c>
      <c r="B169" s="321">
        <v>19</v>
      </c>
      <c r="C169" s="321">
        <v>25</v>
      </c>
      <c r="D169" s="321">
        <v>30</v>
      </c>
      <c r="E169" s="321">
        <v>19</v>
      </c>
      <c r="F169" s="290"/>
      <c r="G169" s="317">
        <v>2016</v>
      </c>
      <c r="H169" s="322">
        <f ca="1">B169/B181</f>
        <v>25.486559139784944</v>
      </c>
      <c r="I169" s="322">
        <f ca="1">C169/C181</f>
        <v>24.176356589147282</v>
      </c>
      <c r="J169" s="322">
        <f ca="1">D169/D181</f>
        <v>20.450819672131146</v>
      </c>
      <c r="K169" s="322">
        <f ca="1">E169/E181</f>
        <v>25.215425531914892</v>
      </c>
    </row>
    <row r="170" spans="1:34" ht="15.6" customHeight="1" x14ac:dyDescent="0.25">
      <c r="A170" s="317">
        <v>2017</v>
      </c>
      <c r="B170" s="324">
        <v>19</v>
      </c>
      <c r="C170" s="324">
        <v>26</v>
      </c>
      <c r="D170" s="340">
        <v>22</v>
      </c>
      <c r="E170" s="340">
        <v>9</v>
      </c>
      <c r="F170" s="290"/>
      <c r="G170" s="317">
        <v>2017</v>
      </c>
      <c r="H170" s="322">
        <f ca="1">B170/B181</f>
        <v>25.486559139784944</v>
      </c>
      <c r="I170" s="322">
        <f ca="1">C170/C181</f>
        <v>25.143410852713174</v>
      </c>
      <c r="J170" s="322">
        <f ca="1">D170/D181</f>
        <v>14.99726775956284</v>
      </c>
      <c r="K170" s="322">
        <f ca="1">E170/E181</f>
        <v>11.944148936170212</v>
      </c>
    </row>
    <row r="171" spans="1:34" ht="15.6" hidden="1" customHeight="1" x14ac:dyDescent="0.25">
      <c r="A171" s="317">
        <v>2018</v>
      </c>
      <c r="B171" s="325"/>
      <c r="C171" s="325"/>
      <c r="D171" s="325"/>
      <c r="E171" s="325"/>
      <c r="F171" s="290"/>
      <c r="G171" s="317">
        <v>2018</v>
      </c>
      <c r="H171" s="322">
        <f ca="1">B171/B181</f>
        <v>0</v>
      </c>
      <c r="I171" s="322">
        <f ca="1">C171/C181</f>
        <v>0</v>
      </c>
      <c r="J171" s="322">
        <f ca="1">D171/D181</f>
        <v>0</v>
      </c>
      <c r="K171" s="322">
        <f ca="1">E171/E181</f>
        <v>0</v>
      </c>
    </row>
    <row r="172" spans="1:34" ht="15.6" hidden="1" customHeight="1" x14ac:dyDescent="0.25">
      <c r="A172" s="317">
        <v>2019</v>
      </c>
      <c r="B172" s="325"/>
      <c r="C172" s="325"/>
      <c r="D172" s="325"/>
      <c r="E172" s="325"/>
      <c r="F172" s="290"/>
      <c r="G172" s="317">
        <v>2019</v>
      </c>
      <c r="H172" s="322">
        <f ca="1">B172/B181</f>
        <v>0</v>
      </c>
      <c r="I172" s="322">
        <f ca="1">C172/C181</f>
        <v>0</v>
      </c>
      <c r="J172" s="322">
        <f ca="1">D172/D181</f>
        <v>0</v>
      </c>
      <c r="K172" s="322">
        <f ca="1">E172/E181</f>
        <v>0</v>
      </c>
    </row>
    <row r="173" spans="1:34" ht="15.6" hidden="1" customHeight="1" x14ac:dyDescent="0.25">
      <c r="A173" s="317">
        <v>2020</v>
      </c>
      <c r="B173" s="325"/>
      <c r="C173" s="325"/>
      <c r="D173" s="325"/>
      <c r="E173" s="325"/>
      <c r="F173" s="290"/>
      <c r="G173" s="317">
        <v>2020</v>
      </c>
      <c r="H173" s="322">
        <f ca="1">B173/B181</f>
        <v>0</v>
      </c>
      <c r="I173" s="322">
        <f ca="1">C173/C181</f>
        <v>0</v>
      </c>
      <c r="J173" s="322">
        <f ca="1">D173/D181</f>
        <v>0</v>
      </c>
      <c r="K173" s="322">
        <f ca="1">E173/E181</f>
        <v>0</v>
      </c>
    </row>
    <row r="174" spans="1:34" ht="15.6" hidden="1" customHeight="1" x14ac:dyDescent="0.25">
      <c r="A174" s="317">
        <v>2021</v>
      </c>
      <c r="B174" s="325"/>
      <c r="C174" s="325"/>
      <c r="D174" s="325"/>
      <c r="E174" s="325"/>
      <c r="F174" s="290"/>
      <c r="G174" s="317">
        <v>2021</v>
      </c>
      <c r="H174" s="322">
        <f ca="1">B174/B181</f>
        <v>0</v>
      </c>
      <c r="I174" s="322">
        <f ca="1">C174/C181</f>
        <v>0</v>
      </c>
      <c r="J174" s="322">
        <f ca="1">D174/D181</f>
        <v>0</v>
      </c>
      <c r="K174" s="322">
        <f ca="1">E174/E181</f>
        <v>0</v>
      </c>
    </row>
    <row r="175" spans="1:34" ht="15.6" hidden="1" customHeight="1" x14ac:dyDescent="0.25">
      <c r="A175" s="317">
        <v>2022</v>
      </c>
      <c r="B175" s="325"/>
      <c r="C175" s="325"/>
      <c r="D175" s="325"/>
      <c r="E175" s="325"/>
      <c r="F175" s="290"/>
      <c r="G175" s="317">
        <v>2022</v>
      </c>
      <c r="H175" s="322">
        <f ca="1">B175/B181</f>
        <v>0</v>
      </c>
      <c r="I175" s="322">
        <f ca="1">C175/C181</f>
        <v>0</v>
      </c>
      <c r="J175" s="322">
        <f ca="1">D175/D181</f>
        <v>0</v>
      </c>
      <c r="K175" s="322">
        <f ca="1">E175/E181</f>
        <v>0</v>
      </c>
    </row>
    <row r="176" spans="1:34" ht="15.6" hidden="1" customHeight="1" x14ac:dyDescent="0.25">
      <c r="A176" s="317">
        <v>2023</v>
      </c>
      <c r="B176" s="325"/>
      <c r="C176" s="325"/>
      <c r="D176" s="325"/>
      <c r="E176" s="325"/>
      <c r="F176" s="290"/>
      <c r="G176" s="317">
        <v>2023</v>
      </c>
      <c r="H176" s="322">
        <f ca="1">B176/B181</f>
        <v>0</v>
      </c>
      <c r="I176" s="322">
        <f ca="1">C176/C181</f>
        <v>0</v>
      </c>
      <c r="J176" s="322">
        <f ca="1">D176/D181</f>
        <v>0</v>
      </c>
      <c r="K176" s="322">
        <f ca="1">E176/E181</f>
        <v>0</v>
      </c>
    </row>
    <row r="177" spans="1:11" ht="15.6" hidden="1" customHeight="1" x14ac:dyDescent="0.25">
      <c r="A177" s="317">
        <v>2024</v>
      </c>
      <c r="B177" s="325"/>
      <c r="C177" s="327"/>
      <c r="D177" s="327"/>
      <c r="E177" s="327"/>
      <c r="F177" s="290"/>
      <c r="G177" s="317">
        <v>2024</v>
      </c>
      <c r="H177" s="322">
        <f ca="1">B177/B181</f>
        <v>0</v>
      </c>
      <c r="I177" s="322">
        <f ca="1">C177/C181</f>
        <v>0</v>
      </c>
      <c r="J177" s="322">
        <f ca="1">D177/D181</f>
        <v>0</v>
      </c>
      <c r="K177" s="322">
        <f ca="1">E177/E181</f>
        <v>0</v>
      </c>
    </row>
    <row r="178" spans="1:11" ht="15.6" hidden="1" customHeight="1" x14ac:dyDescent="0.25">
      <c r="A178" s="317">
        <v>2025</v>
      </c>
      <c r="B178" s="325"/>
      <c r="C178" s="327"/>
      <c r="D178" s="327"/>
      <c r="E178" s="327"/>
      <c r="F178" s="290"/>
      <c r="G178" s="317">
        <v>2025</v>
      </c>
      <c r="H178" s="322">
        <f ca="1">B178/B181</f>
        <v>0</v>
      </c>
      <c r="I178" s="322">
        <f ca="1">C178/C181</f>
        <v>0</v>
      </c>
      <c r="J178" s="322">
        <f ca="1">D178/D181</f>
        <v>0</v>
      </c>
      <c r="K178" s="322">
        <f ca="1">E178/E181</f>
        <v>0</v>
      </c>
    </row>
    <row r="179" spans="1:11" ht="15.6" customHeight="1" x14ac:dyDescent="0.25">
      <c r="A179" s="290"/>
      <c r="B179" s="290"/>
      <c r="C179" s="290"/>
      <c r="D179" s="290"/>
      <c r="E179" s="290"/>
      <c r="F179" s="331" t="s">
        <v>173</v>
      </c>
      <c r="G179" s="834" t="s">
        <v>174</v>
      </c>
      <c r="H179" s="834"/>
      <c r="I179" s="332"/>
    </row>
    <row r="180" spans="1:11" ht="15.6" customHeight="1" x14ac:dyDescent="0.25">
      <c r="A180" s="331" t="s">
        <v>175</v>
      </c>
      <c r="B180" s="333">
        <f ca="1">AVERAGE(OFFSET(B166,0,0,COUNTA(B166:B178),1))</f>
        <v>18.600000000000001</v>
      </c>
      <c r="C180" s="333">
        <f ca="1">AVERAGE(OFFSET(C166,0,0,COUNTA(C166:C178),1))</f>
        <v>25.8</v>
      </c>
      <c r="D180" s="333">
        <f ca="1">AVERAGE(OFFSET(D166,0,0,COUNTA(D166:D178),1))</f>
        <v>36.6</v>
      </c>
      <c r="E180" s="333">
        <f ca="1">AVERAGE(OFFSET(E166,0,0,COUNTA(E166:E178),1))</f>
        <v>18.8</v>
      </c>
      <c r="F180" s="334">
        <f ca="1">AVERAGE(B180:E180)</f>
        <v>24.95</v>
      </c>
      <c r="G180" s="835">
        <f ca="1">AVERAGE(B181:E181)</f>
        <v>1</v>
      </c>
      <c r="H180" s="836"/>
      <c r="I180" s="332"/>
    </row>
    <row r="181" spans="1:11" ht="15.6" hidden="1" customHeight="1" x14ac:dyDescent="0.25">
      <c r="A181" s="331" t="s">
        <v>176</v>
      </c>
      <c r="B181" s="333">
        <f ca="1">B180/$F180</f>
        <v>0.74549098196392793</v>
      </c>
      <c r="C181" s="333">
        <f ca="1">C180/$F180</f>
        <v>1.0340681362725452</v>
      </c>
      <c r="D181" s="333">
        <f ca="1">D180/$F180</f>
        <v>1.4669338677354711</v>
      </c>
      <c r="E181" s="333">
        <f ca="1">E180/$F180</f>
        <v>0.7535070140280562</v>
      </c>
      <c r="F181" s="335"/>
      <c r="G181" s="290"/>
      <c r="H181" s="336"/>
      <c r="I181" s="332"/>
    </row>
    <row r="182" spans="1:11" ht="15.6" customHeight="1" x14ac:dyDescent="0.25">
      <c r="A182" s="290"/>
      <c r="B182" s="333"/>
      <c r="C182" s="333"/>
      <c r="D182" s="333"/>
      <c r="E182" s="333"/>
      <c r="F182" s="335"/>
      <c r="G182" s="290"/>
      <c r="H182" s="336"/>
      <c r="I182" s="332"/>
    </row>
    <row r="183" spans="1:11" ht="15.6" customHeight="1" x14ac:dyDescent="0.25">
      <c r="A183" s="290"/>
      <c r="B183" s="333"/>
      <c r="C183" s="333"/>
      <c r="D183" s="333"/>
      <c r="E183" s="333"/>
      <c r="F183" s="335"/>
      <c r="G183" s="290"/>
      <c r="H183" s="336"/>
      <c r="I183" s="332"/>
    </row>
    <row r="184" spans="1:11" ht="15.6" hidden="1" customHeight="1" x14ac:dyDescent="0.25">
      <c r="A184" s="290"/>
      <c r="B184" s="333"/>
      <c r="C184" s="333"/>
      <c r="D184" s="333"/>
      <c r="E184" s="333"/>
      <c r="F184" s="335"/>
      <c r="G184" s="290"/>
      <c r="H184" s="336"/>
      <c r="I184" s="332"/>
    </row>
    <row r="185" spans="1:11" ht="15.6" hidden="1" customHeight="1" x14ac:dyDescent="0.25">
      <c r="A185" s="290"/>
      <c r="B185" s="333"/>
      <c r="C185" s="333"/>
      <c r="D185" s="333"/>
      <c r="E185" s="333"/>
      <c r="F185" s="335"/>
      <c r="G185" s="290"/>
      <c r="H185" s="336"/>
      <c r="I185" s="332"/>
    </row>
    <row r="186" spans="1:11" ht="15.6" hidden="1" customHeight="1" x14ac:dyDescent="0.25">
      <c r="A186" s="290"/>
      <c r="B186" s="333"/>
      <c r="C186" s="333"/>
      <c r="D186" s="333"/>
      <c r="E186" s="333"/>
      <c r="F186" s="335"/>
      <c r="G186" s="290"/>
      <c r="H186" s="336"/>
      <c r="I186" s="332"/>
    </row>
    <row r="187" spans="1:11" ht="15.6" hidden="1" customHeight="1" x14ac:dyDescent="0.25">
      <c r="A187" s="290"/>
      <c r="B187" s="333"/>
      <c r="C187" s="333"/>
      <c r="D187" s="333"/>
      <c r="E187" s="333"/>
      <c r="F187" s="335"/>
      <c r="G187" s="290"/>
      <c r="H187" s="336"/>
      <c r="I187" s="332"/>
    </row>
    <row r="188" spans="1:11" ht="15.6" hidden="1" customHeight="1" x14ac:dyDescent="0.25">
      <c r="A188" s="290"/>
      <c r="B188" s="333"/>
      <c r="C188" s="333"/>
      <c r="D188" s="333"/>
      <c r="E188" s="333"/>
      <c r="F188" s="335"/>
      <c r="G188" s="290"/>
      <c r="H188" s="336"/>
      <c r="I188" s="332"/>
    </row>
    <row r="189" spans="1:11" ht="15.6" hidden="1" customHeight="1" x14ac:dyDescent="0.25">
      <c r="A189" s="290"/>
      <c r="B189" s="333"/>
      <c r="C189" s="333"/>
      <c r="D189" s="333"/>
      <c r="E189" s="333"/>
      <c r="F189" s="335"/>
      <c r="G189" s="290"/>
      <c r="H189" s="336"/>
      <c r="I189" s="332"/>
    </row>
    <row r="190" spans="1:11" ht="15.6" hidden="1" customHeight="1" x14ac:dyDescent="0.25">
      <c r="A190" s="290"/>
      <c r="B190" s="333"/>
      <c r="C190" s="333"/>
      <c r="D190" s="333"/>
      <c r="E190" s="333"/>
      <c r="F190" s="335"/>
      <c r="G190" s="290"/>
      <c r="H190" s="336"/>
      <c r="I190" s="332"/>
    </row>
    <row r="191" spans="1:11" ht="15.6" hidden="1" customHeight="1" x14ac:dyDescent="0.25">
      <c r="A191" s="290"/>
      <c r="B191" s="333"/>
      <c r="C191" s="333"/>
      <c r="D191" s="333"/>
      <c r="E191" s="333"/>
      <c r="F191" s="335"/>
      <c r="G191" s="290"/>
      <c r="H191" s="336"/>
      <c r="I191" s="332"/>
    </row>
    <row r="192" spans="1:11" ht="15.6" hidden="1" customHeight="1" x14ac:dyDescent="0.25">
      <c r="A192" s="290"/>
      <c r="B192" s="333"/>
      <c r="C192" s="333"/>
      <c r="D192" s="333"/>
      <c r="E192" s="333"/>
      <c r="F192" s="335"/>
      <c r="G192" s="290"/>
      <c r="H192" s="336"/>
      <c r="I192" s="332"/>
    </row>
    <row r="193" spans="1:9" ht="15.6" customHeight="1" x14ac:dyDescent="0.3">
      <c r="A193" s="316" t="s">
        <v>212</v>
      </c>
      <c r="B193" s="290"/>
      <c r="C193" s="290"/>
      <c r="D193" s="290"/>
      <c r="E193" s="290"/>
      <c r="F193" s="335"/>
      <c r="G193" s="290"/>
      <c r="H193" s="336"/>
      <c r="I193" s="332"/>
    </row>
    <row r="194" spans="1:9" ht="15.6" customHeight="1" x14ac:dyDescent="0.2">
      <c r="A194" s="317" t="s">
        <v>82</v>
      </c>
      <c r="B194" s="318" t="s">
        <v>165</v>
      </c>
      <c r="C194" s="318" t="s">
        <v>166</v>
      </c>
      <c r="D194" s="318" t="s">
        <v>167</v>
      </c>
      <c r="E194" s="318" t="s">
        <v>168</v>
      </c>
      <c r="F194" s="318" t="s">
        <v>169</v>
      </c>
      <c r="G194" s="318" t="s">
        <v>170</v>
      </c>
      <c r="H194" s="336"/>
      <c r="I194" s="332"/>
    </row>
    <row r="195" spans="1:9" ht="15.6" hidden="1" customHeight="1" x14ac:dyDescent="0.2">
      <c r="A195" s="317" t="s">
        <v>213</v>
      </c>
      <c r="B195" s="325"/>
      <c r="C195" s="325"/>
      <c r="D195" s="325">
        <v>16</v>
      </c>
      <c r="E195" s="325"/>
      <c r="F195" s="325"/>
      <c r="G195" s="325"/>
      <c r="H195" s="336"/>
      <c r="I195" s="332"/>
    </row>
    <row r="196" spans="1:9" ht="15.6" hidden="1" customHeight="1" x14ac:dyDescent="0.2">
      <c r="A196" s="317" t="s">
        <v>214</v>
      </c>
      <c r="B196" s="318"/>
      <c r="C196" s="318">
        <v>2</v>
      </c>
      <c r="D196" s="318">
        <v>22</v>
      </c>
      <c r="E196" s="318"/>
      <c r="F196" s="318"/>
      <c r="G196" s="318"/>
      <c r="H196" s="336"/>
      <c r="I196" s="332"/>
    </row>
    <row r="197" spans="1:9" ht="15.6" hidden="1" customHeight="1" x14ac:dyDescent="0.2">
      <c r="A197" s="317" t="s">
        <v>215</v>
      </c>
      <c r="B197" s="318">
        <v>2</v>
      </c>
      <c r="C197" s="318">
        <v>1</v>
      </c>
      <c r="D197" s="318">
        <v>7</v>
      </c>
      <c r="E197" s="318">
        <v>1</v>
      </c>
      <c r="F197" s="318">
        <v>1</v>
      </c>
      <c r="G197" s="318">
        <v>1</v>
      </c>
      <c r="H197" s="336"/>
      <c r="I197" s="332"/>
    </row>
    <row r="198" spans="1:9" ht="15.6" hidden="1" customHeight="1" x14ac:dyDescent="0.2">
      <c r="A198" s="317" t="s">
        <v>216</v>
      </c>
      <c r="B198" s="318"/>
      <c r="C198" s="318"/>
      <c r="D198" s="318">
        <v>19</v>
      </c>
      <c r="E198" s="318">
        <v>1</v>
      </c>
      <c r="F198" s="318">
        <v>1</v>
      </c>
      <c r="G198" s="318">
        <v>1</v>
      </c>
      <c r="H198" s="336"/>
      <c r="I198" s="332"/>
    </row>
    <row r="199" spans="1:9" ht="15.6" hidden="1" customHeight="1" x14ac:dyDescent="0.2">
      <c r="A199" s="317" t="s">
        <v>217</v>
      </c>
      <c r="B199" s="318"/>
      <c r="C199" s="318"/>
      <c r="D199" s="318">
        <v>37</v>
      </c>
      <c r="E199" s="318">
        <v>3</v>
      </c>
      <c r="F199" s="318">
        <v>3</v>
      </c>
      <c r="G199" s="318">
        <v>3</v>
      </c>
      <c r="H199" s="336"/>
      <c r="I199" s="332"/>
    </row>
    <row r="200" spans="1:9" ht="15.6" hidden="1" customHeight="1" x14ac:dyDescent="0.2">
      <c r="A200" s="317" t="s">
        <v>218</v>
      </c>
      <c r="B200" s="318"/>
      <c r="C200" s="318"/>
      <c r="D200" s="318">
        <v>42</v>
      </c>
      <c r="E200" s="318"/>
      <c r="F200" s="318"/>
      <c r="G200" s="318"/>
      <c r="H200" s="336"/>
      <c r="I200" s="332"/>
    </row>
    <row r="201" spans="1:9" ht="15.6" hidden="1" customHeight="1" x14ac:dyDescent="0.2">
      <c r="A201" s="317" t="s">
        <v>219</v>
      </c>
      <c r="B201" s="318">
        <v>1</v>
      </c>
      <c r="C201" s="318"/>
      <c r="D201" s="318">
        <v>16</v>
      </c>
      <c r="E201" s="318">
        <v>1</v>
      </c>
      <c r="F201" s="318">
        <v>1</v>
      </c>
      <c r="G201" s="318">
        <v>1</v>
      </c>
      <c r="H201" s="336"/>
      <c r="I201" s="332"/>
    </row>
    <row r="202" spans="1:9" ht="15.6" hidden="1" customHeight="1" x14ac:dyDescent="0.2">
      <c r="A202" s="317" t="s">
        <v>220</v>
      </c>
      <c r="B202" s="325"/>
      <c r="C202" s="325"/>
      <c r="D202" s="325">
        <v>18</v>
      </c>
      <c r="E202" s="325"/>
      <c r="F202" s="325"/>
      <c r="G202" s="325"/>
      <c r="H202" s="336"/>
      <c r="I202" s="332"/>
    </row>
    <row r="203" spans="1:9" ht="15.6" hidden="1" customHeight="1" x14ac:dyDescent="0.2">
      <c r="A203" s="317" t="s">
        <v>221</v>
      </c>
      <c r="B203" s="325"/>
      <c r="C203" s="325">
        <v>1</v>
      </c>
      <c r="D203" s="325">
        <v>9</v>
      </c>
      <c r="E203" s="325">
        <v>2</v>
      </c>
      <c r="F203" s="325">
        <v>2</v>
      </c>
      <c r="G203" s="325">
        <v>2</v>
      </c>
      <c r="H203" s="336"/>
      <c r="I203" s="332"/>
    </row>
    <row r="204" spans="1:9" ht="15.6" hidden="1" customHeight="1" x14ac:dyDescent="0.2">
      <c r="A204" s="317" t="s">
        <v>222</v>
      </c>
      <c r="B204" s="325"/>
      <c r="C204" s="325">
        <v>3</v>
      </c>
      <c r="D204" s="325">
        <v>21</v>
      </c>
      <c r="E204" s="325">
        <v>2</v>
      </c>
      <c r="F204" s="325">
        <v>2</v>
      </c>
      <c r="G204" s="325">
        <v>2</v>
      </c>
      <c r="H204" s="336"/>
      <c r="I204" s="332"/>
    </row>
    <row r="205" spans="1:9" ht="15.6" hidden="1" customHeight="1" x14ac:dyDescent="0.2">
      <c r="A205" s="317" t="s">
        <v>223</v>
      </c>
      <c r="B205" s="325"/>
      <c r="C205" s="325"/>
      <c r="D205" s="325">
        <v>11</v>
      </c>
      <c r="E205" s="325">
        <v>2</v>
      </c>
      <c r="F205" s="325">
        <v>2</v>
      </c>
      <c r="G205" s="325">
        <v>2</v>
      </c>
      <c r="H205" s="336"/>
      <c r="I205" s="332"/>
    </row>
    <row r="206" spans="1:9" ht="15.6" hidden="1" customHeight="1" x14ac:dyDescent="0.2">
      <c r="A206" s="317" t="s">
        <v>151</v>
      </c>
      <c r="B206" s="341"/>
      <c r="C206" s="325">
        <v>2</v>
      </c>
      <c r="D206" s="325">
        <v>9</v>
      </c>
      <c r="E206" s="325">
        <v>3</v>
      </c>
      <c r="F206" s="325">
        <v>3</v>
      </c>
      <c r="G206" s="325">
        <v>3</v>
      </c>
      <c r="H206" s="336"/>
      <c r="I206" s="332"/>
    </row>
    <row r="207" spans="1:9" ht="15.6" hidden="1" customHeight="1" x14ac:dyDescent="0.2">
      <c r="A207" s="317" t="s">
        <v>152</v>
      </c>
      <c r="B207" s="341"/>
      <c r="C207" s="325">
        <v>5</v>
      </c>
      <c r="D207" s="325">
        <v>33</v>
      </c>
      <c r="E207" s="325">
        <v>3</v>
      </c>
      <c r="F207" s="325">
        <v>3</v>
      </c>
      <c r="G207" s="325">
        <v>3</v>
      </c>
      <c r="H207" s="336"/>
      <c r="I207" s="332"/>
    </row>
    <row r="208" spans="1:9" ht="15.6" hidden="1" customHeight="1" x14ac:dyDescent="0.2">
      <c r="A208" s="317" t="s">
        <v>153</v>
      </c>
      <c r="B208" s="341">
        <v>1</v>
      </c>
      <c r="C208" s="325"/>
      <c r="D208" s="325">
        <v>41</v>
      </c>
      <c r="E208" s="325">
        <v>1</v>
      </c>
      <c r="F208" s="325">
        <v>1</v>
      </c>
      <c r="G208" s="325">
        <v>1</v>
      </c>
      <c r="H208" s="336"/>
      <c r="I208" s="332"/>
    </row>
    <row r="209" spans="1:9" ht="15.6" hidden="1" customHeight="1" x14ac:dyDescent="0.2">
      <c r="A209" s="317" t="s">
        <v>154</v>
      </c>
      <c r="B209" s="341"/>
      <c r="C209" s="327">
        <v>2</v>
      </c>
      <c r="D209" s="327">
        <v>12</v>
      </c>
      <c r="E209" s="327">
        <v>1</v>
      </c>
      <c r="F209" s="327">
        <v>1</v>
      </c>
      <c r="G209" s="327">
        <v>1</v>
      </c>
      <c r="H209" s="336"/>
      <c r="I209" s="332"/>
    </row>
    <row r="210" spans="1:9" ht="15.6" hidden="1" customHeight="1" x14ac:dyDescent="0.2">
      <c r="A210" s="317" t="s">
        <v>155</v>
      </c>
      <c r="B210" s="325"/>
      <c r="C210" s="327">
        <v>3</v>
      </c>
      <c r="D210" s="327">
        <v>12</v>
      </c>
      <c r="E210" s="327"/>
      <c r="F210" s="327"/>
      <c r="G210" s="327"/>
      <c r="H210" s="336"/>
      <c r="I210" s="332"/>
    </row>
    <row r="211" spans="1:9" ht="15.6" hidden="1" customHeight="1" x14ac:dyDescent="0.2">
      <c r="A211" s="317" t="s">
        <v>156</v>
      </c>
      <c r="B211" s="325"/>
      <c r="C211" s="327">
        <v>1</v>
      </c>
      <c r="D211" s="327">
        <v>23</v>
      </c>
      <c r="E211" s="327">
        <v>2</v>
      </c>
      <c r="F211" s="327">
        <v>2</v>
      </c>
      <c r="G211" s="327">
        <v>2</v>
      </c>
      <c r="H211" s="336"/>
      <c r="I211" s="332"/>
    </row>
    <row r="212" spans="1:9" ht="15.6" hidden="1" customHeight="1" x14ac:dyDescent="0.2">
      <c r="A212" s="317" t="s">
        <v>157</v>
      </c>
      <c r="B212" s="325"/>
      <c r="C212" s="327">
        <v>1</v>
      </c>
      <c r="D212" s="327">
        <v>19</v>
      </c>
      <c r="E212" s="327">
        <v>1</v>
      </c>
      <c r="F212" s="327">
        <v>1</v>
      </c>
      <c r="G212" s="327">
        <v>1</v>
      </c>
      <c r="H212" s="336"/>
      <c r="I212" s="332"/>
    </row>
    <row r="213" spans="1:9" ht="15.6" hidden="1" customHeight="1" x14ac:dyDescent="0.2">
      <c r="A213" s="317" t="s">
        <v>158</v>
      </c>
      <c r="B213" s="325"/>
      <c r="C213" s="327">
        <v>1</v>
      </c>
      <c r="D213" s="327">
        <v>9</v>
      </c>
      <c r="E213" s="327"/>
      <c r="F213" s="327"/>
      <c r="G213" s="327"/>
      <c r="H213" s="336"/>
      <c r="I213" s="332"/>
    </row>
    <row r="214" spans="1:9" ht="15.6" hidden="1" customHeight="1" x14ac:dyDescent="0.2">
      <c r="A214" s="317" t="s">
        <v>159</v>
      </c>
      <c r="B214" s="325"/>
      <c r="C214" s="327">
        <v>2</v>
      </c>
      <c r="D214" s="327">
        <v>8</v>
      </c>
      <c r="E214" s="327">
        <v>1</v>
      </c>
      <c r="F214" s="327">
        <v>1</v>
      </c>
      <c r="G214" s="327">
        <v>1</v>
      </c>
      <c r="H214" s="336"/>
      <c r="I214" s="332"/>
    </row>
    <row r="215" spans="1:9" ht="15.6" customHeight="1" x14ac:dyDescent="0.2">
      <c r="A215" s="317" t="s">
        <v>224</v>
      </c>
      <c r="B215" s="342"/>
      <c r="C215" s="342"/>
      <c r="D215" s="339"/>
      <c r="E215" s="324">
        <v>11</v>
      </c>
      <c r="F215" s="324">
        <v>9</v>
      </c>
      <c r="G215" s="324">
        <v>1</v>
      </c>
      <c r="H215" s="336"/>
      <c r="I215" s="332"/>
    </row>
    <row r="216" spans="1:9" ht="15.6" customHeight="1" x14ac:dyDescent="0.2">
      <c r="A216" s="317" t="s">
        <v>225</v>
      </c>
      <c r="B216" s="342"/>
      <c r="C216" s="342"/>
      <c r="D216" s="339">
        <v>10</v>
      </c>
      <c r="E216" s="324">
        <v>4</v>
      </c>
      <c r="F216" s="324">
        <v>2</v>
      </c>
      <c r="G216" s="324">
        <v>3</v>
      </c>
      <c r="H216" s="336"/>
      <c r="I216" s="332"/>
    </row>
    <row r="217" spans="1:9" ht="15.6" customHeight="1" x14ac:dyDescent="0.2">
      <c r="A217" s="317" t="s">
        <v>226</v>
      </c>
      <c r="B217" s="342"/>
      <c r="C217" s="342"/>
      <c r="D217" s="339">
        <v>1</v>
      </c>
      <c r="E217" s="324">
        <v>1</v>
      </c>
      <c r="F217" s="324">
        <v>5</v>
      </c>
      <c r="G217" s="324">
        <v>2</v>
      </c>
      <c r="H217" s="336"/>
      <c r="I217" s="332"/>
    </row>
    <row r="218" spans="1:9" ht="15.6" customHeight="1" x14ac:dyDescent="0.2">
      <c r="A218" s="317" t="s">
        <v>227</v>
      </c>
      <c r="B218" s="325"/>
      <c r="C218" s="327"/>
      <c r="D218" s="346">
        <v>4</v>
      </c>
      <c r="E218" s="346">
        <v>3</v>
      </c>
      <c r="F218" s="346">
        <v>1</v>
      </c>
      <c r="G218" s="346"/>
      <c r="H218" s="336"/>
      <c r="I218" s="332"/>
    </row>
    <row r="219" spans="1:9" ht="15.6" customHeight="1" x14ac:dyDescent="0.2">
      <c r="A219" s="317" t="s">
        <v>228</v>
      </c>
      <c r="B219" s="342"/>
      <c r="C219" s="342"/>
      <c r="D219" s="339">
        <v>2</v>
      </c>
      <c r="E219" s="324">
        <v>3</v>
      </c>
      <c r="F219" s="324">
        <v>1</v>
      </c>
      <c r="G219" s="324">
        <v>1</v>
      </c>
      <c r="H219" s="336"/>
      <c r="I219" s="332"/>
    </row>
    <row r="220" spans="1:9" ht="15.6" customHeight="1" x14ac:dyDescent="0.2">
      <c r="A220" s="317" t="s">
        <v>183</v>
      </c>
      <c r="B220" s="342"/>
      <c r="C220" s="342"/>
      <c r="D220" s="342"/>
      <c r="E220" s="321"/>
      <c r="F220" s="321"/>
      <c r="G220" s="324"/>
      <c r="H220" s="336"/>
      <c r="I220" s="332"/>
    </row>
    <row r="221" spans="1:9" ht="15.6" customHeight="1" x14ac:dyDescent="0.2">
      <c r="A221" s="317" t="s">
        <v>184</v>
      </c>
      <c r="B221" s="342"/>
      <c r="C221" s="342"/>
      <c r="D221" s="342"/>
      <c r="E221" s="321"/>
      <c r="F221" s="321"/>
      <c r="G221" s="324"/>
      <c r="H221" s="336"/>
      <c r="I221" s="332"/>
    </row>
    <row r="222" spans="1:9" ht="15.6" customHeight="1" x14ac:dyDescent="0.2">
      <c r="A222" s="317" t="s">
        <v>185</v>
      </c>
      <c r="B222" s="342"/>
      <c r="C222" s="342"/>
      <c r="D222" s="342"/>
      <c r="E222" s="321"/>
      <c r="F222" s="321"/>
      <c r="G222" s="324"/>
      <c r="H222" s="336"/>
      <c r="I222" s="332"/>
    </row>
    <row r="223" spans="1:9" ht="15.6" customHeight="1" x14ac:dyDescent="0.2">
      <c r="A223" s="317" t="s">
        <v>186</v>
      </c>
      <c r="B223" s="342"/>
      <c r="C223" s="342"/>
      <c r="D223" s="342"/>
      <c r="E223" s="321"/>
      <c r="F223" s="321"/>
      <c r="G223" s="324"/>
      <c r="H223" s="336"/>
      <c r="I223" s="332"/>
    </row>
    <row r="224" spans="1:9" ht="15.6" customHeight="1" x14ac:dyDescent="0.25">
      <c r="A224" s="331"/>
      <c r="B224" s="333"/>
      <c r="C224" s="333"/>
      <c r="D224" s="333"/>
      <c r="E224" s="333"/>
      <c r="F224" s="335"/>
      <c r="G224" s="290"/>
      <c r="H224" s="336"/>
      <c r="I224" s="332"/>
    </row>
    <row r="225" spans="1:34" ht="15.6" customHeight="1" x14ac:dyDescent="0.25">
      <c r="A225" s="347" t="s">
        <v>229</v>
      </c>
      <c r="B225" s="348">
        <v>64</v>
      </c>
      <c r="C225" s="333"/>
      <c r="D225" s="333"/>
      <c r="E225" s="333"/>
      <c r="F225" s="335"/>
      <c r="G225" s="290"/>
      <c r="H225" s="336"/>
      <c r="I225" s="332"/>
    </row>
    <row r="226" spans="1:34" ht="15.6" customHeight="1" x14ac:dyDescent="0.25">
      <c r="A226" s="331"/>
      <c r="B226" s="333"/>
      <c r="C226" s="333"/>
      <c r="D226" s="333"/>
      <c r="E226" s="333"/>
      <c r="F226" s="335">
        <f>COUNTBLANK(C230:C246)</f>
        <v>11</v>
      </c>
      <c r="G226" s="290"/>
      <c r="H226" s="336"/>
      <c r="I226" s="332"/>
    </row>
    <row r="227" spans="1:34" ht="15.6" customHeight="1" x14ac:dyDescent="0.25">
      <c r="A227" s="331" t="s">
        <v>230</v>
      </c>
      <c r="B227" s="333"/>
      <c r="C227" s="333"/>
      <c r="D227" s="333"/>
      <c r="E227" s="333"/>
      <c r="F227" s="335"/>
      <c r="G227" s="290"/>
      <c r="H227" s="336"/>
      <c r="I227" s="332"/>
    </row>
    <row r="228" spans="1:34" ht="15.6" customHeight="1" x14ac:dyDescent="0.25">
      <c r="A228" s="290"/>
      <c r="B228" s="333"/>
      <c r="C228" s="333"/>
      <c r="D228" s="333"/>
      <c r="E228" s="333"/>
      <c r="F228" s="335"/>
      <c r="G228" s="290"/>
      <c r="H228" s="336"/>
      <c r="I228" s="332"/>
    </row>
    <row r="229" spans="1:34" ht="21" customHeight="1" x14ac:dyDescent="0.35">
      <c r="A229" s="345" t="s">
        <v>231</v>
      </c>
      <c r="B229" s="290"/>
      <c r="C229" s="290"/>
      <c r="D229" s="290"/>
      <c r="E229" s="290"/>
      <c r="F229" s="290"/>
      <c r="G229" s="290" t="s">
        <v>232</v>
      </c>
      <c r="H229" s="290"/>
      <c r="I229" s="290"/>
      <c r="M229" s="213" t="s">
        <v>232</v>
      </c>
    </row>
    <row r="230" spans="1:34" ht="15.6" customHeight="1" x14ac:dyDescent="0.25">
      <c r="A230" s="317" t="s">
        <v>82</v>
      </c>
      <c r="B230" s="318" t="s">
        <v>143</v>
      </c>
      <c r="C230" s="318" t="s">
        <v>144</v>
      </c>
      <c r="D230" s="318" t="s">
        <v>145</v>
      </c>
      <c r="E230" s="318" t="s">
        <v>146</v>
      </c>
      <c r="F230" s="290"/>
      <c r="G230" s="317" t="s">
        <v>82</v>
      </c>
      <c r="H230" s="318" t="s">
        <v>147</v>
      </c>
      <c r="I230" s="318" t="s">
        <v>148</v>
      </c>
      <c r="J230" s="318" t="s">
        <v>149</v>
      </c>
      <c r="K230" s="318" t="s">
        <v>150</v>
      </c>
      <c r="M230" s="319" t="s">
        <v>82</v>
      </c>
      <c r="N230" s="320" t="s">
        <v>151</v>
      </c>
      <c r="O230" s="320" t="s">
        <v>152</v>
      </c>
      <c r="P230" s="320" t="s">
        <v>153</v>
      </c>
      <c r="Q230" s="320" t="s">
        <v>154</v>
      </c>
      <c r="R230" s="320" t="s">
        <v>155</v>
      </c>
      <c r="S230" s="320" t="s">
        <v>156</v>
      </c>
      <c r="T230" s="320" t="s">
        <v>157</v>
      </c>
      <c r="U230" s="320" t="s">
        <v>158</v>
      </c>
      <c r="V230" s="320" t="s">
        <v>159</v>
      </c>
      <c r="W230" s="320" t="s">
        <v>160</v>
      </c>
      <c r="X230" s="320" t="s">
        <v>161</v>
      </c>
      <c r="Y230" s="320" t="s">
        <v>162</v>
      </c>
      <c r="Z230" s="320" t="s">
        <v>163</v>
      </c>
      <c r="AA230" s="320" t="s">
        <v>164</v>
      </c>
      <c r="AB230" s="320" t="s">
        <v>165</v>
      </c>
      <c r="AC230" s="320" t="s">
        <v>166</v>
      </c>
      <c r="AD230" s="320" t="s">
        <v>167</v>
      </c>
      <c r="AE230" s="320" t="s">
        <v>168</v>
      </c>
      <c r="AF230" s="320" t="s">
        <v>169</v>
      </c>
      <c r="AG230" s="320" t="s">
        <v>170</v>
      </c>
      <c r="AH230" s="320" t="s">
        <v>171</v>
      </c>
    </row>
    <row r="231" spans="1:34" ht="15.6" customHeight="1" x14ac:dyDescent="0.25">
      <c r="A231" s="317">
        <v>2013</v>
      </c>
      <c r="B231" s="342">
        <v>41</v>
      </c>
      <c r="C231" s="342">
        <v>55</v>
      </c>
      <c r="D231" s="342">
        <v>79</v>
      </c>
      <c r="E231" s="342">
        <v>57</v>
      </c>
      <c r="F231" s="290"/>
      <c r="G231" s="317">
        <v>2013</v>
      </c>
      <c r="H231" s="322">
        <f ca="1">B231/B252</f>
        <v>53.739285714285721</v>
      </c>
      <c r="I231" s="322">
        <f ca="1">C231/C252</f>
        <v>42.584388185654014</v>
      </c>
      <c r="J231" s="322">
        <f ca="1">D231/D252</f>
        <v>64.428888888888892</v>
      </c>
      <c r="K231" s="322">
        <f ca="1">E231/E252</f>
        <v>79.238636363636374</v>
      </c>
      <c r="M231" s="319" t="s">
        <v>73</v>
      </c>
      <c r="N231" s="320">
        <f>B231</f>
        <v>41</v>
      </c>
      <c r="O231" s="320">
        <f>C231</f>
        <v>55</v>
      </c>
      <c r="P231" s="320">
        <f>D231</f>
        <v>79</v>
      </c>
      <c r="Q231" s="320">
        <f>E231</f>
        <v>57</v>
      </c>
      <c r="R231" s="320">
        <f>B232</f>
        <v>39</v>
      </c>
      <c r="S231" s="320">
        <f>C232</f>
        <v>56</v>
      </c>
      <c r="T231" s="320">
        <f>D232</f>
        <v>64</v>
      </c>
      <c r="U231" s="320">
        <f>E232</f>
        <v>30</v>
      </c>
      <c r="V231" s="320">
        <f>B233</f>
        <v>25</v>
      </c>
      <c r="W231" s="320">
        <f>C233</f>
        <v>54</v>
      </c>
      <c r="X231" s="320">
        <f>D233</f>
        <v>25</v>
      </c>
      <c r="Y231" s="320">
        <f>E233</f>
        <v>18</v>
      </c>
      <c r="Z231" s="320">
        <f>B234</f>
        <v>18</v>
      </c>
      <c r="AA231" s="320">
        <f>C234</f>
        <v>36</v>
      </c>
      <c r="AB231" s="320">
        <f>D234</f>
        <v>36</v>
      </c>
      <c r="AC231" s="320">
        <f>E234</f>
        <v>16</v>
      </c>
      <c r="AD231" s="320">
        <f>B235</f>
        <v>17</v>
      </c>
      <c r="AE231" s="320">
        <f>C235</f>
        <v>36</v>
      </c>
      <c r="AF231" s="320">
        <f t="shared" ref="AF231:AG231" si="9">D235</f>
        <v>21</v>
      </c>
      <c r="AG231" s="320">
        <f t="shared" si="9"/>
        <v>11</v>
      </c>
      <c r="AH231" s="320">
        <f>B236</f>
        <v>0</v>
      </c>
    </row>
    <row r="232" spans="1:34" ht="15.6" customHeight="1" x14ac:dyDescent="0.25">
      <c r="A232" s="317">
        <v>2014</v>
      </c>
      <c r="B232" s="342">
        <v>39</v>
      </c>
      <c r="C232" s="342">
        <v>56</v>
      </c>
      <c r="D232" s="342">
        <v>64</v>
      </c>
      <c r="E232" s="342">
        <v>30</v>
      </c>
      <c r="F232" s="290"/>
      <c r="G232" s="317">
        <v>2014</v>
      </c>
      <c r="H232" s="322">
        <f ca="1">B232/B252</f>
        <v>51.117857142857147</v>
      </c>
      <c r="I232" s="322">
        <f ca="1">C232/C252</f>
        <v>43.358649789029542</v>
      </c>
      <c r="J232" s="322">
        <f ca="1">D232/D252</f>
        <v>52.195555555555558</v>
      </c>
      <c r="K232" s="322">
        <f ca="1">E232/E252</f>
        <v>41.70454545454546</v>
      </c>
      <c r="M232" s="319" t="s">
        <v>172</v>
      </c>
      <c r="N232" s="323">
        <f ca="1">H231</f>
        <v>53.739285714285721</v>
      </c>
      <c r="O232" s="323">
        <f ca="1">I231</f>
        <v>42.584388185654014</v>
      </c>
      <c r="P232" s="323">
        <f ca="1">J231</f>
        <v>64.428888888888892</v>
      </c>
      <c r="Q232" s="323">
        <f ca="1">K231</f>
        <v>79.238636363636374</v>
      </c>
      <c r="R232" s="323">
        <f ca="1">H232</f>
        <v>51.117857142857147</v>
      </c>
      <c r="S232" s="323">
        <f ca="1">I232</f>
        <v>43.358649789029542</v>
      </c>
      <c r="T232" s="323">
        <f ca="1">J232</f>
        <v>52.195555555555558</v>
      </c>
      <c r="U232" s="323">
        <f ca="1">K232</f>
        <v>41.70454545454546</v>
      </c>
      <c r="V232" s="323">
        <f ca="1">H233</f>
        <v>32.767857142857146</v>
      </c>
      <c r="W232" s="323">
        <f ca="1">I233</f>
        <v>41.810126582278492</v>
      </c>
      <c r="X232" s="323">
        <f ca="1">J233</f>
        <v>20.388888888888889</v>
      </c>
      <c r="Y232" s="323">
        <f ca="1">K233</f>
        <v>25.022727272727277</v>
      </c>
      <c r="Z232" s="323">
        <f ca="1">H234</f>
        <v>23.592857142857145</v>
      </c>
      <c r="AA232" s="323">
        <f ca="1">I234</f>
        <v>27.873417721518994</v>
      </c>
      <c r="AB232" s="323">
        <f ca="1">J234</f>
        <v>29.360000000000003</v>
      </c>
      <c r="AC232" s="323">
        <f ca="1">K234</f>
        <v>22.242424242424246</v>
      </c>
      <c r="AD232" s="323">
        <f ca="1">H235</f>
        <v>22.282142857142858</v>
      </c>
      <c r="AE232" s="323">
        <f ca="1">I235</f>
        <v>27.873417721518994</v>
      </c>
      <c r="AF232" s="323">
        <f t="shared" ref="AF232:AG232" ca="1" si="10">J235</f>
        <v>17.126666666666669</v>
      </c>
      <c r="AG232" s="323">
        <f t="shared" ca="1" si="10"/>
        <v>15.29166666666667</v>
      </c>
      <c r="AH232" s="323">
        <f ca="1">H236</f>
        <v>0</v>
      </c>
    </row>
    <row r="233" spans="1:34" ht="15.6" customHeight="1" x14ac:dyDescent="0.25">
      <c r="A233" s="317">
        <v>2015</v>
      </c>
      <c r="B233" s="321">
        <v>25</v>
      </c>
      <c r="C233" s="321">
        <v>54</v>
      </c>
      <c r="D233" s="321">
        <v>25</v>
      </c>
      <c r="E233" s="321">
        <v>18</v>
      </c>
      <c r="F233" s="290"/>
      <c r="G233" s="317">
        <v>2015</v>
      </c>
      <c r="H233" s="322">
        <f ca="1">B233/B252</f>
        <v>32.767857142857146</v>
      </c>
      <c r="I233" s="322">
        <f ca="1">C233/C252</f>
        <v>41.810126582278492</v>
      </c>
      <c r="J233" s="322">
        <f ca="1">D233/D252</f>
        <v>20.388888888888889</v>
      </c>
      <c r="K233" s="322">
        <f ca="1">E233/E252</f>
        <v>25.022727272727277</v>
      </c>
    </row>
    <row r="234" spans="1:34" ht="15.6" customHeight="1" x14ac:dyDescent="0.25">
      <c r="A234" s="317">
        <v>2016</v>
      </c>
      <c r="B234" s="321">
        <v>18</v>
      </c>
      <c r="C234" s="321">
        <v>36</v>
      </c>
      <c r="D234" s="321">
        <v>36</v>
      </c>
      <c r="E234" s="321">
        <v>16</v>
      </c>
      <c r="F234" s="290"/>
      <c r="G234" s="317">
        <v>2016</v>
      </c>
      <c r="H234" s="322">
        <f ca="1">B234/B252</f>
        <v>23.592857142857145</v>
      </c>
      <c r="I234" s="322">
        <f ca="1">C234/C252</f>
        <v>27.873417721518994</v>
      </c>
      <c r="J234" s="322">
        <f ca="1">D234/D252</f>
        <v>29.360000000000003</v>
      </c>
      <c r="K234" s="322">
        <f ca="1">E234/E252</f>
        <v>22.242424242424246</v>
      </c>
    </row>
    <row r="235" spans="1:34" ht="15.6" customHeight="1" x14ac:dyDescent="0.25">
      <c r="A235" s="317">
        <v>2017</v>
      </c>
      <c r="B235" s="324">
        <v>17</v>
      </c>
      <c r="C235" s="324">
        <v>36</v>
      </c>
      <c r="D235" s="324">
        <v>21</v>
      </c>
      <c r="E235" s="324">
        <v>11</v>
      </c>
      <c r="F235" s="290"/>
      <c r="G235" s="317">
        <v>2017</v>
      </c>
      <c r="H235" s="322">
        <f ca="1">B235/B252</f>
        <v>22.282142857142858</v>
      </c>
      <c r="I235" s="322">
        <f ca="1">C235/C252</f>
        <v>27.873417721518994</v>
      </c>
      <c r="J235" s="322">
        <f ca="1">D235/D252</f>
        <v>17.126666666666669</v>
      </c>
      <c r="K235" s="322">
        <f ca="1">E235/E252</f>
        <v>15.29166666666667</v>
      </c>
    </row>
    <row r="236" spans="1:34" ht="15.6" hidden="1" customHeight="1" x14ac:dyDescent="0.25">
      <c r="A236" s="317">
        <v>2018</v>
      </c>
      <c r="B236" s="318"/>
      <c r="C236" s="318"/>
      <c r="D236" s="318"/>
      <c r="E236" s="318"/>
      <c r="F236" s="290"/>
      <c r="G236" s="317">
        <v>2018</v>
      </c>
      <c r="H236" s="322">
        <f ca="1">B236/B252</f>
        <v>0</v>
      </c>
      <c r="I236" s="322">
        <f ca="1">C236/C252</f>
        <v>0</v>
      </c>
      <c r="J236" s="322">
        <f ca="1">D236/D252</f>
        <v>0</v>
      </c>
      <c r="K236" s="322">
        <f ca="1">E236/E252</f>
        <v>0</v>
      </c>
    </row>
    <row r="237" spans="1:34" ht="15.6" hidden="1" customHeight="1" x14ac:dyDescent="0.25">
      <c r="A237" s="317">
        <v>2019</v>
      </c>
      <c r="B237" s="325"/>
      <c r="C237" s="325"/>
      <c r="D237" s="325"/>
      <c r="E237" s="325"/>
      <c r="F237" s="290"/>
      <c r="G237" s="317">
        <v>2019</v>
      </c>
      <c r="H237" s="322">
        <f ca="1">B237/B252</f>
        <v>0</v>
      </c>
      <c r="I237" s="322">
        <f ca="1">C237/C252</f>
        <v>0</v>
      </c>
      <c r="J237" s="322">
        <f ca="1">D237/D252</f>
        <v>0</v>
      </c>
      <c r="K237" s="322">
        <f ca="1">E237/E252</f>
        <v>0</v>
      </c>
    </row>
    <row r="238" spans="1:34" ht="15.6" hidden="1" customHeight="1" x14ac:dyDescent="0.25">
      <c r="A238" s="317">
        <v>2020</v>
      </c>
      <c r="B238" s="325"/>
      <c r="C238" s="325"/>
      <c r="D238" s="325"/>
      <c r="E238" s="325"/>
      <c r="F238" s="290"/>
      <c r="G238" s="317">
        <v>2020</v>
      </c>
      <c r="H238" s="322">
        <f ca="1">B238/B252</f>
        <v>0</v>
      </c>
      <c r="I238" s="322">
        <f ca="1">C238/C252</f>
        <v>0</v>
      </c>
      <c r="J238" s="322">
        <f ca="1">D238/D252</f>
        <v>0</v>
      </c>
      <c r="K238" s="322">
        <f ca="1">E238/E252</f>
        <v>0</v>
      </c>
    </row>
    <row r="239" spans="1:34" ht="15.6" hidden="1" customHeight="1" x14ac:dyDescent="0.25">
      <c r="A239" s="317">
        <v>2021</v>
      </c>
      <c r="B239" s="325"/>
      <c r="C239" s="325"/>
      <c r="D239" s="325"/>
      <c r="E239" s="325"/>
      <c r="F239" s="290"/>
      <c r="G239" s="317">
        <v>2021</v>
      </c>
      <c r="H239" s="322">
        <f ca="1">B239/B252</f>
        <v>0</v>
      </c>
      <c r="I239" s="322">
        <f ca="1">C239/C252</f>
        <v>0</v>
      </c>
      <c r="J239" s="322">
        <f ca="1">D239/D252</f>
        <v>0</v>
      </c>
      <c r="K239" s="322">
        <f ca="1">E239/E252</f>
        <v>0</v>
      </c>
    </row>
    <row r="240" spans="1:34" ht="15.6" hidden="1" customHeight="1" x14ac:dyDescent="0.25">
      <c r="A240" s="317">
        <v>2022</v>
      </c>
      <c r="B240" s="325"/>
      <c r="C240" s="325"/>
      <c r="D240" s="325"/>
      <c r="E240" s="325"/>
      <c r="F240" s="290"/>
      <c r="G240" s="317">
        <v>2022</v>
      </c>
      <c r="H240" s="322">
        <f ca="1">B240/B252</f>
        <v>0</v>
      </c>
      <c r="I240" s="322">
        <f ca="1">C240/C252</f>
        <v>0</v>
      </c>
      <c r="J240" s="322">
        <f ca="1">D240/D252</f>
        <v>0</v>
      </c>
      <c r="K240" s="322">
        <f ca="1">E240/E252</f>
        <v>0</v>
      </c>
    </row>
    <row r="241" spans="1:11" ht="15.6" hidden="1" customHeight="1" x14ac:dyDescent="0.25">
      <c r="A241" s="317">
        <v>2023</v>
      </c>
      <c r="B241" s="326"/>
      <c r="C241" s="325"/>
      <c r="D241" s="325"/>
      <c r="E241" s="325"/>
      <c r="F241" s="290"/>
      <c r="G241" s="317">
        <v>2023</v>
      </c>
      <c r="H241" s="322">
        <f ca="1">B241/B252</f>
        <v>0</v>
      </c>
      <c r="I241" s="322">
        <f ca="1">C241/C252</f>
        <v>0</v>
      </c>
      <c r="J241" s="322">
        <f ca="1">D241/D252</f>
        <v>0</v>
      </c>
      <c r="K241" s="322">
        <f ca="1">E241/E252</f>
        <v>0</v>
      </c>
    </row>
    <row r="242" spans="1:11" ht="15.6" hidden="1" customHeight="1" x14ac:dyDescent="0.25">
      <c r="A242" s="317">
        <v>2024</v>
      </c>
      <c r="B242" s="326"/>
      <c r="C242" s="325"/>
      <c r="D242" s="325"/>
      <c r="E242" s="325"/>
      <c r="F242" s="290"/>
      <c r="G242" s="317">
        <v>2024</v>
      </c>
      <c r="H242" s="322">
        <f ca="1">B242/B252</f>
        <v>0</v>
      </c>
      <c r="I242" s="322">
        <f ca="1">C242/C252</f>
        <v>0</v>
      </c>
      <c r="J242" s="322">
        <f ca="1">D242/D252</f>
        <v>0</v>
      </c>
      <c r="K242" s="322">
        <f ca="1">E242/E252</f>
        <v>0</v>
      </c>
    </row>
    <row r="243" spans="1:11" ht="15.6" hidden="1" customHeight="1" x14ac:dyDescent="0.25">
      <c r="A243" s="317">
        <v>2025</v>
      </c>
      <c r="B243" s="326"/>
      <c r="C243" s="325"/>
      <c r="D243" s="325"/>
      <c r="E243" s="325"/>
      <c r="F243" s="290"/>
      <c r="G243" s="317">
        <v>2025</v>
      </c>
      <c r="H243" s="322">
        <f ca="1">B243/B252</f>
        <v>0</v>
      </c>
      <c r="I243" s="322">
        <f ca="1">C243/C252</f>
        <v>0</v>
      </c>
      <c r="J243" s="322">
        <f ca="1">D243/D252</f>
        <v>0</v>
      </c>
      <c r="K243" s="322">
        <f ca="1">E243/E252</f>
        <v>0</v>
      </c>
    </row>
    <row r="244" spans="1:11" ht="15.6" hidden="1" customHeight="1" x14ac:dyDescent="0.25">
      <c r="A244" s="317">
        <v>2026</v>
      </c>
      <c r="B244" s="326"/>
      <c r="C244" s="327"/>
      <c r="D244" s="327"/>
      <c r="E244" s="327"/>
      <c r="F244" s="290"/>
      <c r="G244" s="317">
        <v>2026</v>
      </c>
      <c r="H244" s="322">
        <f ca="1">B244/B252</f>
        <v>0</v>
      </c>
      <c r="I244" s="322">
        <f ca="1">C244/C252</f>
        <v>0</v>
      </c>
      <c r="J244" s="322">
        <f ca="1">D244/D252</f>
        <v>0</v>
      </c>
      <c r="K244" s="322">
        <f ca="1">E244/E252</f>
        <v>0</v>
      </c>
    </row>
    <row r="245" spans="1:11" ht="15.6" hidden="1" customHeight="1" x14ac:dyDescent="0.25">
      <c r="A245" s="317">
        <v>2027</v>
      </c>
      <c r="B245" s="326"/>
      <c r="C245" s="327"/>
      <c r="D245" s="327"/>
      <c r="E245" s="327"/>
      <c r="F245" s="290"/>
      <c r="G245" s="317">
        <v>2027</v>
      </c>
      <c r="H245" s="322">
        <f ca="1">B245/B252</f>
        <v>0</v>
      </c>
      <c r="I245" s="322">
        <f ca="1">C245/C252</f>
        <v>0</v>
      </c>
      <c r="J245" s="322">
        <f ca="1">D245/D252</f>
        <v>0</v>
      </c>
      <c r="K245" s="322">
        <f ca="1">E245/E252</f>
        <v>0</v>
      </c>
    </row>
    <row r="246" spans="1:11" ht="15.6" hidden="1" customHeight="1" x14ac:dyDescent="0.25">
      <c r="A246" s="317">
        <v>2027</v>
      </c>
      <c r="B246" s="326"/>
      <c r="C246" s="327"/>
      <c r="D246" s="327"/>
      <c r="E246" s="327"/>
      <c r="F246" s="290"/>
      <c r="G246" s="317">
        <v>2027</v>
      </c>
      <c r="H246" s="322">
        <f ca="1">B246/B252</f>
        <v>0</v>
      </c>
      <c r="I246" s="322">
        <f ca="1">C246/C252</f>
        <v>0</v>
      </c>
      <c r="J246" s="322">
        <f ca="1">D246/D252</f>
        <v>0</v>
      </c>
      <c r="K246" s="322">
        <f ca="1">E246/E252</f>
        <v>0</v>
      </c>
    </row>
    <row r="247" spans="1:11" ht="15.6" hidden="1" customHeight="1" x14ac:dyDescent="0.25">
      <c r="A247" s="328"/>
      <c r="B247" s="349"/>
      <c r="C247" s="329"/>
      <c r="D247" s="329"/>
      <c r="E247" s="329"/>
      <c r="F247" s="290"/>
      <c r="G247" s="328"/>
      <c r="H247" s="330"/>
      <c r="I247" s="330"/>
      <c r="J247" s="330"/>
      <c r="K247" s="330"/>
    </row>
    <row r="248" spans="1:11" ht="15.6" hidden="1" customHeight="1" x14ac:dyDescent="0.25">
      <c r="A248" s="328"/>
      <c r="B248" s="349"/>
      <c r="C248" s="329"/>
      <c r="D248" s="329"/>
      <c r="E248" s="329"/>
      <c r="F248" s="290"/>
      <c r="G248" s="328"/>
      <c r="H248" s="330"/>
      <c r="I248" s="330"/>
      <c r="J248" s="330"/>
      <c r="K248" s="330"/>
    </row>
    <row r="249" spans="1:11" ht="15.6" hidden="1" customHeight="1" x14ac:dyDescent="0.25">
      <c r="A249" s="328"/>
      <c r="B249" s="349"/>
      <c r="C249" s="329"/>
      <c r="D249" s="329"/>
      <c r="E249" s="329"/>
      <c r="F249" s="290"/>
      <c r="G249" s="328"/>
      <c r="H249" s="330"/>
      <c r="I249" s="330"/>
      <c r="J249" s="330"/>
      <c r="K249" s="330"/>
    </row>
    <row r="250" spans="1:11" ht="15.6" customHeight="1" x14ac:dyDescent="0.25">
      <c r="A250" s="290"/>
      <c r="B250" s="290"/>
      <c r="C250" s="290"/>
      <c r="D250" s="290"/>
      <c r="E250" s="290"/>
      <c r="F250" s="331" t="s">
        <v>173</v>
      </c>
      <c r="G250" s="834" t="s">
        <v>174</v>
      </c>
      <c r="H250" s="834"/>
      <c r="I250" s="332"/>
    </row>
    <row r="251" spans="1:11" ht="15.6" customHeight="1" x14ac:dyDescent="0.25">
      <c r="A251" s="331" t="s">
        <v>175</v>
      </c>
      <c r="B251" s="333">
        <f ca="1">AVERAGE(OFFSET(B231,0,0,COUNTA(B231:B246),1))</f>
        <v>28</v>
      </c>
      <c r="C251" s="333">
        <f ca="1">AVERAGE(OFFSET(C231,0,0,17-COUNTBLANK(C231:C246),1))</f>
        <v>47.4</v>
      </c>
      <c r="D251" s="333">
        <f ca="1">AVERAGE(OFFSET(D231,0,0,COUNTA(D231:D246),1))</f>
        <v>45</v>
      </c>
      <c r="E251" s="333">
        <f ca="1">AVERAGE(OFFSET(E231,0,0,COUNTA(E231:E246),1))</f>
        <v>26.4</v>
      </c>
      <c r="F251" s="334">
        <f ca="1">AVERAGE(B251:E251)</f>
        <v>36.700000000000003</v>
      </c>
      <c r="G251" s="835">
        <f ca="1">AVERAGE(B252:E252)</f>
        <v>0.99999999999999978</v>
      </c>
      <c r="H251" s="836"/>
      <c r="I251" s="332"/>
    </row>
    <row r="252" spans="1:11" ht="15.6" customHeight="1" x14ac:dyDescent="0.25">
      <c r="A252" s="331" t="s">
        <v>176</v>
      </c>
      <c r="B252" s="333">
        <f ca="1">B251/$F251</f>
        <v>0.76294277929155307</v>
      </c>
      <c r="C252" s="333">
        <f ca="1">C251/$F251</f>
        <v>1.2915531335149861</v>
      </c>
      <c r="D252" s="333">
        <f ca="1">D251/$F251</f>
        <v>1.2261580381471389</v>
      </c>
      <c r="E252" s="333">
        <f ca="1">E251/$F251</f>
        <v>0.71934604904632138</v>
      </c>
      <c r="F252" s="335"/>
      <c r="G252" s="290"/>
      <c r="H252" s="336"/>
      <c r="I252" s="332"/>
    </row>
    <row r="253" spans="1:11" ht="15.6" customHeight="1" x14ac:dyDescent="0.25">
      <c r="A253" s="290"/>
      <c r="B253" s="333"/>
      <c r="C253" s="333"/>
      <c r="D253" s="333"/>
      <c r="E253" s="333"/>
      <c r="F253" s="335"/>
      <c r="G253" s="290"/>
      <c r="H253" s="336"/>
      <c r="I253" s="332"/>
    </row>
    <row r="254" spans="1:11" ht="15.6" customHeight="1" x14ac:dyDescent="0.25">
      <c r="A254" s="331" t="s">
        <v>233</v>
      </c>
      <c r="B254" s="290"/>
      <c r="C254" s="290"/>
      <c r="D254" s="290"/>
      <c r="E254" s="290"/>
      <c r="F254" s="335"/>
      <c r="G254" s="290"/>
      <c r="H254" s="336"/>
      <c r="I254" s="332"/>
    </row>
    <row r="255" spans="1:11" ht="15.6" customHeight="1" x14ac:dyDescent="0.2">
      <c r="A255" s="317" t="s">
        <v>82</v>
      </c>
      <c r="B255" s="318" t="s">
        <v>165</v>
      </c>
      <c r="C255" s="318" t="s">
        <v>166</v>
      </c>
      <c r="D255" s="318" t="s">
        <v>167</v>
      </c>
      <c r="E255" s="318" t="s">
        <v>168</v>
      </c>
      <c r="F255" s="318" t="s">
        <v>169</v>
      </c>
      <c r="G255" s="318" t="s">
        <v>170</v>
      </c>
      <c r="H255" s="336"/>
      <c r="I255" s="332"/>
    </row>
    <row r="256" spans="1:11" ht="15.6" hidden="1" customHeight="1" x14ac:dyDescent="0.2">
      <c r="A256" s="317" t="s">
        <v>151</v>
      </c>
      <c r="B256" s="325"/>
      <c r="C256" s="325"/>
      <c r="D256" s="325">
        <v>23</v>
      </c>
      <c r="E256" s="325">
        <v>1</v>
      </c>
      <c r="F256" s="325">
        <v>1</v>
      </c>
      <c r="G256" s="325">
        <v>1</v>
      </c>
      <c r="H256" s="336"/>
      <c r="I256" s="332"/>
    </row>
    <row r="257" spans="1:9" ht="15.6" hidden="1" customHeight="1" x14ac:dyDescent="0.2">
      <c r="A257" s="317" t="s">
        <v>152</v>
      </c>
      <c r="B257" s="325"/>
      <c r="C257" s="325">
        <v>3</v>
      </c>
      <c r="D257" s="325">
        <v>15</v>
      </c>
      <c r="E257" s="325">
        <v>1</v>
      </c>
      <c r="F257" s="325">
        <v>1</v>
      </c>
      <c r="G257" s="325">
        <v>1</v>
      </c>
      <c r="H257" s="336"/>
      <c r="I257" s="332"/>
    </row>
    <row r="258" spans="1:9" ht="15.6" hidden="1" customHeight="1" x14ac:dyDescent="0.2">
      <c r="A258" s="317" t="s">
        <v>153</v>
      </c>
      <c r="B258" s="325">
        <v>1</v>
      </c>
      <c r="C258" s="325">
        <v>3</v>
      </c>
      <c r="D258" s="325">
        <v>10</v>
      </c>
      <c r="E258" s="325"/>
      <c r="F258" s="325"/>
      <c r="G258" s="325"/>
      <c r="H258" s="336"/>
      <c r="I258" s="332"/>
    </row>
    <row r="259" spans="1:9" ht="15.6" hidden="1" customHeight="1" x14ac:dyDescent="0.2">
      <c r="A259" s="317" t="s">
        <v>154</v>
      </c>
      <c r="B259" s="325"/>
      <c r="C259" s="325">
        <v>5</v>
      </c>
      <c r="D259" s="325">
        <v>16</v>
      </c>
      <c r="E259" s="325"/>
      <c r="F259" s="325"/>
      <c r="G259" s="325"/>
      <c r="H259" s="336"/>
      <c r="I259" s="332"/>
    </row>
    <row r="260" spans="1:9" ht="15.6" hidden="1" customHeight="1" x14ac:dyDescent="0.2">
      <c r="A260" s="317" t="s">
        <v>155</v>
      </c>
      <c r="B260" s="325">
        <v>2</v>
      </c>
      <c r="C260" s="325"/>
      <c r="D260" s="325">
        <v>13</v>
      </c>
      <c r="E260" s="325">
        <v>3</v>
      </c>
      <c r="F260" s="325">
        <v>3</v>
      </c>
      <c r="G260" s="325">
        <v>3</v>
      </c>
      <c r="H260" s="336"/>
      <c r="I260" s="332"/>
    </row>
    <row r="261" spans="1:9" ht="15.6" hidden="1" customHeight="1" x14ac:dyDescent="0.2">
      <c r="A261" s="317" t="s">
        <v>156</v>
      </c>
      <c r="B261" s="325">
        <v>2</v>
      </c>
      <c r="C261" s="325"/>
      <c r="D261" s="325">
        <v>20</v>
      </c>
      <c r="E261" s="325">
        <v>1</v>
      </c>
      <c r="F261" s="325">
        <v>1</v>
      </c>
      <c r="G261" s="325">
        <v>1</v>
      </c>
      <c r="H261" s="336"/>
      <c r="I261" s="332"/>
    </row>
    <row r="262" spans="1:9" ht="15.6" hidden="1" customHeight="1" x14ac:dyDescent="0.2">
      <c r="A262" s="317" t="s">
        <v>157</v>
      </c>
      <c r="B262" s="325">
        <v>5</v>
      </c>
      <c r="C262" s="325"/>
      <c r="D262" s="325">
        <v>9</v>
      </c>
      <c r="E262" s="325"/>
      <c r="F262" s="325"/>
      <c r="G262" s="325"/>
      <c r="H262" s="336"/>
      <c r="I262" s="332"/>
    </row>
    <row r="263" spans="1:9" ht="15.6" hidden="1" customHeight="1" x14ac:dyDescent="0.2">
      <c r="A263" s="317" t="s">
        <v>158</v>
      </c>
      <c r="B263" s="325">
        <v>1</v>
      </c>
      <c r="C263" s="325">
        <v>4</v>
      </c>
      <c r="D263" s="325">
        <v>27</v>
      </c>
      <c r="E263" s="325">
        <v>1</v>
      </c>
      <c r="F263" s="325">
        <v>1</v>
      </c>
      <c r="G263" s="325">
        <v>1</v>
      </c>
      <c r="H263" s="336"/>
      <c r="I263" s="332"/>
    </row>
    <row r="264" spans="1:9" ht="15.6" hidden="1" customHeight="1" x14ac:dyDescent="0.2">
      <c r="A264" s="317" t="s">
        <v>159</v>
      </c>
      <c r="B264" s="325"/>
      <c r="C264" s="325">
        <v>1</v>
      </c>
      <c r="D264" s="325">
        <v>19</v>
      </c>
      <c r="E264" s="325">
        <v>1</v>
      </c>
      <c r="F264" s="325">
        <v>1</v>
      </c>
      <c r="G264" s="325">
        <v>1</v>
      </c>
      <c r="H264" s="336"/>
      <c r="I264" s="332"/>
    </row>
    <row r="265" spans="1:9" ht="15.6" customHeight="1" x14ac:dyDescent="0.2">
      <c r="A265" s="317" t="s">
        <v>234</v>
      </c>
      <c r="B265" s="342"/>
      <c r="C265" s="342"/>
      <c r="D265" s="339">
        <v>3</v>
      </c>
      <c r="E265" s="339">
        <v>11</v>
      </c>
      <c r="F265" s="339">
        <v>6</v>
      </c>
      <c r="G265" s="339">
        <v>5</v>
      </c>
      <c r="H265" s="336"/>
      <c r="I265" s="332"/>
    </row>
    <row r="266" spans="1:9" ht="15.6" customHeight="1" x14ac:dyDescent="0.2">
      <c r="A266" s="317" t="s">
        <v>235</v>
      </c>
      <c r="B266" s="342"/>
      <c r="C266" s="342"/>
      <c r="D266" s="339">
        <v>2</v>
      </c>
      <c r="E266" s="339">
        <v>7</v>
      </c>
      <c r="F266" s="339">
        <v>6</v>
      </c>
      <c r="G266" s="339">
        <v>5</v>
      </c>
      <c r="H266" s="336"/>
      <c r="I266" s="332"/>
    </row>
    <row r="267" spans="1:9" ht="15.6" customHeight="1" x14ac:dyDescent="0.2">
      <c r="A267" s="317" t="s">
        <v>236</v>
      </c>
      <c r="B267" s="342"/>
      <c r="C267" s="342"/>
      <c r="D267" s="339">
        <v>3</v>
      </c>
      <c r="E267" s="339">
        <v>7</v>
      </c>
      <c r="F267" s="339">
        <v>3</v>
      </c>
      <c r="G267" s="339">
        <v>1</v>
      </c>
      <c r="H267" s="336"/>
      <c r="I267" s="332"/>
    </row>
    <row r="268" spans="1:9" ht="15.6" customHeight="1" x14ac:dyDescent="0.2">
      <c r="A268" s="317" t="s">
        <v>237</v>
      </c>
      <c r="B268" s="325"/>
      <c r="C268" s="325"/>
      <c r="D268" s="340">
        <v>4</v>
      </c>
      <c r="E268" s="340">
        <v>6</v>
      </c>
      <c r="F268" s="340">
        <v>2</v>
      </c>
      <c r="G268" s="340"/>
      <c r="H268" s="336"/>
      <c r="I268" s="332"/>
    </row>
    <row r="269" spans="1:9" ht="15.6" customHeight="1" x14ac:dyDescent="0.2">
      <c r="A269" s="317" t="s">
        <v>238</v>
      </c>
      <c r="B269" s="342"/>
      <c r="C269" s="342"/>
      <c r="D269" s="339">
        <v>5</v>
      </c>
      <c r="E269" s="339">
        <v>2</v>
      </c>
      <c r="F269" s="339"/>
      <c r="G269" s="339"/>
      <c r="H269" s="336"/>
      <c r="I269" s="332"/>
    </row>
    <row r="270" spans="1:9" ht="15.6" customHeight="1" x14ac:dyDescent="0.2">
      <c r="A270" s="317" t="s">
        <v>183</v>
      </c>
      <c r="B270" s="342"/>
      <c r="C270" s="342"/>
      <c r="D270" s="342"/>
      <c r="E270" s="342"/>
      <c r="F270" s="342"/>
      <c r="G270" s="339"/>
      <c r="H270" s="336"/>
      <c r="I270" s="332"/>
    </row>
    <row r="271" spans="1:9" ht="15.6" customHeight="1" x14ac:dyDescent="0.2">
      <c r="A271" s="317" t="s">
        <v>184</v>
      </c>
      <c r="B271" s="342"/>
      <c r="C271" s="342"/>
      <c r="D271" s="342"/>
      <c r="E271" s="342"/>
      <c r="F271" s="342"/>
      <c r="G271" s="339"/>
      <c r="H271" s="336"/>
      <c r="I271" s="332"/>
    </row>
    <row r="272" spans="1:9" ht="15.6" customHeight="1" x14ac:dyDescent="0.2">
      <c r="A272" s="317" t="s">
        <v>185</v>
      </c>
      <c r="B272" s="342"/>
      <c r="C272" s="342"/>
      <c r="D272" s="342"/>
      <c r="E272" s="342"/>
      <c r="F272" s="342"/>
      <c r="G272" s="339"/>
      <c r="H272" s="336"/>
      <c r="I272" s="332"/>
    </row>
    <row r="273" spans="1:12" ht="15.6" customHeight="1" x14ac:dyDescent="0.2">
      <c r="A273" s="317" t="s">
        <v>186</v>
      </c>
      <c r="B273" s="342"/>
      <c r="C273" s="342"/>
      <c r="D273" s="342"/>
      <c r="E273" s="342"/>
      <c r="F273" s="342"/>
      <c r="G273" s="339"/>
      <c r="H273" s="336"/>
      <c r="I273" s="332"/>
    </row>
    <row r="274" spans="1:12" ht="15.6" customHeight="1" x14ac:dyDescent="0.25">
      <c r="A274" s="290"/>
      <c r="B274" s="333"/>
      <c r="C274" s="333"/>
      <c r="D274" s="333"/>
      <c r="E274" s="333"/>
      <c r="F274" s="335"/>
      <c r="G274" s="290"/>
      <c r="H274" s="336"/>
      <c r="I274" s="332"/>
    </row>
    <row r="275" spans="1:12" ht="15.6" customHeight="1" x14ac:dyDescent="0.35">
      <c r="A275" s="345" t="s">
        <v>239</v>
      </c>
      <c r="B275" s="333"/>
      <c r="C275" s="333"/>
      <c r="D275" s="333"/>
      <c r="E275" s="333"/>
      <c r="F275" s="335"/>
      <c r="G275" s="290"/>
      <c r="H275" s="336"/>
      <c r="I275" s="332"/>
    </row>
    <row r="276" spans="1:12" ht="15.6" customHeight="1" x14ac:dyDescent="0.25">
      <c r="A276" s="350"/>
      <c r="B276" s="351"/>
      <c r="C276" s="351"/>
      <c r="D276" s="351"/>
      <c r="E276" s="351"/>
      <c r="F276" s="352"/>
      <c r="G276" s="350"/>
      <c r="H276" s="353"/>
      <c r="I276" s="354"/>
      <c r="J276" s="355"/>
      <c r="K276" s="355"/>
      <c r="L276" s="355"/>
    </row>
    <row r="277" spans="1:12" ht="15.6" customHeight="1" x14ac:dyDescent="0.25">
      <c r="A277" s="350" t="s">
        <v>240</v>
      </c>
      <c r="B277" s="351" t="s">
        <v>241</v>
      </c>
      <c r="C277" s="351" t="s">
        <v>242</v>
      </c>
      <c r="D277" s="351" t="s">
        <v>243</v>
      </c>
      <c r="E277" s="351"/>
      <c r="F277" s="352" t="s">
        <v>244</v>
      </c>
      <c r="G277" s="350"/>
      <c r="H277" s="353"/>
      <c r="I277" s="354"/>
      <c r="J277" s="355"/>
      <c r="K277" s="355"/>
      <c r="L277" s="355"/>
    </row>
    <row r="278" spans="1:12" ht="15.6" customHeight="1" x14ac:dyDescent="0.25">
      <c r="A278" s="356" t="s">
        <v>245</v>
      </c>
      <c r="B278" s="356">
        <v>85</v>
      </c>
      <c r="C278" s="351">
        <v>0.21573604060913706</v>
      </c>
      <c r="D278" s="351">
        <v>0.21573604060913706</v>
      </c>
      <c r="E278" s="356"/>
      <c r="F278" s="352">
        <v>1</v>
      </c>
      <c r="G278" s="357" t="s">
        <v>245</v>
      </c>
      <c r="H278" s="358">
        <v>85</v>
      </c>
      <c r="I278" s="352">
        <v>4</v>
      </c>
      <c r="J278" s="355">
        <v>1</v>
      </c>
      <c r="K278" s="355"/>
      <c r="L278" s="352">
        <v>4</v>
      </c>
    </row>
    <row r="279" spans="1:12" ht="15.6" customHeight="1" x14ac:dyDescent="0.25">
      <c r="A279" s="356" t="s">
        <v>246</v>
      </c>
      <c r="B279" s="356">
        <v>76</v>
      </c>
      <c r="C279" s="351">
        <v>0.40862944162436549</v>
      </c>
      <c r="D279" s="359">
        <v>0.19289340101522842</v>
      </c>
      <c r="E279" s="356"/>
      <c r="F279" s="352">
        <v>2</v>
      </c>
      <c r="G279" s="357" t="s">
        <v>246</v>
      </c>
      <c r="H279" s="358">
        <v>76</v>
      </c>
      <c r="I279" s="352">
        <v>5</v>
      </c>
      <c r="J279" s="355">
        <v>2</v>
      </c>
      <c r="K279" s="355"/>
      <c r="L279" s="352">
        <v>5</v>
      </c>
    </row>
    <row r="280" spans="1:12" ht="15.6" customHeight="1" x14ac:dyDescent="0.25">
      <c r="A280" s="356" t="s">
        <v>247</v>
      </c>
      <c r="B280" s="356">
        <v>64</v>
      </c>
      <c r="C280" s="351">
        <v>0.57106598984771573</v>
      </c>
      <c r="D280" s="359">
        <v>0.16243654822335024</v>
      </c>
      <c r="E280" s="356"/>
      <c r="F280" s="352">
        <v>3</v>
      </c>
      <c r="G280" s="357" t="s">
        <v>247</v>
      </c>
      <c r="H280" s="358">
        <v>64</v>
      </c>
      <c r="I280" s="352">
        <v>6</v>
      </c>
      <c r="J280" s="355">
        <v>3</v>
      </c>
      <c r="K280" s="355"/>
      <c r="L280" s="352">
        <v>6</v>
      </c>
    </row>
    <row r="281" spans="1:12" ht="15.6" customHeight="1" x14ac:dyDescent="0.25">
      <c r="A281" s="356" t="s">
        <v>248</v>
      </c>
      <c r="B281" s="356">
        <v>64</v>
      </c>
      <c r="C281" s="351">
        <v>0.73350253807106602</v>
      </c>
      <c r="D281" s="359">
        <v>0.16243654822335024</v>
      </c>
      <c r="E281" s="356"/>
      <c r="F281" s="352">
        <v>4</v>
      </c>
      <c r="G281" s="357" t="s">
        <v>248</v>
      </c>
      <c r="H281" s="358">
        <v>64</v>
      </c>
      <c r="I281" s="352">
        <v>1</v>
      </c>
      <c r="J281" s="355">
        <v>4</v>
      </c>
      <c r="K281" s="355"/>
      <c r="L281" s="352">
        <v>1</v>
      </c>
    </row>
    <row r="282" spans="1:12" ht="15.6" customHeight="1" x14ac:dyDescent="0.25">
      <c r="A282" s="356" t="s">
        <v>249</v>
      </c>
      <c r="B282" s="356">
        <v>57</v>
      </c>
      <c r="C282" s="351">
        <v>0.87817258883248739</v>
      </c>
      <c r="D282" s="359">
        <v>0.14467005076142131</v>
      </c>
      <c r="E282" s="356"/>
      <c r="F282" s="352">
        <v>5</v>
      </c>
      <c r="G282" s="357" t="s">
        <v>249</v>
      </c>
      <c r="H282" s="358">
        <v>57</v>
      </c>
      <c r="I282" s="352">
        <v>2</v>
      </c>
      <c r="J282" s="355">
        <v>5</v>
      </c>
      <c r="K282" s="355"/>
      <c r="L282" s="352">
        <v>2</v>
      </c>
    </row>
    <row r="283" spans="1:12" ht="15.6" customHeight="1" x14ac:dyDescent="0.25">
      <c r="A283" s="356" t="s">
        <v>250</v>
      </c>
      <c r="B283" s="356">
        <v>48</v>
      </c>
      <c r="C283" s="351">
        <v>1</v>
      </c>
      <c r="D283" s="359">
        <v>0.12182741116751269</v>
      </c>
      <c r="E283" s="356"/>
      <c r="F283" s="352">
        <v>6</v>
      </c>
      <c r="G283" s="357" t="s">
        <v>250</v>
      </c>
      <c r="H283" s="358">
        <v>48</v>
      </c>
      <c r="I283" s="352">
        <v>3</v>
      </c>
      <c r="J283" s="355">
        <v>6</v>
      </c>
      <c r="K283" s="355"/>
      <c r="L283" s="352">
        <v>3</v>
      </c>
    </row>
    <row r="284" spans="1:12" ht="15.6" customHeight="1" x14ac:dyDescent="0.25">
      <c r="A284" s="356"/>
      <c r="B284" s="351">
        <v>394</v>
      </c>
      <c r="C284" s="356"/>
      <c r="D284" s="356"/>
      <c r="E284" s="356"/>
      <c r="F284" s="352"/>
      <c r="G284" s="350"/>
      <c r="H284" s="360"/>
      <c r="I284" s="354"/>
      <c r="J284" s="355"/>
      <c r="K284" s="355"/>
      <c r="L284" s="355"/>
    </row>
    <row r="285" spans="1:12" ht="15.6" customHeight="1" x14ac:dyDescent="0.25">
      <c r="A285" s="350"/>
      <c r="B285" s="351"/>
      <c r="C285" s="351"/>
      <c r="D285" s="351"/>
      <c r="E285" s="351"/>
      <c r="F285" s="352"/>
      <c r="G285" s="350"/>
      <c r="H285" s="353"/>
      <c r="I285" s="354"/>
      <c r="J285" s="355"/>
      <c r="K285" s="355"/>
      <c r="L285" s="355"/>
    </row>
    <row r="286" spans="1:12" ht="15.6" customHeight="1" x14ac:dyDescent="0.25">
      <c r="A286" s="290"/>
      <c r="B286" s="333"/>
      <c r="C286" s="333"/>
      <c r="D286" s="333"/>
      <c r="E286" s="333"/>
      <c r="F286" s="335"/>
      <c r="G286" s="290"/>
      <c r="H286" s="336"/>
      <c r="I286" s="332"/>
    </row>
    <row r="287" spans="1:12" ht="15.6" customHeight="1" x14ac:dyDescent="0.25">
      <c r="A287" s="290"/>
      <c r="B287" s="333"/>
      <c r="C287" s="333"/>
      <c r="D287" s="333"/>
      <c r="E287" s="333"/>
      <c r="F287" s="335"/>
      <c r="G287" s="290"/>
      <c r="H287" s="336"/>
      <c r="I287" s="332"/>
    </row>
    <row r="288" spans="1:12" ht="15.6" customHeight="1" x14ac:dyDescent="0.25">
      <c r="A288" s="290"/>
      <c r="B288" s="333"/>
      <c r="C288" s="333"/>
      <c r="D288" s="333"/>
      <c r="E288" s="333"/>
      <c r="F288" s="335"/>
      <c r="G288" s="290"/>
      <c r="H288" s="336"/>
      <c r="I288" s="332"/>
    </row>
    <row r="289" spans="1:10" ht="15.6" customHeight="1" x14ac:dyDescent="0.25">
      <c r="A289" s="331" t="s">
        <v>251</v>
      </c>
      <c r="B289" s="290"/>
      <c r="C289" s="290"/>
      <c r="D289" s="333"/>
      <c r="E289" s="333"/>
      <c r="F289" s="335"/>
      <c r="G289" s="290"/>
      <c r="H289" s="336"/>
      <c r="I289" s="332"/>
    </row>
    <row r="290" spans="1:10" ht="15.6" customHeight="1" x14ac:dyDescent="0.25">
      <c r="A290" s="317" t="s">
        <v>82</v>
      </c>
      <c r="B290" s="318" t="s">
        <v>252</v>
      </c>
      <c r="C290" s="318" t="s">
        <v>253</v>
      </c>
      <c r="D290" s="318" t="s">
        <v>74</v>
      </c>
      <c r="E290" s="333"/>
      <c r="F290" s="333"/>
      <c r="G290" s="335"/>
      <c r="H290" s="290"/>
      <c r="I290" s="336"/>
      <c r="J290" s="332"/>
    </row>
    <row r="291" spans="1:10" ht="15.6" hidden="1" customHeight="1" x14ac:dyDescent="0.25">
      <c r="A291" s="317" t="s">
        <v>254</v>
      </c>
      <c r="B291" s="325">
        <v>552</v>
      </c>
      <c r="C291" s="325"/>
      <c r="D291" s="325">
        <v>589</v>
      </c>
      <c r="E291" s="333"/>
      <c r="F291" s="333"/>
      <c r="G291" s="335"/>
      <c r="H291" s="290"/>
      <c r="I291" s="336"/>
      <c r="J291" s="332"/>
    </row>
    <row r="292" spans="1:10" ht="15.6" customHeight="1" x14ac:dyDescent="0.25">
      <c r="A292" s="317" t="s">
        <v>255</v>
      </c>
      <c r="B292" s="325">
        <v>599</v>
      </c>
      <c r="C292" s="325"/>
      <c r="D292" s="325">
        <v>560</v>
      </c>
      <c r="E292" s="333"/>
      <c r="F292" s="333"/>
      <c r="G292" s="335"/>
      <c r="H292" s="290"/>
      <c r="I292" s="336"/>
      <c r="J292" s="332"/>
    </row>
    <row r="293" spans="1:10" ht="15.6" customHeight="1" x14ac:dyDescent="0.25">
      <c r="A293" s="317" t="s">
        <v>256</v>
      </c>
      <c r="B293" s="325">
        <v>531</v>
      </c>
      <c r="C293" s="325"/>
      <c r="D293" s="325">
        <v>532</v>
      </c>
      <c r="E293" s="333"/>
      <c r="F293" s="333"/>
      <c r="G293" s="335"/>
      <c r="H293" s="290"/>
      <c r="I293" s="336"/>
      <c r="J293" s="332"/>
    </row>
    <row r="294" spans="1:10" ht="15.6" customHeight="1" x14ac:dyDescent="0.25">
      <c r="A294" s="317" t="s">
        <v>257</v>
      </c>
      <c r="B294" s="325">
        <v>696</v>
      </c>
      <c r="C294" s="325"/>
      <c r="D294" s="325">
        <v>436</v>
      </c>
      <c r="E294" s="333"/>
      <c r="F294" s="333"/>
      <c r="G294" s="335"/>
      <c r="H294" s="290"/>
      <c r="I294" s="336"/>
      <c r="J294" s="332"/>
    </row>
    <row r="295" spans="1:10" ht="15.6" customHeight="1" x14ac:dyDescent="0.25">
      <c r="A295" s="317" t="s">
        <v>258</v>
      </c>
      <c r="B295" s="325">
        <v>602</v>
      </c>
      <c r="C295" s="325"/>
      <c r="D295" s="327">
        <v>631</v>
      </c>
      <c r="E295" s="333"/>
      <c r="F295" s="333"/>
      <c r="G295" s="335"/>
      <c r="H295" s="290"/>
      <c r="I295" s="336"/>
      <c r="J295" s="332"/>
    </row>
    <row r="296" spans="1:10" ht="15.6" hidden="1" customHeight="1" x14ac:dyDescent="0.25">
      <c r="A296" s="317" t="s">
        <v>259</v>
      </c>
      <c r="B296" s="325">
        <v>588</v>
      </c>
      <c r="C296" s="325"/>
      <c r="D296" s="327">
        <v>631</v>
      </c>
      <c r="E296" s="333"/>
      <c r="F296" s="333"/>
      <c r="G296" s="335"/>
      <c r="H296" s="290"/>
      <c r="I296" s="336"/>
      <c r="J296" s="332"/>
    </row>
    <row r="297" spans="1:10" ht="15.6" hidden="1" customHeight="1" x14ac:dyDescent="0.25">
      <c r="A297" s="317" t="s">
        <v>260</v>
      </c>
      <c r="B297" s="325">
        <v>541</v>
      </c>
      <c r="C297" s="325"/>
      <c r="D297" s="327">
        <v>631</v>
      </c>
      <c r="E297" s="333"/>
      <c r="F297" s="333"/>
      <c r="G297" s="335"/>
      <c r="H297" s="290"/>
      <c r="I297" s="336"/>
      <c r="J297" s="332"/>
    </row>
    <row r="298" spans="1:10" ht="15.6" hidden="1" customHeight="1" x14ac:dyDescent="0.25">
      <c r="A298" s="317" t="s">
        <v>261</v>
      </c>
      <c r="B298" s="325">
        <v>499</v>
      </c>
      <c r="C298" s="325"/>
      <c r="D298" s="327">
        <v>631</v>
      </c>
      <c r="E298" s="333"/>
      <c r="F298" s="333"/>
      <c r="G298" s="335"/>
      <c r="H298" s="290"/>
      <c r="I298" s="336"/>
      <c r="J298" s="332"/>
    </row>
    <row r="299" spans="1:10" ht="15.6" customHeight="1" x14ac:dyDescent="0.25">
      <c r="A299" s="317" t="s">
        <v>262</v>
      </c>
      <c r="B299" s="325">
        <v>507</v>
      </c>
      <c r="C299" s="325"/>
      <c r="D299" s="327">
        <v>631</v>
      </c>
      <c r="E299" s="333"/>
      <c r="F299" s="333"/>
      <c r="G299" s="335"/>
      <c r="H299" s="290"/>
      <c r="I299" s="336"/>
      <c r="J299" s="332"/>
    </row>
    <row r="300" spans="1:10" ht="15.6" customHeight="1" x14ac:dyDescent="0.25">
      <c r="A300" s="317" t="s">
        <v>263</v>
      </c>
      <c r="B300" s="325">
        <v>492</v>
      </c>
      <c r="C300" s="325"/>
      <c r="D300" s="361">
        <v>553</v>
      </c>
      <c r="E300" s="333"/>
      <c r="F300" s="333"/>
      <c r="G300" s="335"/>
      <c r="H300" s="290"/>
      <c r="I300" s="336"/>
      <c r="J300" s="332"/>
    </row>
    <row r="301" spans="1:10" ht="15.6" customHeight="1" x14ac:dyDescent="0.25">
      <c r="A301" s="317" t="s">
        <v>264</v>
      </c>
      <c r="B301" s="340">
        <v>480</v>
      </c>
      <c r="C301" s="340">
        <v>5</v>
      </c>
      <c r="D301" s="327">
        <v>496</v>
      </c>
      <c r="E301" s="333"/>
      <c r="F301" s="333"/>
      <c r="G301" s="335"/>
      <c r="H301" s="290"/>
      <c r="I301" s="336"/>
      <c r="J301" s="332"/>
    </row>
    <row r="302" spans="1:10" ht="15.6" customHeight="1" x14ac:dyDescent="0.25">
      <c r="A302" s="317" t="s">
        <v>265</v>
      </c>
      <c r="B302" s="340">
        <v>412</v>
      </c>
      <c r="C302" s="340">
        <v>4</v>
      </c>
      <c r="D302" s="327">
        <f>D301</f>
        <v>496</v>
      </c>
      <c r="E302" s="333"/>
      <c r="F302" s="333"/>
      <c r="G302" s="335"/>
      <c r="H302" s="290"/>
      <c r="I302" s="336"/>
      <c r="J302" s="332"/>
    </row>
    <row r="303" spans="1:10" ht="16.5" customHeight="1" x14ac:dyDescent="0.25">
      <c r="A303" s="317" t="s">
        <v>266</v>
      </c>
      <c r="B303" s="340">
        <v>394</v>
      </c>
      <c r="C303" s="340">
        <v>39</v>
      </c>
      <c r="D303" s="327">
        <f>D302</f>
        <v>496</v>
      </c>
      <c r="E303" s="333"/>
      <c r="F303" s="333"/>
      <c r="G303" s="335"/>
      <c r="H303" s="290"/>
      <c r="I303" s="336"/>
      <c r="J303" s="332"/>
    </row>
    <row r="304" spans="1:10" ht="15.6" hidden="1" customHeight="1" x14ac:dyDescent="0.25">
      <c r="A304" s="317" t="s">
        <v>267</v>
      </c>
      <c r="B304" s="325"/>
      <c r="C304" s="325"/>
      <c r="D304" s="327">
        <v>496</v>
      </c>
      <c r="E304" s="333"/>
      <c r="F304" s="333"/>
      <c r="G304" s="335"/>
      <c r="H304" s="290"/>
      <c r="I304" s="336"/>
      <c r="J304" s="332"/>
    </row>
    <row r="305" spans="1:10" ht="15.6" hidden="1" customHeight="1" x14ac:dyDescent="0.25">
      <c r="A305" s="317" t="s">
        <v>265</v>
      </c>
      <c r="B305" s="325"/>
      <c r="C305" s="325"/>
      <c r="D305" s="327">
        <f>D304</f>
        <v>496</v>
      </c>
      <c r="E305" s="333"/>
      <c r="F305" s="333"/>
      <c r="G305" s="335"/>
      <c r="H305" s="290"/>
      <c r="I305" s="336"/>
      <c r="J305" s="332"/>
    </row>
    <row r="306" spans="1:10" ht="15.6" hidden="1" customHeight="1" x14ac:dyDescent="0.25">
      <c r="A306" s="317" t="s">
        <v>266</v>
      </c>
      <c r="B306" s="325"/>
      <c r="C306" s="325"/>
      <c r="D306" s="327">
        <f t="shared" ref="D306:D307" si="11">D305</f>
        <v>496</v>
      </c>
      <c r="E306" s="333"/>
      <c r="F306" s="333"/>
      <c r="G306" s="335"/>
      <c r="H306" s="290"/>
      <c r="I306" s="336"/>
      <c r="J306" s="332"/>
    </row>
    <row r="307" spans="1:10" ht="15.6" hidden="1" customHeight="1" x14ac:dyDescent="0.25">
      <c r="A307" s="317" t="s">
        <v>267</v>
      </c>
      <c r="B307" s="340"/>
      <c r="C307" s="340"/>
      <c r="D307" s="327">
        <f t="shared" si="11"/>
        <v>496</v>
      </c>
      <c r="E307" s="333"/>
      <c r="F307" s="333"/>
      <c r="G307" s="335"/>
      <c r="H307" s="290"/>
      <c r="I307" s="336"/>
      <c r="J307" s="332"/>
    </row>
    <row r="308" spans="1:10" ht="15.6" hidden="1" customHeight="1" x14ac:dyDescent="0.25">
      <c r="A308" s="290"/>
      <c r="B308" s="333"/>
      <c r="C308" s="333"/>
      <c r="D308" s="333"/>
      <c r="E308" s="333"/>
      <c r="F308" s="335"/>
      <c r="G308" s="290"/>
      <c r="H308" s="336"/>
      <c r="I308" s="332"/>
    </row>
    <row r="309" spans="1:10" s="232" customFormat="1" ht="15.75" x14ac:dyDescent="0.25">
      <c r="A309" s="362"/>
      <c r="B309" s="363"/>
      <c r="C309" s="362"/>
      <c r="D309" s="269"/>
      <c r="E309" s="269"/>
      <c r="F309" s="267"/>
      <c r="G309" s="364"/>
      <c r="H309" s="364"/>
      <c r="I309" s="364"/>
    </row>
    <row r="310" spans="1:10" ht="15.75" x14ac:dyDescent="0.25">
      <c r="A310" s="837" t="s">
        <v>268</v>
      </c>
      <c r="B310" s="838"/>
      <c r="C310" s="838"/>
      <c r="D310" s="838"/>
      <c r="E310" s="838"/>
      <c r="F310" s="829"/>
      <c r="G310" s="829"/>
      <c r="H310" s="290"/>
      <c r="I310" s="290"/>
    </row>
    <row r="311" spans="1:10" ht="15.75" hidden="1" x14ac:dyDescent="0.25">
      <c r="A311" s="839" t="s">
        <v>269</v>
      </c>
      <c r="B311" s="840"/>
      <c r="C311" s="840"/>
      <c r="D311" s="840"/>
      <c r="E311" s="840"/>
      <c r="F311" s="290"/>
      <c r="G311" s="290"/>
      <c r="H311" s="290"/>
      <c r="I311" s="290"/>
    </row>
    <row r="312" spans="1:10" hidden="1" x14ac:dyDescent="0.2">
      <c r="A312" s="840"/>
      <c r="B312" s="840"/>
      <c r="C312" s="840"/>
      <c r="D312" s="840"/>
      <c r="E312" s="840"/>
    </row>
    <row r="313" spans="1:10" hidden="1" x14ac:dyDescent="0.2">
      <c r="A313" s="840"/>
      <c r="B313" s="840"/>
      <c r="C313" s="840"/>
      <c r="D313" s="840"/>
      <c r="E313" s="840"/>
    </row>
    <row r="314" spans="1:10" ht="12.6" hidden="1" customHeight="1" x14ac:dyDescent="0.2">
      <c r="A314" s="840"/>
      <c r="B314" s="840"/>
      <c r="C314" s="840"/>
      <c r="D314" s="840"/>
      <c r="E314" s="840"/>
    </row>
    <row r="315" spans="1:10" hidden="1" x14ac:dyDescent="0.2">
      <c r="A315" s="840"/>
      <c r="B315" s="840"/>
      <c r="C315" s="840"/>
      <c r="D315" s="840"/>
      <c r="E315" s="840"/>
    </row>
    <row r="316" spans="1:10" ht="9.6" hidden="1" customHeight="1" x14ac:dyDescent="0.2">
      <c r="A316" s="840"/>
      <c r="B316" s="840"/>
      <c r="C316" s="840"/>
      <c r="D316" s="840"/>
      <c r="E316" s="840"/>
    </row>
    <row r="317" spans="1:10" hidden="1" x14ac:dyDescent="0.2">
      <c r="A317" s="840"/>
      <c r="B317" s="840"/>
      <c r="C317" s="840"/>
      <c r="D317" s="840"/>
      <c r="E317" s="840"/>
    </row>
    <row r="318" spans="1:10" hidden="1" x14ac:dyDescent="0.2">
      <c r="A318" s="840"/>
      <c r="B318" s="840"/>
      <c r="C318" s="840"/>
      <c r="D318" s="840"/>
      <c r="E318" s="840"/>
    </row>
    <row r="319" spans="1:10" hidden="1" x14ac:dyDescent="0.2">
      <c r="A319" s="840"/>
      <c r="B319" s="840"/>
      <c r="C319" s="840"/>
      <c r="D319" s="840"/>
      <c r="E319" s="840"/>
    </row>
    <row r="320" spans="1:10" ht="31.5" customHeight="1" x14ac:dyDescent="0.2">
      <c r="A320" s="840"/>
      <c r="B320" s="840"/>
      <c r="C320" s="840"/>
      <c r="D320" s="840"/>
      <c r="E320" s="840"/>
    </row>
    <row r="322" spans="1:9" ht="15.75" x14ac:dyDescent="0.25">
      <c r="A322" s="841" t="s">
        <v>270</v>
      </c>
      <c r="B322" s="829"/>
      <c r="C322" s="829"/>
      <c r="D322" s="829"/>
      <c r="E322" s="829"/>
      <c r="F322" s="829"/>
      <c r="G322" s="829"/>
      <c r="H322" s="829"/>
    </row>
    <row r="323" spans="1:9" x14ac:dyDescent="0.2">
      <c r="A323" s="365" t="s">
        <v>110</v>
      </c>
      <c r="F323" s="365" t="s">
        <v>111</v>
      </c>
      <c r="I323" s="365" t="s">
        <v>112</v>
      </c>
    </row>
    <row r="324" spans="1:9" ht="43.5" customHeight="1" x14ac:dyDescent="0.2">
      <c r="A324" s="831" t="s">
        <v>271</v>
      </c>
      <c r="B324" s="831"/>
      <c r="C324" s="831"/>
      <c r="D324" s="831"/>
      <c r="E324" s="212"/>
      <c r="F324" s="831" t="s">
        <v>272</v>
      </c>
      <c r="G324" s="831"/>
      <c r="I324" s="366">
        <v>43100</v>
      </c>
    </row>
    <row r="326" spans="1:9" ht="51" customHeight="1" x14ac:dyDescent="0.2">
      <c r="A326" s="831" t="s">
        <v>273</v>
      </c>
      <c r="B326" s="831"/>
      <c r="C326" s="831"/>
      <c r="D326" s="831"/>
      <c r="E326" s="212"/>
      <c r="F326" s="831" t="s">
        <v>129</v>
      </c>
      <c r="G326" s="831"/>
      <c r="I326" s="367">
        <v>43100</v>
      </c>
    </row>
    <row r="328" spans="1:9" ht="41.25" customHeight="1" x14ac:dyDescent="0.2">
      <c r="A328" s="830" t="s">
        <v>274</v>
      </c>
      <c r="B328" s="830"/>
      <c r="C328" s="830"/>
      <c r="D328" s="830"/>
      <c r="E328" s="212"/>
      <c r="F328" s="831" t="s">
        <v>275</v>
      </c>
      <c r="G328" s="831"/>
      <c r="I328" s="367">
        <v>43100</v>
      </c>
    </row>
    <row r="330" spans="1:9" ht="41.25" customHeight="1" x14ac:dyDescent="0.2">
      <c r="A330" s="830"/>
      <c r="B330" s="830"/>
      <c r="C330" s="830"/>
      <c r="D330" s="830"/>
      <c r="E330" s="212"/>
      <c r="F330" s="832"/>
      <c r="G330" s="833"/>
      <c r="I330" s="367"/>
    </row>
    <row r="332" spans="1:9" x14ac:dyDescent="0.2">
      <c r="A332" s="828" t="s">
        <v>113</v>
      </c>
      <c r="B332" s="829"/>
      <c r="C332" s="829"/>
      <c r="D332" s="829"/>
      <c r="E332" s="829"/>
      <c r="F332" s="829"/>
    </row>
    <row r="333" spans="1:9" ht="15" customHeight="1" x14ac:dyDescent="0.2">
      <c r="A333" s="829"/>
      <c r="B333" s="829"/>
      <c r="C333" s="829"/>
      <c r="D333" s="829"/>
      <c r="E333" s="829"/>
      <c r="F333" s="829"/>
    </row>
    <row r="334" spans="1:9" ht="15" customHeight="1" x14ac:dyDescent="0.2">
      <c r="A334" s="829"/>
      <c r="B334" s="829"/>
      <c r="C334" s="829"/>
      <c r="D334" s="829"/>
      <c r="E334" s="829"/>
      <c r="F334" s="829"/>
    </row>
    <row r="335" spans="1:9" ht="15" customHeight="1" x14ac:dyDescent="0.2">
      <c r="A335" s="830" t="s">
        <v>276</v>
      </c>
      <c r="B335" s="830"/>
      <c r="C335" s="830"/>
      <c r="D335" s="830"/>
      <c r="E335" s="830"/>
      <c r="F335" s="830"/>
    </row>
    <row r="336" spans="1:9" ht="15" customHeight="1" x14ac:dyDescent="0.2">
      <c r="A336" s="830"/>
      <c r="B336" s="830"/>
      <c r="C336" s="830"/>
      <c r="D336" s="830"/>
      <c r="E336" s="830"/>
      <c r="F336" s="830"/>
    </row>
    <row r="337" spans="1:6" ht="15" customHeight="1" x14ac:dyDescent="0.2">
      <c r="A337" s="830"/>
      <c r="B337" s="830"/>
      <c r="C337" s="830"/>
      <c r="D337" s="830"/>
      <c r="E337" s="830"/>
      <c r="F337" s="830"/>
    </row>
    <row r="338" spans="1:6" ht="15" customHeight="1" x14ac:dyDescent="0.2">
      <c r="A338" s="830"/>
      <c r="B338" s="830"/>
      <c r="C338" s="830"/>
      <c r="D338" s="830"/>
      <c r="E338" s="830"/>
      <c r="F338" s="830"/>
    </row>
    <row r="339" spans="1:6" ht="15" customHeight="1" x14ac:dyDescent="0.2">
      <c r="A339" s="830"/>
      <c r="B339" s="830"/>
      <c r="C339" s="830"/>
      <c r="D339" s="830"/>
      <c r="E339" s="830"/>
      <c r="F339" s="830"/>
    </row>
    <row r="340" spans="1:6" ht="15" customHeight="1" x14ac:dyDescent="0.2">
      <c r="A340" s="830"/>
      <c r="B340" s="830"/>
      <c r="C340" s="830"/>
      <c r="D340" s="830"/>
      <c r="E340" s="830"/>
      <c r="F340" s="830"/>
    </row>
    <row r="341" spans="1:6" ht="15" customHeight="1" x14ac:dyDescent="0.2">
      <c r="A341" s="830"/>
      <c r="B341" s="830"/>
      <c r="C341" s="830"/>
      <c r="D341" s="830"/>
      <c r="E341" s="830"/>
      <c r="F341" s="830"/>
    </row>
    <row r="342" spans="1:6" ht="15" customHeight="1" x14ac:dyDescent="0.2">
      <c r="A342" s="830"/>
      <c r="B342" s="830"/>
      <c r="C342" s="830"/>
      <c r="D342" s="830"/>
      <c r="E342" s="830"/>
      <c r="F342" s="830"/>
    </row>
    <row r="343" spans="1:6" ht="15" customHeight="1" x14ac:dyDescent="0.2">
      <c r="A343" s="830"/>
      <c r="B343" s="830"/>
      <c r="C343" s="830"/>
      <c r="D343" s="830"/>
      <c r="E343" s="830"/>
      <c r="F343" s="830"/>
    </row>
    <row r="344" spans="1:6" ht="15" customHeight="1" x14ac:dyDescent="0.2">
      <c r="A344" s="830"/>
      <c r="B344" s="830"/>
      <c r="C344" s="830"/>
      <c r="D344" s="830"/>
      <c r="E344" s="830"/>
      <c r="F344" s="830"/>
    </row>
    <row r="345" spans="1:6" ht="15" customHeight="1" x14ac:dyDescent="0.2">
      <c r="A345" s="830"/>
      <c r="B345" s="830"/>
      <c r="C345" s="830"/>
      <c r="D345" s="830"/>
      <c r="E345" s="830"/>
      <c r="F345" s="830"/>
    </row>
    <row r="346" spans="1:6" x14ac:dyDescent="0.2">
      <c r="A346" s="830"/>
      <c r="B346" s="830"/>
      <c r="C346" s="830"/>
      <c r="D346" s="830"/>
      <c r="E346" s="830"/>
      <c r="F346" s="830"/>
    </row>
    <row r="347" spans="1:6" x14ac:dyDescent="0.2">
      <c r="A347" s="830"/>
      <c r="B347" s="830"/>
      <c r="C347" s="830"/>
      <c r="D347" s="830"/>
      <c r="E347" s="830"/>
      <c r="F347" s="830"/>
    </row>
  </sheetData>
  <mergeCells count="27">
    <mergeCell ref="G43:H43"/>
    <mergeCell ref="A1:J1"/>
    <mergeCell ref="A2:G2"/>
    <mergeCell ref="A3:E4"/>
    <mergeCell ref="D7:I19"/>
    <mergeCell ref="G42:H42"/>
    <mergeCell ref="A324:D324"/>
    <mergeCell ref="F324:G324"/>
    <mergeCell ref="G88:H88"/>
    <mergeCell ref="G89:H89"/>
    <mergeCell ref="G136:H136"/>
    <mergeCell ref="G137:H137"/>
    <mergeCell ref="G179:H179"/>
    <mergeCell ref="G180:H180"/>
    <mergeCell ref="G250:H250"/>
    <mergeCell ref="G251:H251"/>
    <mergeCell ref="A310:G310"/>
    <mergeCell ref="A311:E320"/>
    <mergeCell ref="A322:H322"/>
    <mergeCell ref="A332:F334"/>
    <mergeCell ref="A335:F347"/>
    <mergeCell ref="A326:D326"/>
    <mergeCell ref="F326:G326"/>
    <mergeCell ref="A328:D328"/>
    <mergeCell ref="F328:G328"/>
    <mergeCell ref="A330:D330"/>
    <mergeCell ref="F330:G330"/>
  </mergeCells>
  <pageMargins left="0.7" right="0.7" top="0.75" bottom="0.75" header="0.3" footer="0.3"/>
  <pageSetup paperSize="9" orientation="portrait" verticalDpi="1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47"/>
  <sheetViews>
    <sheetView showGridLines="0" zoomScaleNormal="100" workbookViewId="0">
      <selection activeCell="A45" sqref="A45:F45"/>
    </sheetView>
  </sheetViews>
  <sheetFormatPr defaultRowHeight="15" x14ac:dyDescent="0.2"/>
  <cols>
    <col min="4" max="4" width="7.6640625" customWidth="1"/>
    <col min="5" max="5" width="11.77734375" customWidth="1"/>
    <col min="9" max="9" width="10.21875" customWidth="1"/>
  </cols>
  <sheetData>
    <row r="1" spans="1:9" x14ac:dyDescent="0.2">
      <c r="A1" s="142"/>
      <c r="B1" s="142"/>
      <c r="C1" s="142"/>
      <c r="D1" s="142"/>
      <c r="E1" s="142"/>
      <c r="F1" s="142"/>
      <c r="G1" s="142"/>
      <c r="H1" s="142"/>
      <c r="I1" s="142"/>
    </row>
    <row r="2" spans="1:9" x14ac:dyDescent="0.2">
      <c r="A2" s="142"/>
      <c r="B2" s="142"/>
      <c r="C2" s="142"/>
      <c r="D2" s="142"/>
      <c r="E2" s="142"/>
      <c r="F2" s="142"/>
      <c r="G2" s="142"/>
      <c r="H2" s="142"/>
      <c r="I2" s="142"/>
    </row>
    <row r="3" spans="1:9" x14ac:dyDescent="0.2">
      <c r="A3" s="142"/>
      <c r="B3" s="142"/>
      <c r="C3" s="142"/>
      <c r="D3" s="142"/>
      <c r="E3" s="142"/>
      <c r="F3" s="142"/>
      <c r="G3" s="142"/>
      <c r="H3" s="142"/>
      <c r="I3" s="142"/>
    </row>
    <row r="4" spans="1:9" x14ac:dyDescent="0.2">
      <c r="A4" s="142"/>
      <c r="B4" s="142"/>
      <c r="C4" s="142"/>
      <c r="D4" s="142"/>
      <c r="E4" s="142"/>
      <c r="F4" s="142"/>
      <c r="G4" s="142"/>
      <c r="H4" s="142"/>
      <c r="I4" s="142"/>
    </row>
    <row r="5" spans="1:9" x14ac:dyDescent="0.2">
      <c r="A5" s="142"/>
      <c r="B5" s="142"/>
      <c r="C5" s="142"/>
      <c r="D5" s="142"/>
      <c r="E5" s="142"/>
      <c r="F5" s="142"/>
      <c r="G5" s="142"/>
      <c r="H5" s="142"/>
      <c r="I5" s="142"/>
    </row>
    <row r="6" spans="1:9" x14ac:dyDescent="0.2">
      <c r="A6" s="142"/>
      <c r="B6" s="142"/>
      <c r="C6" s="142"/>
      <c r="D6" s="142"/>
      <c r="E6" s="142"/>
      <c r="F6" s="142"/>
      <c r="G6" s="142"/>
      <c r="H6" s="142"/>
      <c r="I6" s="142"/>
    </row>
    <row r="7" spans="1:9" ht="19.5" thickBot="1" x14ac:dyDescent="0.25">
      <c r="A7" s="824" t="s">
        <v>49</v>
      </c>
      <c r="B7" s="824"/>
      <c r="C7" s="824" t="s">
        <v>277</v>
      </c>
      <c r="D7" s="824"/>
      <c r="E7" s="368" t="s">
        <v>51</v>
      </c>
      <c r="F7" s="368"/>
      <c r="G7" s="368" t="s">
        <v>122</v>
      </c>
      <c r="H7" s="824" t="s">
        <v>33</v>
      </c>
      <c r="I7" s="824"/>
    </row>
    <row r="8" spans="1:9" ht="19.5" thickBot="1" x14ac:dyDescent="0.25">
      <c r="A8" s="825" t="str">
        <f>'1 EA 3 Data Sheet'!B16</f>
        <v>Reports in Q4</v>
      </c>
      <c r="B8" s="825"/>
      <c r="C8" s="825" t="str">
        <f>'1 EA 3 Data Sheet'!B14</f>
        <v>Reports in Q4</v>
      </c>
      <c r="D8" s="825"/>
      <c r="E8" s="231" t="str">
        <f>'1 EA 3 Data Sheet'!B15</f>
        <v>Reports in Q4</v>
      </c>
      <c r="F8" s="231"/>
      <c r="G8" s="369" t="str">
        <f>'1 EA 3 Data Sheet'!B18</f>
        <v>Green</v>
      </c>
      <c r="H8" s="825" t="s">
        <v>278</v>
      </c>
      <c r="I8" s="825"/>
    </row>
    <row r="9" spans="1:9" ht="15.75" x14ac:dyDescent="0.25">
      <c r="A9" s="149"/>
      <c r="B9" s="150"/>
      <c r="C9" s="150"/>
      <c r="D9" s="150"/>
      <c r="E9" s="150"/>
      <c r="F9" s="150"/>
      <c r="G9" s="150"/>
      <c r="H9" s="150"/>
      <c r="I9" s="149"/>
    </row>
    <row r="10" spans="1:9" ht="15.75" x14ac:dyDescent="0.2">
      <c r="A10" s="795" t="s">
        <v>279</v>
      </c>
      <c r="B10" s="796"/>
      <c r="C10" s="796"/>
      <c r="D10" s="796"/>
      <c r="E10" s="796"/>
      <c r="F10" s="796"/>
      <c r="G10" s="855" t="str">
        <f>'1 EA 3 Data Sheet'!A40</f>
        <v xml:space="preserve">This measure will report at the end of March 2018.  During the year we monitor the overall programme for slippage or other issues that may have an adverse impact on delivery, such as unavoidable delays to projects or slower than expected establishment of planned habitat type. The area teams are predicting to meet the 530 hectare target. This has been confirmed through discussions with Area contacts who are indicating a Green forecast for year end. The target is higher in some years as it follows the Flood and Coastal Risk Management (FCRM) delivery programme.
</v>
      </c>
      <c r="H10" s="856"/>
      <c r="I10" s="856"/>
    </row>
    <row r="11" spans="1:9" ht="15.75" x14ac:dyDescent="0.2">
      <c r="D11" s="151"/>
      <c r="E11" s="152"/>
      <c r="F11" s="152"/>
      <c r="G11" s="857"/>
      <c r="H11" s="856"/>
      <c r="I11" s="856"/>
    </row>
    <row r="12" spans="1:9" x14ac:dyDescent="0.2">
      <c r="D12" s="151"/>
      <c r="E12" s="153"/>
      <c r="F12" s="153"/>
      <c r="G12" s="857"/>
      <c r="H12" s="856"/>
      <c r="I12" s="856"/>
    </row>
    <row r="13" spans="1:9" x14ac:dyDescent="0.2">
      <c r="D13" s="151"/>
      <c r="E13" s="153"/>
      <c r="F13" s="153"/>
      <c r="G13" s="857"/>
      <c r="H13" s="856"/>
      <c r="I13" s="856"/>
    </row>
    <row r="14" spans="1:9" x14ac:dyDescent="0.2">
      <c r="D14" s="151"/>
      <c r="E14" s="153"/>
      <c r="F14" s="153"/>
      <c r="G14" s="857"/>
      <c r="H14" s="856"/>
      <c r="I14" s="856"/>
    </row>
    <row r="15" spans="1:9" x14ac:dyDescent="0.2">
      <c r="D15" s="151"/>
      <c r="E15" s="153"/>
      <c r="F15" s="153"/>
      <c r="G15" s="857"/>
      <c r="H15" s="856"/>
      <c r="I15" s="856"/>
    </row>
    <row r="16" spans="1:9" x14ac:dyDescent="0.2">
      <c r="D16" s="151"/>
      <c r="E16" s="153"/>
      <c r="F16" s="153"/>
      <c r="G16" s="857"/>
      <c r="H16" s="856"/>
      <c r="I16" s="856"/>
    </row>
    <row r="17" spans="1:9" x14ac:dyDescent="0.2">
      <c r="D17" s="151"/>
      <c r="E17" s="153"/>
      <c r="F17" s="153"/>
      <c r="G17" s="857"/>
      <c r="H17" s="856"/>
      <c r="I17" s="856"/>
    </row>
    <row r="18" spans="1:9" x14ac:dyDescent="0.2">
      <c r="D18" s="151"/>
      <c r="E18" s="153"/>
      <c r="F18" s="153"/>
      <c r="G18" s="857"/>
      <c r="H18" s="856"/>
      <c r="I18" s="856"/>
    </row>
    <row r="19" spans="1:9" x14ac:dyDescent="0.2">
      <c r="D19" s="151"/>
      <c r="E19" s="153"/>
      <c r="F19" s="153"/>
      <c r="G19" s="857"/>
      <c r="H19" s="856"/>
      <c r="I19" s="856"/>
    </row>
    <row r="20" spans="1:9" x14ac:dyDescent="0.2">
      <c r="D20" s="151"/>
      <c r="E20" s="153"/>
      <c r="F20" s="153"/>
      <c r="G20" s="857"/>
      <c r="H20" s="856"/>
      <c r="I20" s="856"/>
    </row>
    <row r="21" spans="1:9" x14ac:dyDescent="0.2">
      <c r="D21" s="151"/>
      <c r="E21" s="153"/>
      <c r="F21" s="153"/>
      <c r="G21" s="857"/>
      <c r="H21" s="856"/>
      <c r="I21" s="856"/>
    </row>
    <row r="22" spans="1:9" x14ac:dyDescent="0.2">
      <c r="D22" s="151"/>
      <c r="E22" s="153"/>
      <c r="F22" s="153"/>
      <c r="G22" s="857"/>
      <c r="H22" s="856"/>
      <c r="I22" s="856"/>
    </row>
    <row r="23" spans="1:9" x14ac:dyDescent="0.2">
      <c r="D23" s="151"/>
      <c r="E23" s="153"/>
      <c r="F23" s="153"/>
      <c r="G23" s="857"/>
      <c r="H23" s="856"/>
      <c r="I23" s="856"/>
    </row>
    <row r="24" spans="1:9" x14ac:dyDescent="0.2">
      <c r="D24" s="151"/>
      <c r="E24" s="153"/>
      <c r="F24" s="153"/>
      <c r="G24" s="857"/>
      <c r="H24" s="856"/>
      <c r="I24" s="856"/>
    </row>
    <row r="25" spans="1:9" x14ac:dyDescent="0.2">
      <c r="D25" s="151"/>
      <c r="E25" s="153"/>
      <c r="F25" s="153"/>
      <c r="G25" s="857"/>
      <c r="H25" s="856"/>
      <c r="I25" s="856"/>
    </row>
    <row r="26" spans="1:9" ht="15.75" x14ac:dyDescent="0.2">
      <c r="A26" s="858"/>
      <c r="B26" s="859"/>
      <c r="C26" s="859"/>
      <c r="D26" s="859"/>
      <c r="E26" s="859"/>
      <c r="F26" s="859"/>
      <c r="G26" s="857"/>
      <c r="H26" s="856"/>
      <c r="I26" s="856"/>
    </row>
    <row r="27" spans="1:9" ht="15.75" x14ac:dyDescent="0.2">
      <c r="A27" s="278"/>
      <c r="B27" s="370"/>
      <c r="C27" s="370"/>
      <c r="D27" s="370"/>
      <c r="E27" s="370"/>
      <c r="F27" s="370"/>
      <c r="G27" s="857"/>
      <c r="H27" s="856"/>
      <c r="I27" s="856"/>
    </row>
    <row r="28" spans="1:9" ht="15.75" x14ac:dyDescent="0.2">
      <c r="A28" s="278"/>
      <c r="B28" s="370"/>
      <c r="C28" s="370"/>
      <c r="D28" s="370"/>
      <c r="E28" s="370"/>
      <c r="F28" s="370"/>
      <c r="G28" s="857"/>
      <c r="H28" s="856"/>
      <c r="I28" s="856"/>
    </row>
    <row r="29" spans="1:9" ht="15.75" x14ac:dyDescent="0.2">
      <c r="A29" s="278"/>
      <c r="B29" s="370"/>
      <c r="C29" s="370"/>
      <c r="D29" s="370"/>
      <c r="E29" s="370"/>
      <c r="F29" s="370"/>
      <c r="G29" s="857"/>
      <c r="H29" s="856"/>
      <c r="I29" s="856"/>
    </row>
    <row r="30" spans="1:9" ht="15.75" x14ac:dyDescent="0.2">
      <c r="A30" s="278"/>
      <c r="B30" s="370"/>
      <c r="C30" s="370"/>
      <c r="D30" s="370"/>
      <c r="E30" s="370"/>
      <c r="F30" s="370"/>
      <c r="G30" s="857"/>
      <c r="H30" s="856"/>
      <c r="I30" s="856"/>
    </row>
    <row r="31" spans="1:9" ht="15.75" x14ac:dyDescent="0.2">
      <c r="A31" s="278"/>
      <c r="B31" s="370"/>
      <c r="C31" s="370"/>
      <c r="D31" s="370"/>
      <c r="E31" s="370"/>
      <c r="F31" s="370"/>
      <c r="G31" s="857"/>
      <c r="H31" s="856"/>
      <c r="I31" s="856"/>
    </row>
    <row r="32" spans="1:9" ht="15.75" x14ac:dyDescent="0.2">
      <c r="A32" s="278"/>
      <c r="B32" s="370"/>
      <c r="C32" s="370"/>
      <c r="D32" s="370"/>
      <c r="E32" s="370"/>
      <c r="F32" s="370"/>
      <c r="G32" s="857"/>
      <c r="H32" s="856"/>
      <c r="I32" s="856"/>
    </row>
    <row r="33" spans="1:9" ht="15.75" x14ac:dyDescent="0.2">
      <c r="A33" s="278"/>
      <c r="B33" s="370"/>
      <c r="C33" s="370"/>
      <c r="D33" s="370"/>
      <c r="E33" s="370"/>
      <c r="F33" s="370"/>
      <c r="G33" s="857"/>
      <c r="H33" s="856"/>
      <c r="I33" s="856"/>
    </row>
    <row r="34" spans="1:9" ht="15.75" x14ac:dyDescent="0.2">
      <c r="A34" s="278"/>
      <c r="B34" s="370"/>
      <c r="C34" s="370"/>
      <c r="D34" s="370"/>
      <c r="E34" s="370"/>
      <c r="F34" s="370"/>
      <c r="G34" s="857"/>
      <c r="H34" s="856"/>
      <c r="I34" s="856"/>
    </row>
    <row r="35" spans="1:9" ht="15.75" x14ac:dyDescent="0.2">
      <c r="A35" s="278"/>
      <c r="B35" s="370"/>
      <c r="C35" s="370"/>
      <c r="D35" s="370"/>
      <c r="E35" s="370"/>
      <c r="F35" s="370"/>
      <c r="G35" s="857"/>
      <c r="H35" s="856"/>
      <c r="I35" s="856"/>
    </row>
    <row r="36" spans="1:9" ht="15.75" x14ac:dyDescent="0.2">
      <c r="A36" s="278"/>
      <c r="B36" s="370"/>
      <c r="C36" s="370"/>
      <c r="D36" s="370"/>
      <c r="E36" s="370"/>
      <c r="F36" s="370"/>
      <c r="G36" s="857"/>
      <c r="H36" s="856"/>
      <c r="I36" s="856"/>
    </row>
    <row r="37" spans="1:9" ht="15.75" x14ac:dyDescent="0.2">
      <c r="A37" s="278"/>
      <c r="B37" s="370"/>
      <c r="C37" s="370"/>
      <c r="D37" s="370"/>
      <c r="E37" s="370"/>
      <c r="F37" s="370"/>
      <c r="G37" s="857"/>
      <c r="H37" s="856"/>
      <c r="I37" s="856"/>
    </row>
    <row r="38" spans="1:9" ht="15.75" x14ac:dyDescent="0.2">
      <c r="A38" s="278"/>
      <c r="B38" s="370"/>
      <c r="C38" s="370"/>
      <c r="D38" s="370"/>
      <c r="E38" s="370"/>
      <c r="F38" s="370"/>
      <c r="G38" s="857"/>
      <c r="H38" s="856"/>
      <c r="I38" s="856"/>
    </row>
    <row r="39" spans="1:9" x14ac:dyDescent="0.2">
      <c r="D39" s="151"/>
      <c r="G39" s="857"/>
      <c r="H39" s="856"/>
      <c r="I39" s="856"/>
    </row>
    <row r="40" spans="1:9" ht="15.75" x14ac:dyDescent="0.2">
      <c r="D40" s="151"/>
      <c r="E40" s="152"/>
      <c r="F40" s="152"/>
      <c r="G40" s="857"/>
      <c r="H40" s="856"/>
      <c r="I40" s="856"/>
    </row>
    <row r="41" spans="1:9" x14ac:dyDescent="0.2">
      <c r="D41" s="151"/>
      <c r="E41" s="153"/>
      <c r="F41" s="153"/>
      <c r="G41" s="857"/>
      <c r="H41" s="856"/>
      <c r="I41" s="856"/>
    </row>
    <row r="42" spans="1:9" ht="15.75" x14ac:dyDescent="0.2">
      <c r="A42" s="860" t="s">
        <v>56</v>
      </c>
      <c r="B42" s="860"/>
      <c r="C42" s="860"/>
      <c r="D42" s="860"/>
      <c r="E42" s="860"/>
      <c r="F42" s="860"/>
      <c r="G42" s="860"/>
      <c r="H42" s="860"/>
      <c r="I42" s="860"/>
    </row>
    <row r="43" spans="1:9" ht="15.75" x14ac:dyDescent="0.25">
      <c r="A43" s="371" t="s">
        <v>57</v>
      </c>
      <c r="B43" s="371"/>
      <c r="C43" s="371"/>
      <c r="D43" s="371"/>
      <c r="E43" s="371"/>
      <c r="F43" s="371"/>
      <c r="G43" s="372" t="s">
        <v>58</v>
      </c>
      <c r="H43" s="373"/>
      <c r="I43" s="371" t="s">
        <v>59</v>
      </c>
    </row>
    <row r="44" spans="1:9" x14ac:dyDescent="0.2">
      <c r="A44" s="861" t="str">
        <f>IF('1 EA 3 Data Sheet'!A53=0,"",'1 EA 3 Data Sheet'!A53)</f>
        <v/>
      </c>
      <c r="B44" s="862"/>
      <c r="C44" s="862"/>
      <c r="D44" s="862"/>
      <c r="E44" s="862"/>
      <c r="F44" s="862"/>
      <c r="G44" s="863" t="str">
        <f>IF('1 EA 3 Data Sheet'!F53=0,"",'1 EA 3 Data Sheet'!F53)</f>
        <v/>
      </c>
      <c r="H44" s="864"/>
      <c r="I44" s="374"/>
    </row>
    <row r="45" spans="1:9" x14ac:dyDescent="0.2">
      <c r="A45" s="851" t="str">
        <f>IF('1 EA 3 Data Sheet'!A5=0,"",'1 EA 3 Data Sheet'!A55)</f>
        <v/>
      </c>
      <c r="B45" s="852"/>
      <c r="C45" s="852"/>
      <c r="D45" s="852"/>
      <c r="E45" s="852"/>
      <c r="F45" s="852"/>
      <c r="G45" s="853" t="str">
        <f>IF('1 EA 3 Data Sheet'!F55=0,"",'1 EA 3 Data Sheet'!F55)</f>
        <v/>
      </c>
      <c r="H45" s="854"/>
      <c r="I45" s="375"/>
    </row>
    <row r="46" spans="1:9" x14ac:dyDescent="0.2">
      <c r="A46" s="851" t="str">
        <f>IF('1 EA 3 Data Sheet'!A57=0,"",'1 EA 3 Data Sheet'!A57)</f>
        <v/>
      </c>
      <c r="B46" s="852"/>
      <c r="C46" s="852"/>
      <c r="D46" s="852"/>
      <c r="E46" s="852"/>
      <c r="F46" s="852"/>
      <c r="G46" s="853" t="str">
        <f>IF('1 EA 3 Data Sheet'!F57=0,"",'1 EA 3 Data Sheet'!F57)</f>
        <v/>
      </c>
      <c r="H46" s="854"/>
      <c r="I46" s="375"/>
    </row>
    <row r="47" spans="1:9" x14ac:dyDescent="0.2">
      <c r="A47" s="851" t="str">
        <f>IF('1 EA 3 Data Sheet'!A59=0,"",'1 EA 3 Data Sheet'!A59)</f>
        <v/>
      </c>
      <c r="B47" s="852"/>
      <c r="C47" s="852"/>
      <c r="D47" s="852"/>
      <c r="E47" s="852"/>
      <c r="F47" s="852"/>
      <c r="G47" s="853" t="str">
        <f>IF('1 EA 3 Data Sheet'!F59=0,"",'1 EA 3 Data Sheet'!F59)</f>
        <v/>
      </c>
      <c r="H47" s="854"/>
      <c r="I47" s="375"/>
    </row>
  </sheetData>
  <sheetProtection algorithmName="SHA-512" hashValue="YgafPqnCzaAdFclkFdZm1dvyyBQArPRUYYRvfuh/BiWhONqcsLzJoTRMxETQ48mzcAFSeHmnsTWwQzn8JnmC0A==" saltValue="8lcoRKpNai0RdoxP49JNZw==" spinCount="100000" sheet="1" objects="1" scenarios="1" selectLockedCells="1" selectUnlockedCells="1"/>
  <mergeCells count="18">
    <mergeCell ref="A7:B7"/>
    <mergeCell ref="C7:D7"/>
    <mergeCell ref="H7:I7"/>
    <mergeCell ref="A8:B8"/>
    <mergeCell ref="C8:D8"/>
    <mergeCell ref="H8:I8"/>
    <mergeCell ref="A10:F10"/>
    <mergeCell ref="G10:I41"/>
    <mergeCell ref="A26:F26"/>
    <mergeCell ref="A42:I42"/>
    <mergeCell ref="A44:F44"/>
    <mergeCell ref="G44:H44"/>
    <mergeCell ref="A45:F45"/>
    <mergeCell ref="G45:H45"/>
    <mergeCell ref="A46:F46"/>
    <mergeCell ref="G46:H46"/>
    <mergeCell ref="A47:F47"/>
    <mergeCell ref="G47:H47"/>
  </mergeCells>
  <pageMargins left="0.15748031496062992" right="0.23622047244094491" top="0.74803149606299213" bottom="0.74803149606299213" header="0.31496062992125984" footer="0.31496062992125984"/>
  <pageSetup paperSize="9" orientation="portrait"/>
  <headerFooter>
    <oddFooter>&amp;R&amp;9Page 4</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7"/>
  <sheetViews>
    <sheetView showGridLines="0" zoomScaleNormal="100" workbookViewId="0">
      <selection activeCell="G9" sqref="G9:I40"/>
    </sheetView>
  </sheetViews>
  <sheetFormatPr defaultRowHeight="15" x14ac:dyDescent="0.2"/>
  <cols>
    <col min="1" max="1" width="8.77734375" customWidth="1"/>
    <col min="3" max="3" width="8.6640625" customWidth="1"/>
    <col min="6" max="6" width="8.21875" customWidth="1"/>
    <col min="7" max="7" width="9" customWidth="1"/>
    <col min="8" max="8" width="10.77734375" customWidth="1"/>
    <col min="9" max="9" width="12.21875" customWidth="1"/>
  </cols>
  <sheetData>
    <row r="1" spans="1:13" x14ac:dyDescent="0.2">
      <c r="A1" s="142"/>
      <c r="B1" s="142"/>
      <c r="C1" s="142"/>
      <c r="D1" s="142"/>
      <c r="E1" s="142"/>
      <c r="F1" s="142"/>
      <c r="G1" s="142"/>
      <c r="H1" s="142"/>
      <c r="I1" s="142"/>
    </row>
    <row r="2" spans="1:13" x14ac:dyDescent="0.2">
      <c r="A2" s="142"/>
      <c r="B2" s="142"/>
      <c r="C2" s="142"/>
      <c r="D2" s="142"/>
      <c r="E2" s="142"/>
      <c r="F2" s="142"/>
      <c r="G2" s="142"/>
      <c r="H2" s="142"/>
      <c r="I2" s="142"/>
    </row>
    <row r="3" spans="1:13" x14ac:dyDescent="0.2">
      <c r="A3" s="142"/>
      <c r="B3" s="142"/>
      <c r="C3" s="142"/>
      <c r="D3" s="142"/>
      <c r="E3" s="142"/>
      <c r="F3" s="142"/>
      <c r="G3" s="142"/>
      <c r="H3" s="142"/>
      <c r="I3" s="142"/>
    </row>
    <row r="4" spans="1:13" x14ac:dyDescent="0.2">
      <c r="A4" s="142"/>
      <c r="B4" s="142"/>
      <c r="C4" s="142"/>
      <c r="D4" s="142"/>
      <c r="E4" s="142"/>
      <c r="F4" s="142"/>
      <c r="G4" s="142"/>
      <c r="H4" s="142"/>
      <c r="I4" s="142"/>
    </row>
    <row r="5" spans="1:13" ht="0.6" customHeight="1" x14ac:dyDescent="0.2">
      <c r="A5" s="149"/>
      <c r="B5" s="149"/>
      <c r="C5" s="149"/>
      <c r="D5" s="149"/>
      <c r="E5" s="149"/>
      <c r="F5" s="149"/>
      <c r="G5" s="149"/>
      <c r="H5" s="149"/>
      <c r="I5" s="149"/>
      <c r="M5" s="379"/>
    </row>
    <row r="6" spans="1:13" ht="19.5" thickBot="1" x14ac:dyDescent="0.25">
      <c r="A6" s="368" t="s">
        <v>118</v>
      </c>
      <c r="B6" s="824" t="s">
        <v>301</v>
      </c>
      <c r="C6" s="824"/>
      <c r="D6" s="824" t="s">
        <v>121</v>
      </c>
      <c r="E6" s="824"/>
      <c r="F6" s="368" t="s">
        <v>122</v>
      </c>
      <c r="G6" s="368"/>
      <c r="H6" s="824" t="s">
        <v>33</v>
      </c>
      <c r="I6" s="824"/>
      <c r="J6" s="380"/>
    </row>
    <row r="7" spans="1:13" ht="16.149999999999999" customHeight="1" thickBot="1" x14ac:dyDescent="0.25">
      <c r="A7" s="381" t="str">
        <f>'1 EA 4 Data Sheet'!B16</f>
        <v>Red</v>
      </c>
      <c r="B7" s="878">
        <f>'1 EA 4 Data Sheet'!B14</f>
        <v>263</v>
      </c>
      <c r="C7" s="878"/>
      <c r="D7" s="825">
        <f>'1 EA 4 Data Sheet'!B15</f>
        <v>230</v>
      </c>
      <c r="E7" s="825"/>
      <c r="F7" s="382" t="str">
        <f>'1 EA 4 Data Sheet'!B18</f>
        <v>Red</v>
      </c>
      <c r="G7" s="145"/>
      <c r="H7" s="825">
        <v>223</v>
      </c>
      <c r="I7" s="825"/>
    </row>
    <row r="8" spans="1:13" ht="7.15" customHeight="1" x14ac:dyDescent="0.25">
      <c r="A8" s="149"/>
      <c r="B8" s="150"/>
      <c r="C8" s="150"/>
      <c r="D8" s="150"/>
      <c r="E8" s="150"/>
      <c r="F8" s="150"/>
      <c r="G8" s="150"/>
      <c r="H8" s="150"/>
      <c r="I8" s="149"/>
    </row>
    <row r="9" spans="1:13" ht="15.6" customHeight="1" x14ac:dyDescent="0.2">
      <c r="A9" s="795" t="s">
        <v>302</v>
      </c>
      <c r="B9" s="796"/>
      <c r="C9" s="796"/>
      <c r="D9" s="796"/>
      <c r="E9" s="796"/>
      <c r="F9" s="796"/>
      <c r="G9" s="797" t="str">
        <f>'1 EA 4 Data Sheet'!A65</f>
        <v xml:space="preserve">We continue to treat illegal waste sites as a high priority. As planned, operational resource in quarter 3 focused more on stopping illegal waste sites after having assessed a backlog of historic reports of illegal activity in quarter 1 and quarter 2. We also continue to work with partners to develop strategies and interventions to disrupt illegal waste operations and support major investigations to close down well-organised criminal operations.
The number of high risk sites stopped (55) significantly exceeded the number of new high risk sites found (23) in quarter 3. This resulted in the total number of active high risk sites reducing to 263, although nationally we remain RED against the KPI target. In part this was due to 20 existing sites becoming high risk in quarter 3, as a result of the length of time the sites have continued to operate illegally. We are reviewing procedures to flag when this is about to happen to enable us to intervene earlier if appropriate.
</v>
      </c>
      <c r="H9" s="797"/>
      <c r="I9" s="797"/>
    </row>
    <row r="10" spans="1:13" ht="15.75" x14ac:dyDescent="0.2">
      <c r="D10" s="151"/>
      <c r="E10" s="152"/>
      <c r="F10" s="152"/>
      <c r="G10" s="797"/>
      <c r="H10" s="797"/>
      <c r="I10" s="797"/>
    </row>
    <row r="11" spans="1:13" x14ac:dyDescent="0.2">
      <c r="D11" s="151"/>
      <c r="E11" s="153"/>
      <c r="F11" s="153"/>
      <c r="G11" s="797"/>
      <c r="H11" s="797"/>
      <c r="I11" s="797"/>
    </row>
    <row r="12" spans="1:13" x14ac:dyDescent="0.2">
      <c r="D12" s="151"/>
      <c r="E12" s="153"/>
      <c r="F12" s="153"/>
      <c r="G12" s="797"/>
      <c r="H12" s="797"/>
      <c r="I12" s="797"/>
    </row>
    <row r="13" spans="1:13" x14ac:dyDescent="0.2">
      <c r="D13" s="151"/>
      <c r="E13" s="153"/>
      <c r="F13" s="153"/>
      <c r="G13" s="797"/>
      <c r="H13" s="797"/>
      <c r="I13" s="797"/>
    </row>
    <row r="14" spans="1:13" x14ac:dyDescent="0.2">
      <c r="D14" s="151"/>
      <c r="E14" s="153"/>
      <c r="F14" s="153"/>
      <c r="G14" s="797"/>
      <c r="H14" s="797"/>
      <c r="I14" s="797"/>
    </row>
    <row r="15" spans="1:13" x14ac:dyDescent="0.2">
      <c r="D15" s="151"/>
      <c r="E15" s="153"/>
      <c r="F15" s="153"/>
      <c r="G15" s="797"/>
      <c r="H15" s="797"/>
      <c r="I15" s="797"/>
    </row>
    <row r="16" spans="1:13" x14ac:dyDescent="0.2">
      <c r="D16" s="151"/>
      <c r="E16" s="153"/>
      <c r="F16" s="153"/>
      <c r="G16" s="797"/>
      <c r="H16" s="797"/>
      <c r="I16" s="797"/>
    </row>
    <row r="17" spans="1:9" x14ac:dyDescent="0.2">
      <c r="D17" s="151"/>
      <c r="E17" s="153"/>
      <c r="F17" s="153"/>
      <c r="G17" s="797"/>
      <c r="H17" s="797"/>
      <c r="I17" s="797"/>
    </row>
    <row r="18" spans="1:9" x14ac:dyDescent="0.2">
      <c r="D18" s="151"/>
      <c r="E18" s="153"/>
      <c r="F18" s="153"/>
      <c r="G18" s="797"/>
      <c r="H18" s="797"/>
      <c r="I18" s="797"/>
    </row>
    <row r="19" spans="1:9" x14ac:dyDescent="0.2">
      <c r="D19" s="151"/>
      <c r="E19" s="153"/>
      <c r="F19" s="153"/>
      <c r="G19" s="797"/>
      <c r="H19" s="797"/>
      <c r="I19" s="797"/>
    </row>
    <row r="20" spans="1:9" x14ac:dyDescent="0.2">
      <c r="D20" s="151"/>
      <c r="E20" s="153"/>
      <c r="F20" s="153"/>
      <c r="G20" s="797"/>
      <c r="H20" s="797"/>
      <c r="I20" s="797"/>
    </row>
    <row r="21" spans="1:9" x14ac:dyDescent="0.2">
      <c r="D21" s="151"/>
      <c r="E21" s="153"/>
      <c r="F21" s="153"/>
      <c r="G21" s="797"/>
      <c r="H21" s="797"/>
      <c r="I21" s="797"/>
    </row>
    <row r="22" spans="1:9" x14ac:dyDescent="0.2">
      <c r="D22" s="151"/>
      <c r="E22" s="153"/>
      <c r="F22" s="153"/>
      <c r="G22" s="797"/>
      <c r="H22" s="797"/>
      <c r="I22" s="797"/>
    </row>
    <row r="23" spans="1:9" x14ac:dyDescent="0.2">
      <c r="D23" s="151"/>
      <c r="E23" s="153"/>
      <c r="F23" s="153"/>
      <c r="G23" s="797"/>
      <c r="H23" s="797"/>
      <c r="I23" s="797"/>
    </row>
    <row r="24" spans="1:9" ht="15.75" x14ac:dyDescent="0.2">
      <c r="A24" s="795" t="s">
        <v>303</v>
      </c>
      <c r="B24" s="796"/>
      <c r="C24" s="796"/>
      <c r="D24" s="796"/>
      <c r="E24" s="796"/>
      <c r="F24" s="796"/>
      <c r="G24" s="797"/>
      <c r="H24" s="797"/>
      <c r="I24" s="797"/>
    </row>
    <row r="25" spans="1:9" x14ac:dyDescent="0.2">
      <c r="D25" s="151"/>
      <c r="E25" s="153"/>
      <c r="F25" s="153"/>
      <c r="G25" s="797"/>
      <c r="H25" s="797"/>
      <c r="I25" s="797"/>
    </row>
    <row r="26" spans="1:9" x14ac:dyDescent="0.2">
      <c r="G26" s="797"/>
      <c r="H26" s="797"/>
      <c r="I26" s="797"/>
    </row>
    <row r="27" spans="1:9" x14ac:dyDescent="0.2">
      <c r="D27" s="151"/>
      <c r="G27" s="797"/>
      <c r="H27" s="797"/>
      <c r="I27" s="797"/>
    </row>
    <row r="28" spans="1:9" x14ac:dyDescent="0.2">
      <c r="A28" s="875"/>
      <c r="B28" s="876"/>
      <c r="C28" s="876"/>
      <c r="D28" s="875"/>
      <c r="E28" s="875"/>
      <c r="F28" s="875"/>
      <c r="G28" s="797"/>
      <c r="H28" s="797"/>
      <c r="I28" s="797"/>
    </row>
    <row r="29" spans="1:9" x14ac:dyDescent="0.2">
      <c r="A29" s="875"/>
      <c r="B29" s="876"/>
      <c r="C29" s="876"/>
      <c r="D29" s="875"/>
      <c r="E29" s="875"/>
      <c r="F29" s="875"/>
      <c r="G29" s="797"/>
      <c r="H29" s="797"/>
      <c r="I29" s="797"/>
    </row>
    <row r="30" spans="1:9" x14ac:dyDescent="0.2">
      <c r="A30" s="875"/>
      <c r="B30" s="876"/>
      <c r="C30" s="876"/>
      <c r="D30" s="875"/>
      <c r="E30" s="875"/>
      <c r="F30" s="875"/>
      <c r="G30" s="797"/>
      <c r="H30" s="797"/>
      <c r="I30" s="797"/>
    </row>
    <row r="31" spans="1:9" x14ac:dyDescent="0.2">
      <c r="A31" s="875"/>
      <c r="B31" s="876"/>
      <c r="C31" s="876"/>
      <c r="D31" s="875"/>
      <c r="E31" s="875"/>
      <c r="F31" s="875"/>
      <c r="G31" s="797"/>
      <c r="H31" s="797"/>
      <c r="I31" s="797"/>
    </row>
    <row r="32" spans="1:9" ht="72" customHeight="1" x14ac:dyDescent="0.2">
      <c r="A32" s="877"/>
      <c r="B32" s="877"/>
      <c r="C32" s="877"/>
      <c r="D32" s="877"/>
      <c r="E32" s="877"/>
      <c r="F32" s="877"/>
      <c r="G32" s="797"/>
      <c r="H32" s="797"/>
      <c r="I32" s="797"/>
    </row>
    <row r="33" spans="1:9" x14ac:dyDescent="0.2">
      <c r="A33" s="868"/>
      <c r="B33" s="869"/>
      <c r="C33" s="869"/>
      <c r="D33" s="870"/>
      <c r="E33" s="871"/>
      <c r="F33" s="868"/>
      <c r="G33" s="797"/>
      <c r="H33" s="797"/>
      <c r="I33" s="797"/>
    </row>
    <row r="34" spans="1:9" x14ac:dyDescent="0.2">
      <c r="A34" s="869"/>
      <c r="B34" s="869"/>
      <c r="C34" s="869"/>
      <c r="D34" s="870"/>
      <c r="E34" s="871"/>
      <c r="F34" s="868"/>
      <c r="G34" s="797"/>
      <c r="H34" s="797"/>
      <c r="I34" s="797"/>
    </row>
    <row r="35" spans="1:9" ht="16.5" customHeight="1" x14ac:dyDescent="0.2">
      <c r="A35" s="868"/>
      <c r="B35" s="869"/>
      <c r="C35" s="869"/>
      <c r="D35" s="870"/>
      <c r="E35" s="871"/>
      <c r="F35" s="868"/>
      <c r="G35" s="797"/>
      <c r="H35" s="797"/>
      <c r="I35" s="797"/>
    </row>
    <row r="36" spans="1:9" x14ac:dyDescent="0.2">
      <c r="A36" s="869"/>
      <c r="B36" s="869"/>
      <c r="C36" s="869"/>
      <c r="D36" s="870"/>
      <c r="E36" s="871"/>
      <c r="F36" s="868"/>
      <c r="G36" s="797"/>
      <c r="H36" s="797"/>
      <c r="I36" s="797"/>
    </row>
    <row r="37" spans="1:9" x14ac:dyDescent="0.2">
      <c r="A37" s="868"/>
      <c r="B37" s="869"/>
      <c r="C37" s="869"/>
      <c r="D37" s="870"/>
      <c r="E37" s="871"/>
      <c r="F37" s="868"/>
      <c r="G37" s="797"/>
      <c r="H37" s="797"/>
      <c r="I37" s="797"/>
    </row>
    <row r="38" spans="1:9" x14ac:dyDescent="0.2">
      <c r="A38" s="869"/>
      <c r="B38" s="869"/>
      <c r="C38" s="869"/>
      <c r="D38" s="870"/>
      <c r="E38" s="871"/>
      <c r="F38" s="868"/>
      <c r="G38" s="797"/>
      <c r="H38" s="797"/>
      <c r="I38" s="797"/>
    </row>
    <row r="39" spans="1:9" ht="15" hidden="1" customHeight="1" x14ac:dyDescent="0.2">
      <c r="A39" s="869"/>
      <c r="B39" s="869"/>
      <c r="C39" s="869"/>
      <c r="D39" s="383"/>
      <c r="E39" s="384"/>
      <c r="F39" s="385"/>
      <c r="G39" s="797"/>
      <c r="H39" s="797"/>
      <c r="I39" s="797"/>
    </row>
    <row r="40" spans="1:9" ht="26.45" customHeight="1" x14ac:dyDescent="0.2">
      <c r="A40" s="869"/>
      <c r="B40" s="869"/>
      <c r="C40" s="869"/>
      <c r="D40" s="383"/>
      <c r="E40" s="384"/>
      <c r="F40" s="385"/>
      <c r="G40" s="874"/>
      <c r="H40" s="874"/>
      <c r="I40" s="874"/>
    </row>
    <row r="41" spans="1:9" ht="15.75" x14ac:dyDescent="0.2">
      <c r="A41" s="860" t="s">
        <v>56</v>
      </c>
      <c r="B41" s="860"/>
      <c r="C41" s="860"/>
      <c r="D41" s="860"/>
      <c r="E41" s="860"/>
      <c r="F41" s="860"/>
      <c r="G41" s="860"/>
      <c r="H41" s="860"/>
      <c r="I41" s="860"/>
    </row>
    <row r="42" spans="1:9" ht="15.75" x14ac:dyDescent="0.25">
      <c r="A42" s="386" t="s">
        <v>57</v>
      </c>
      <c r="B42" s="386"/>
      <c r="C42" s="386"/>
      <c r="D42" s="386"/>
      <c r="E42" s="386"/>
      <c r="F42" s="387"/>
      <c r="G42" s="386" t="s">
        <v>58</v>
      </c>
      <c r="H42" s="387"/>
      <c r="I42" s="386" t="s">
        <v>59</v>
      </c>
    </row>
    <row r="43" spans="1:9" ht="30" customHeight="1" x14ac:dyDescent="0.2">
      <c r="A43" s="865" t="str">
        <f>IF('1 EA 4 Data Sheet'!A78=0,"",'1 EA 4 Data Sheet'!A78)</f>
        <v>Develop enforcement strategy for waste to help embed alternative approaches to reducing levels of waste crime</v>
      </c>
      <c r="B43" s="865"/>
      <c r="C43" s="865"/>
      <c r="D43" s="865"/>
      <c r="E43" s="865"/>
      <c r="F43" s="865"/>
      <c r="G43" s="872" t="str">
        <f>IF('1 EA 4 Data Sheet'!F78=0,"",'1 EA 4 Data Sheet'!F78)</f>
        <v>Deputy Director for Waste Regulation</v>
      </c>
      <c r="H43" s="873"/>
      <c r="I43" s="388">
        <f>IF('1 EA 4 Data Sheet'!I78=0,"",'1 EA 4 Data Sheet'!I78)</f>
        <v>43281</v>
      </c>
    </row>
    <row r="44" spans="1:9" ht="29.25" customHeight="1" x14ac:dyDescent="0.2">
      <c r="A44" s="865" t="str">
        <f>IF('1 EA 4 Data Sheet'!A81=0,"",'1 EA 4 Data Sheet'!A81)</f>
        <v>Review allocation of Waste Enforcement Programme money as an option for increasing front-line resource</v>
      </c>
      <c r="B44" s="865"/>
      <c r="C44" s="865"/>
      <c r="D44" s="865"/>
      <c r="E44" s="865"/>
      <c r="F44" s="865"/>
      <c r="G44" s="866" t="str">
        <f>IF('1 EA 4 Data Sheet'!F81=0,"",'1 EA 4 Data Sheet'!F81)</f>
        <v>Deputy Director for Waste Regulation</v>
      </c>
      <c r="H44" s="867"/>
      <c r="I44" s="388" t="str">
        <f>IF('1 EA 4 Data Sheet'!I81=0,"",'1 EA 4 Data Sheet'!I81)</f>
        <v>Complete</v>
      </c>
    </row>
    <row r="45" spans="1:9" ht="44.45" customHeight="1" x14ac:dyDescent="0.2">
      <c r="A45" s="865" t="str">
        <f>IF('1 EA 4 Data Sheet'!A84=0,"",'1 EA 4 Data Sheet'!A84)</f>
        <v>Deliver actions from Enforcement Review</v>
      </c>
      <c r="B45" s="865"/>
      <c r="C45" s="865"/>
      <c r="D45" s="865"/>
      <c r="E45" s="865"/>
      <c r="F45" s="865"/>
      <c r="G45" s="866" t="str">
        <f>IF('1 EA 4 Data Sheet'!F84=0,"",'1 EA 4 Data Sheet'!F84)</f>
        <v>Deputy Director for Northumbria, Durham &amp; Tees</v>
      </c>
      <c r="H45" s="867"/>
      <c r="I45" s="388">
        <f>IF('1 EA 4 Data Sheet'!I84=0,"",'1 EA 4 Data Sheet'!I84)</f>
        <v>43190</v>
      </c>
    </row>
    <row r="46" spans="1:9" ht="30.75" customHeight="1" x14ac:dyDescent="0.2">
      <c r="A46" s="865" t="str">
        <f>IF('1 EA 4 Data Sheet'!A86=0,"",'1 EA 4 Data Sheet'!A86)</f>
        <v>Develop plans for use of the additional £30m for waste crime announced in the November budget.</v>
      </c>
      <c r="B46" s="865"/>
      <c r="C46" s="865"/>
      <c r="D46" s="865"/>
      <c r="E46" s="865"/>
      <c r="F46" s="865"/>
      <c r="G46" s="866" t="str">
        <f>IF('1 EA 4 Data Sheet'!F86=0,"",'1 EA 4 Data Sheet'!F86)</f>
        <v>Deputy Director for Waste Regulation</v>
      </c>
      <c r="H46" s="867"/>
      <c r="I46" s="388">
        <f>IF('1 EA 4 Data Sheet'!I86=0,"",'1 EA 4 Data Sheet'!I86)</f>
        <v>43190</v>
      </c>
    </row>
    <row r="47" spans="1:9" ht="43.5" customHeight="1" x14ac:dyDescent="0.2">
      <c r="A47" s="865" t="str">
        <f>IF('1 EA 4 Data Sheet'!A87=0,"",'1 EA 4 Data Sheet'!A87)</f>
        <v>Prepare joint tactical and strategic plans with HMRC for implementation of new landfill tax legislation on 1st April 2018.</v>
      </c>
      <c r="B47" s="865"/>
      <c r="C47" s="865"/>
      <c r="D47" s="865"/>
      <c r="E47" s="865"/>
      <c r="F47" s="865"/>
      <c r="G47" s="866" t="str">
        <f>IF('1 EA 4 Data Sheet'!F87=0,"",'1 EA 4 Data Sheet'!F87)</f>
        <v>Deputy Director for National Enforcement Service</v>
      </c>
      <c r="H47" s="867"/>
      <c r="I47" s="388">
        <f>IF('1 EA 4 Data Sheet'!I87=0,"",'1 EA 4 Data Sheet'!I87)</f>
        <v>43190</v>
      </c>
    </row>
  </sheetData>
  <sheetProtection password="BBC7" sheet="1" objects="1" scenarios="1" selectLockedCells="1" selectUnlockedCells="1"/>
  <mergeCells count="38">
    <mergeCell ref="B6:C6"/>
    <mergeCell ref="D6:E6"/>
    <mergeCell ref="H6:I6"/>
    <mergeCell ref="B7:C7"/>
    <mergeCell ref="D7:E7"/>
    <mergeCell ref="H7:I7"/>
    <mergeCell ref="A9:F9"/>
    <mergeCell ref="G9:I40"/>
    <mergeCell ref="A24:F24"/>
    <mergeCell ref="A28:C32"/>
    <mergeCell ref="D28:D32"/>
    <mergeCell ref="E28:E32"/>
    <mergeCell ref="F28:F32"/>
    <mergeCell ref="A33:C34"/>
    <mergeCell ref="D33:D34"/>
    <mergeCell ref="E33:E34"/>
    <mergeCell ref="A44:F44"/>
    <mergeCell ref="G44:H44"/>
    <mergeCell ref="F33:F34"/>
    <mergeCell ref="A35:C36"/>
    <mergeCell ref="D35:D36"/>
    <mergeCell ref="E35:E36"/>
    <mergeCell ref="F35:F36"/>
    <mergeCell ref="A37:C38"/>
    <mergeCell ref="D37:D38"/>
    <mergeCell ref="E37:E38"/>
    <mergeCell ref="F37:F38"/>
    <mergeCell ref="A39:C39"/>
    <mergeCell ref="A40:C40"/>
    <mergeCell ref="A41:I41"/>
    <mergeCell ref="A43:F43"/>
    <mergeCell ref="G43:H43"/>
    <mergeCell ref="A45:F45"/>
    <mergeCell ref="G45:H45"/>
    <mergeCell ref="A46:F46"/>
    <mergeCell ref="G46:H46"/>
    <mergeCell ref="A47:F47"/>
    <mergeCell ref="G47:H47"/>
  </mergeCells>
  <conditionalFormatting sqref="F33:F40">
    <cfRule type="containsText" dxfId="35" priority="4" operator="containsText" text="RED">
      <formula>NOT(ISERROR(SEARCH("RED",F33)))</formula>
    </cfRule>
    <cfRule type="containsText" dxfId="34" priority="5" operator="containsText" text="AMBER">
      <formula>NOT(ISERROR(SEARCH("AMBER",F33)))</formula>
    </cfRule>
    <cfRule type="containsText" dxfId="33" priority="6" operator="containsText" text="GREEN">
      <formula>NOT(ISERROR(SEARCH("GREEN",F33)))</formula>
    </cfRule>
  </conditionalFormatting>
  <conditionalFormatting sqref="G7">
    <cfRule type="containsText" dxfId="32" priority="1" operator="containsText" text="RED">
      <formula>NOT(ISERROR(SEARCH("RED",G7)))</formula>
    </cfRule>
    <cfRule type="containsText" dxfId="31" priority="2" operator="containsText" text="AMBER">
      <formula>NOT(ISERROR(SEARCH("AMBER",G7)))</formula>
    </cfRule>
    <cfRule type="containsText" dxfId="30" priority="3" operator="containsText" text="GREEN">
      <formula>NOT(ISERROR(SEARCH("GREEN",G7)))</formula>
    </cfRule>
  </conditionalFormatting>
  <dataValidations count="1">
    <dataValidation allowBlank="1" showErrorMessage="1" prompt="Select from drop down menu" sqref="D33:F40"/>
  </dataValidations>
  <pageMargins left="0.23622047244094491" right="0.23622047244094491" top="0.27559055118110237" bottom="0.31496062992125984" header="0.31496062992125984" footer="0.19685039370078741"/>
  <pageSetup paperSize="9" scale="98" orientation="portrait"/>
  <headerFooter>
    <oddFooter>&amp;R&amp;"Calibri,Regular"&amp;10Page 5</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showGridLines="0" zoomScaleNormal="100" zoomScalePageLayoutView="90" workbookViewId="0">
      <selection activeCell="G9" sqref="G9:I31"/>
    </sheetView>
  </sheetViews>
  <sheetFormatPr defaultRowHeight="15" x14ac:dyDescent="0.2"/>
  <cols>
    <col min="6" max="6" width="10" customWidth="1"/>
  </cols>
  <sheetData>
    <row r="1" spans="1:9" x14ac:dyDescent="0.2">
      <c r="A1" s="448"/>
      <c r="B1" s="448"/>
      <c r="C1" s="448"/>
      <c r="D1" s="448"/>
      <c r="E1" s="448"/>
      <c r="F1" s="448"/>
      <c r="G1" s="448"/>
      <c r="H1" s="448"/>
      <c r="I1" s="448"/>
    </row>
    <row r="2" spans="1:9" x14ac:dyDescent="0.2">
      <c r="A2" s="448"/>
      <c r="B2" s="448"/>
      <c r="C2" s="448"/>
      <c r="D2" s="448"/>
      <c r="E2" s="448"/>
      <c r="F2" s="448"/>
      <c r="G2" s="448"/>
      <c r="H2" s="448"/>
      <c r="I2" s="448"/>
    </row>
    <row r="3" spans="1:9" x14ac:dyDescent="0.2">
      <c r="A3" s="448"/>
      <c r="B3" s="448"/>
      <c r="C3" s="448"/>
      <c r="D3" s="448"/>
      <c r="E3" s="448"/>
      <c r="F3" s="448"/>
      <c r="G3" s="448"/>
      <c r="H3" s="448"/>
      <c r="I3" s="448"/>
    </row>
    <row r="4" spans="1:9" x14ac:dyDescent="0.2">
      <c r="A4" s="448"/>
      <c r="B4" s="448"/>
      <c r="C4" s="448"/>
      <c r="D4" s="448"/>
      <c r="E4" s="448"/>
      <c r="F4" s="448"/>
      <c r="G4" s="448"/>
      <c r="H4" s="448"/>
      <c r="I4" s="448"/>
    </row>
    <row r="5" spans="1:9" x14ac:dyDescent="0.2">
      <c r="A5" s="448"/>
      <c r="B5" s="448"/>
      <c r="C5" s="448"/>
      <c r="D5" s="448"/>
      <c r="E5" s="448"/>
      <c r="F5" s="448"/>
      <c r="G5" s="448"/>
      <c r="H5" s="448"/>
      <c r="I5" s="448"/>
    </row>
    <row r="6" spans="1:9" ht="37.15" customHeight="1" thickBot="1" x14ac:dyDescent="0.25">
      <c r="A6" s="368" t="s">
        <v>49</v>
      </c>
      <c r="B6" s="901" t="s">
        <v>277</v>
      </c>
      <c r="C6" s="901"/>
      <c r="D6" s="902" t="s">
        <v>352</v>
      </c>
      <c r="E6" s="902"/>
      <c r="F6" s="824" t="s">
        <v>122</v>
      </c>
      <c r="G6" s="824"/>
      <c r="H6" s="824" t="s">
        <v>33</v>
      </c>
      <c r="I6" s="824"/>
    </row>
    <row r="7" spans="1:9" ht="19.5" thickBot="1" x14ac:dyDescent="0.25">
      <c r="A7" s="449" t="str">
        <f>'4 EA 5 Data Sheet'!B16</f>
        <v>Green</v>
      </c>
      <c r="B7" s="903">
        <f>'4 EA 5 Data Sheet'!B14</f>
        <v>107834</v>
      </c>
      <c r="C7" s="903"/>
      <c r="D7" s="825">
        <f>'4 EA 5 Data Sheet'!B15</f>
        <v>101000</v>
      </c>
      <c r="E7" s="825"/>
      <c r="F7" s="147" t="str">
        <f>'4 EA 5 Data Sheet'!B18</f>
        <v>Green</v>
      </c>
      <c r="G7" s="148"/>
      <c r="H7" s="825">
        <f>'4 EA 5 Data Sheet'!I46</f>
        <v>140000</v>
      </c>
      <c r="I7" s="825"/>
    </row>
    <row r="8" spans="1:9" ht="3.6" customHeight="1" x14ac:dyDescent="0.25">
      <c r="A8" s="149"/>
      <c r="B8" s="150"/>
      <c r="C8" s="150"/>
      <c r="D8" s="150"/>
      <c r="E8" s="150"/>
      <c r="F8" s="150"/>
      <c r="G8" s="150"/>
      <c r="H8" s="150"/>
      <c r="I8" s="149"/>
    </row>
    <row r="9" spans="1:9" ht="15.6" customHeight="1" x14ac:dyDescent="0.2">
      <c r="A9" s="889" t="s">
        <v>353</v>
      </c>
      <c r="B9" s="890"/>
      <c r="C9" s="890"/>
      <c r="D9" s="890"/>
      <c r="E9" s="890"/>
      <c r="F9" s="890"/>
      <c r="G9" s="855" t="str">
        <f>'4 EA 5 Data Sheet'!A57</f>
        <v xml:space="preserve">31 separate projects have better protected a further 6,620 homes this quarter bringing the cumulative total since April 2015 to 107,834. 
The project which better protected the largest number of homes this quarter was the Dawlish Warren and Exmouth Beach Management Scheme in Devon, which better protected 2,881 homes from sea flooding.
The majority of 2017/18 delivery will be during quarter 4. The current forecast for year end 2017/18 is to achieve 148,000 homes better protected since April 2015. </v>
      </c>
      <c r="H9" s="891"/>
      <c r="I9" s="891"/>
    </row>
    <row r="10" spans="1:9" ht="15.75" x14ac:dyDescent="0.2">
      <c r="D10" s="151"/>
      <c r="E10" s="152"/>
      <c r="F10" s="152"/>
      <c r="G10" s="892"/>
      <c r="H10" s="891"/>
      <c r="I10" s="891"/>
    </row>
    <row r="11" spans="1:9" x14ac:dyDescent="0.2">
      <c r="D11" s="151"/>
      <c r="E11" s="153"/>
      <c r="F11" s="153"/>
      <c r="G11" s="892"/>
      <c r="H11" s="891"/>
      <c r="I11" s="891"/>
    </row>
    <row r="12" spans="1:9" x14ac:dyDescent="0.2">
      <c r="D12" s="151"/>
      <c r="E12" s="153"/>
      <c r="F12" s="153"/>
      <c r="G12" s="892"/>
      <c r="H12" s="891"/>
      <c r="I12" s="891"/>
    </row>
    <row r="13" spans="1:9" x14ac:dyDescent="0.2">
      <c r="D13" s="151"/>
      <c r="E13" s="153"/>
      <c r="F13" s="153"/>
      <c r="G13" s="892"/>
      <c r="H13" s="891"/>
      <c r="I13" s="891"/>
    </row>
    <row r="14" spans="1:9" x14ac:dyDescent="0.2">
      <c r="D14" s="151"/>
      <c r="E14" s="153"/>
      <c r="F14" s="153"/>
      <c r="G14" s="892"/>
      <c r="H14" s="891"/>
      <c r="I14" s="891"/>
    </row>
    <row r="15" spans="1:9" x14ac:dyDescent="0.2">
      <c r="D15" s="151"/>
      <c r="E15" s="153"/>
      <c r="F15" s="153"/>
      <c r="G15" s="892"/>
      <c r="H15" s="891"/>
      <c r="I15" s="891"/>
    </row>
    <row r="16" spans="1:9" x14ac:dyDescent="0.2">
      <c r="D16" s="151"/>
      <c r="E16" s="153"/>
      <c r="F16" s="153"/>
      <c r="G16" s="892"/>
      <c r="H16" s="891"/>
      <c r="I16" s="891"/>
    </row>
    <row r="17" spans="1:9" x14ac:dyDescent="0.2">
      <c r="D17" s="151"/>
      <c r="E17" s="153"/>
      <c r="F17" s="153"/>
      <c r="G17" s="892"/>
      <c r="H17" s="891"/>
      <c r="I17" s="891"/>
    </row>
    <row r="18" spans="1:9" x14ac:dyDescent="0.2">
      <c r="D18" s="151"/>
      <c r="E18" s="153"/>
      <c r="F18" s="153"/>
      <c r="G18" s="892"/>
      <c r="H18" s="891"/>
      <c r="I18" s="891"/>
    </row>
    <row r="19" spans="1:9" x14ac:dyDescent="0.2">
      <c r="D19" s="151"/>
      <c r="E19" s="153"/>
      <c r="F19" s="153"/>
      <c r="G19" s="892"/>
      <c r="H19" s="891"/>
      <c r="I19" s="891"/>
    </row>
    <row r="20" spans="1:9" x14ac:dyDescent="0.2">
      <c r="D20" s="151"/>
      <c r="E20" s="153"/>
      <c r="F20" s="153"/>
      <c r="G20" s="892"/>
      <c r="H20" s="891"/>
      <c r="I20" s="891"/>
    </row>
    <row r="21" spans="1:9" x14ac:dyDescent="0.2">
      <c r="D21" s="151"/>
      <c r="E21" s="153"/>
      <c r="F21" s="153"/>
      <c r="G21" s="892"/>
      <c r="H21" s="891"/>
      <c r="I21" s="891"/>
    </row>
    <row r="22" spans="1:9" x14ac:dyDescent="0.2">
      <c r="D22" s="151"/>
      <c r="E22" s="153"/>
      <c r="F22" s="153"/>
      <c r="G22" s="892"/>
      <c r="H22" s="891"/>
      <c r="I22" s="891"/>
    </row>
    <row r="23" spans="1:9" x14ac:dyDescent="0.2">
      <c r="D23" s="151"/>
      <c r="E23" s="153"/>
      <c r="F23" s="153"/>
      <c r="G23" s="892"/>
      <c r="H23" s="891"/>
      <c r="I23" s="891"/>
    </row>
    <row r="24" spans="1:9" x14ac:dyDescent="0.2">
      <c r="D24" s="151"/>
      <c r="E24" s="153"/>
      <c r="F24" s="153"/>
      <c r="G24" s="892"/>
      <c r="H24" s="891"/>
      <c r="I24" s="891"/>
    </row>
    <row r="25" spans="1:9" ht="15.75" hidden="1" customHeight="1" x14ac:dyDescent="0.2">
      <c r="A25" s="893" t="s">
        <v>354</v>
      </c>
      <c r="B25" s="894"/>
      <c r="C25" s="894"/>
      <c r="D25" s="894"/>
      <c r="E25" s="894"/>
      <c r="F25" s="894"/>
      <c r="G25" s="892"/>
      <c r="H25" s="891"/>
      <c r="I25" s="891"/>
    </row>
    <row r="26" spans="1:9" x14ac:dyDescent="0.2">
      <c r="D26" s="151"/>
      <c r="G26" s="892"/>
      <c r="H26" s="891"/>
      <c r="I26" s="891"/>
    </row>
    <row r="27" spans="1:9" ht="15.75" x14ac:dyDescent="0.2">
      <c r="D27" s="151"/>
      <c r="E27" s="152"/>
      <c r="F27" s="152"/>
      <c r="G27" s="892"/>
      <c r="H27" s="891"/>
      <c r="I27" s="891"/>
    </row>
    <row r="28" spans="1:9" x14ac:dyDescent="0.2">
      <c r="D28" s="151"/>
      <c r="E28" s="153"/>
      <c r="F28" s="153"/>
      <c r="G28" s="892"/>
      <c r="H28" s="891"/>
      <c r="I28" s="891"/>
    </row>
    <row r="29" spans="1:9" x14ac:dyDescent="0.2">
      <c r="D29" s="151"/>
      <c r="E29" s="153"/>
      <c r="F29" s="153"/>
      <c r="G29" s="892"/>
      <c r="H29" s="891"/>
      <c r="I29" s="891"/>
    </row>
    <row r="30" spans="1:9" x14ac:dyDescent="0.2">
      <c r="D30" s="151"/>
      <c r="E30" s="153"/>
      <c r="F30" s="153"/>
      <c r="G30" s="892"/>
      <c r="H30" s="891"/>
      <c r="I30" s="891"/>
    </row>
    <row r="31" spans="1:9" x14ac:dyDescent="0.2">
      <c r="D31" s="151"/>
      <c r="E31" s="153"/>
      <c r="F31" s="153"/>
      <c r="G31" s="892"/>
      <c r="H31" s="891"/>
      <c r="I31" s="891"/>
    </row>
    <row r="32" spans="1:9" x14ac:dyDescent="0.2">
      <c r="D32" s="151"/>
      <c r="E32" s="153"/>
      <c r="F32" s="153"/>
      <c r="G32" s="450"/>
      <c r="H32" s="451"/>
      <c r="I32" s="451"/>
    </row>
    <row r="33" spans="1:10" x14ac:dyDescent="0.2">
      <c r="D33" s="151"/>
      <c r="E33" s="153"/>
      <c r="F33" s="153"/>
      <c r="G33" s="450"/>
      <c r="H33" s="451"/>
      <c r="I33" s="451"/>
    </row>
    <row r="34" spans="1:10" x14ac:dyDescent="0.2">
      <c r="D34" s="151"/>
      <c r="E34" s="153"/>
      <c r="F34" s="153"/>
      <c r="G34" s="450"/>
      <c r="H34" s="451"/>
      <c r="I34" s="451"/>
    </row>
    <row r="35" spans="1:10" x14ac:dyDescent="0.2">
      <c r="D35" s="151"/>
      <c r="E35" s="153"/>
      <c r="F35" s="153"/>
      <c r="G35" s="450"/>
      <c r="H35" s="451"/>
      <c r="I35" s="451"/>
    </row>
    <row r="36" spans="1:10" x14ac:dyDescent="0.2">
      <c r="D36" s="151"/>
      <c r="E36" s="153"/>
      <c r="F36" s="153"/>
      <c r="G36" s="450"/>
      <c r="H36" s="451"/>
      <c r="I36" s="451"/>
    </row>
    <row r="37" spans="1:10" x14ac:dyDescent="0.2">
      <c r="D37" s="151"/>
      <c r="E37" s="153"/>
      <c r="F37" s="153"/>
      <c r="G37" s="450"/>
      <c r="H37" s="451"/>
      <c r="I37" s="451"/>
    </row>
    <row r="38" spans="1:10" x14ac:dyDescent="0.2">
      <c r="D38" s="151"/>
      <c r="E38" s="153"/>
      <c r="F38" s="153"/>
      <c r="G38" s="450"/>
      <c r="H38" s="451"/>
      <c r="I38" s="451"/>
    </row>
    <row r="39" spans="1:10" x14ac:dyDescent="0.2">
      <c r="D39" s="151"/>
      <c r="E39" s="153"/>
      <c r="F39" s="153"/>
      <c r="G39" s="450"/>
      <c r="H39" s="451"/>
      <c r="I39" s="451"/>
    </row>
    <row r="40" spans="1:10" x14ac:dyDescent="0.2">
      <c r="D40" s="151"/>
      <c r="E40" s="153"/>
      <c r="F40" s="153"/>
      <c r="G40" s="450"/>
      <c r="H40" s="451"/>
      <c r="I40" s="451"/>
    </row>
    <row r="41" spans="1:10" x14ac:dyDescent="0.2">
      <c r="D41" s="151"/>
      <c r="E41" s="153"/>
      <c r="F41" s="153"/>
      <c r="G41" s="450"/>
      <c r="H41" s="451"/>
      <c r="I41" s="451"/>
    </row>
    <row r="42" spans="1:10" x14ac:dyDescent="0.2">
      <c r="D42" s="151"/>
      <c r="E42" s="153"/>
      <c r="F42" s="153"/>
      <c r="G42" s="450"/>
      <c r="H42" s="451"/>
      <c r="I42" s="451"/>
    </row>
    <row r="43" spans="1:10" x14ac:dyDescent="0.2">
      <c r="D43" s="151"/>
      <c r="E43" s="153"/>
      <c r="F43" s="153"/>
      <c r="G43" s="452"/>
      <c r="H43" s="149"/>
      <c r="I43" s="149"/>
    </row>
    <row r="44" spans="1:10" x14ac:dyDescent="0.2">
      <c r="A44" s="895" t="s">
        <v>56</v>
      </c>
      <c r="B44" s="896"/>
      <c r="C44" s="896"/>
      <c r="D44" s="896"/>
      <c r="E44" s="896"/>
      <c r="F44" s="896"/>
      <c r="G44" s="896"/>
      <c r="H44" s="896"/>
      <c r="I44" s="897"/>
    </row>
    <row r="45" spans="1:10" ht="15.75" x14ac:dyDescent="0.25">
      <c r="A45" s="898" t="s">
        <v>57</v>
      </c>
      <c r="B45" s="899"/>
      <c r="C45" s="899"/>
      <c r="D45" s="899"/>
      <c r="E45" s="899"/>
      <c r="F45" s="900"/>
      <c r="G45" s="898" t="s">
        <v>58</v>
      </c>
      <c r="H45" s="900"/>
      <c r="I45" s="453" t="s">
        <v>59</v>
      </c>
      <c r="J45" s="454"/>
    </row>
    <row r="46" spans="1:10" ht="27" customHeight="1" x14ac:dyDescent="0.25">
      <c r="A46" s="884"/>
      <c r="B46" s="885"/>
      <c r="C46" s="885"/>
      <c r="D46" s="885"/>
      <c r="E46" s="885"/>
      <c r="F46" s="886"/>
      <c r="G46" s="887"/>
      <c r="H46" s="888"/>
      <c r="I46" s="455"/>
      <c r="J46" s="456"/>
    </row>
    <row r="47" spans="1:10" ht="15.75" x14ac:dyDescent="0.25">
      <c r="A47" s="879"/>
      <c r="B47" s="880"/>
      <c r="C47" s="880"/>
      <c r="D47" s="880"/>
      <c r="E47" s="880"/>
      <c r="F47" s="881"/>
      <c r="G47" s="882"/>
      <c r="H47" s="883"/>
      <c r="I47" s="159"/>
      <c r="J47" s="454"/>
    </row>
    <row r="48" spans="1:10" ht="7.9" customHeight="1" x14ac:dyDescent="0.25">
      <c r="A48" s="879"/>
      <c r="B48" s="880"/>
      <c r="C48" s="880"/>
      <c r="D48" s="880"/>
      <c r="E48" s="880"/>
      <c r="F48" s="881"/>
      <c r="G48" s="882"/>
      <c r="H48" s="883"/>
      <c r="I48" s="159"/>
      <c r="J48" s="454"/>
    </row>
    <row r="49" spans="1:10" ht="10.9" customHeight="1" x14ac:dyDescent="0.25">
      <c r="A49" s="879"/>
      <c r="B49" s="880"/>
      <c r="C49" s="880"/>
      <c r="D49" s="880"/>
      <c r="E49" s="880"/>
      <c r="F49" s="881"/>
      <c r="G49" s="882"/>
      <c r="H49" s="883"/>
      <c r="I49" s="159"/>
      <c r="J49" s="454"/>
    </row>
    <row r="50" spans="1:10" x14ac:dyDescent="0.2">
      <c r="A50" s="457"/>
      <c r="B50" s="457"/>
      <c r="C50" s="457"/>
      <c r="D50" s="457"/>
      <c r="E50" s="457"/>
      <c r="F50" s="457"/>
      <c r="G50" s="457"/>
      <c r="H50" s="457"/>
      <c r="I50" s="458"/>
      <c r="J50" s="454"/>
    </row>
    <row r="51" spans="1:10" x14ac:dyDescent="0.2">
      <c r="A51" s="459"/>
      <c r="B51" s="459"/>
      <c r="C51" s="459"/>
      <c r="D51" s="459"/>
      <c r="E51" s="459"/>
      <c r="F51" s="459"/>
      <c r="G51" s="459"/>
      <c r="H51" s="459"/>
      <c r="I51" s="459"/>
      <c r="J51" s="459"/>
    </row>
  </sheetData>
  <sheetProtection password="BBC7" sheet="1" objects="1" scenarios="1" selectLockedCells="1" selectUnlockedCells="1"/>
  <mergeCells count="21">
    <mergeCell ref="B6:C6"/>
    <mergeCell ref="D6:E6"/>
    <mergeCell ref="F6:G6"/>
    <mergeCell ref="H6:I6"/>
    <mergeCell ref="B7:C7"/>
    <mergeCell ref="D7:E7"/>
    <mergeCell ref="H7:I7"/>
    <mergeCell ref="A9:F9"/>
    <mergeCell ref="G9:I31"/>
    <mergeCell ref="A25:F25"/>
    <mergeCell ref="A44:I44"/>
    <mergeCell ref="A45:F45"/>
    <mergeCell ref="G45:H45"/>
    <mergeCell ref="A49:F49"/>
    <mergeCell ref="G49:H49"/>
    <mergeCell ref="A46:F46"/>
    <mergeCell ref="G46:H46"/>
    <mergeCell ref="A47:F47"/>
    <mergeCell ref="G47:H47"/>
    <mergeCell ref="A48:F48"/>
    <mergeCell ref="G48:H48"/>
  </mergeCells>
  <pageMargins left="0.25" right="0.25" top="0.75" bottom="0.75" header="0.3" footer="0.3"/>
  <pageSetup paperSize="9" orientation="portrait" verticalDpi="1200"/>
  <headerFooter>
    <oddFooter>&amp;R&amp;"-,Regular"&amp;10Page 6</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92"/>
  <sheetViews>
    <sheetView showGridLines="0" zoomScaleNormal="100" workbookViewId="0">
      <selection activeCell="B19" sqref="B19"/>
    </sheetView>
  </sheetViews>
  <sheetFormatPr defaultRowHeight="15" x14ac:dyDescent="0.2"/>
  <cols>
    <col min="1" max="1" width="14.109375" bestFit="1" customWidth="1"/>
    <col min="2" max="2" width="15.109375" customWidth="1"/>
    <col min="3" max="3" width="14.6640625" bestFit="1" customWidth="1"/>
    <col min="4" max="4" width="17.5546875" bestFit="1" customWidth="1"/>
    <col min="5" max="5" width="12.5546875" bestFit="1" customWidth="1"/>
    <col min="6" max="6" width="11.109375" customWidth="1"/>
    <col min="7" max="7" width="11.77734375" customWidth="1"/>
    <col min="8" max="9" width="14.33203125" customWidth="1"/>
    <col min="10" max="10" width="14" customWidth="1"/>
    <col min="11" max="11" width="18.109375" customWidth="1"/>
    <col min="12" max="12" width="21.109375" customWidth="1"/>
  </cols>
  <sheetData>
    <row r="1" spans="1:11" ht="18.75" x14ac:dyDescent="0.3">
      <c r="A1" s="914" t="s">
        <v>355</v>
      </c>
      <c r="B1" s="915"/>
      <c r="C1" s="915"/>
      <c r="D1" s="915"/>
      <c r="E1" s="915"/>
      <c r="F1" s="915"/>
      <c r="G1" s="161"/>
      <c r="H1" s="161"/>
      <c r="I1" s="161"/>
      <c r="J1" s="161"/>
    </row>
    <row r="2" spans="1:11" ht="15.75" x14ac:dyDescent="0.25">
      <c r="A2" s="916" t="s">
        <v>356</v>
      </c>
      <c r="B2" s="917"/>
      <c r="C2" s="917"/>
      <c r="D2" s="917"/>
      <c r="E2" s="917"/>
      <c r="F2" s="917"/>
      <c r="G2" s="917"/>
      <c r="H2" s="161"/>
      <c r="I2" s="161"/>
      <c r="J2" s="161"/>
    </row>
    <row r="3" spans="1:11" x14ac:dyDescent="0.2">
      <c r="A3" s="918" t="s">
        <v>357</v>
      </c>
      <c r="B3" s="906"/>
      <c r="C3" s="906"/>
      <c r="D3" s="906"/>
      <c r="E3" s="906"/>
      <c r="F3" s="151"/>
      <c r="G3" s="151"/>
      <c r="H3" s="151"/>
      <c r="I3" s="151"/>
      <c r="J3" s="151"/>
      <c r="K3" s="151"/>
    </row>
    <row r="4" spans="1:11" x14ac:dyDescent="0.2">
      <c r="A4" s="906"/>
      <c r="B4" s="906"/>
      <c r="C4" s="906"/>
      <c r="D4" s="906"/>
      <c r="E4" s="906"/>
      <c r="F4" s="151"/>
      <c r="G4" s="151"/>
      <c r="H4" s="151"/>
      <c r="I4" s="151"/>
      <c r="J4" s="151"/>
      <c r="K4" s="151"/>
    </row>
    <row r="5" spans="1:11" ht="15.75" x14ac:dyDescent="0.25">
      <c r="A5" s="162"/>
      <c r="B5" s="162"/>
      <c r="C5" s="161"/>
      <c r="D5" s="161"/>
      <c r="E5" s="161"/>
      <c r="F5" s="161"/>
      <c r="G5" s="161"/>
      <c r="H5" s="161"/>
      <c r="I5" s="161"/>
      <c r="J5" s="161"/>
    </row>
    <row r="6" spans="1:11" ht="15.75" x14ac:dyDescent="0.25">
      <c r="A6" s="163" t="s">
        <v>63</v>
      </c>
      <c r="B6" s="164">
        <v>10000000000</v>
      </c>
      <c r="C6" s="161"/>
      <c r="D6" s="165" t="s">
        <v>64</v>
      </c>
      <c r="E6" s="166"/>
      <c r="F6" s="167"/>
      <c r="G6" s="167"/>
      <c r="H6" s="167"/>
      <c r="I6" s="167"/>
      <c r="J6" s="167"/>
    </row>
    <row r="7" spans="1:11" ht="15.75" x14ac:dyDescent="0.25">
      <c r="A7" s="168" t="s">
        <v>65</v>
      </c>
      <c r="B7" s="169">
        <v>1</v>
      </c>
      <c r="C7" s="161"/>
      <c r="D7" s="919" t="s">
        <v>66</v>
      </c>
      <c r="E7" s="920"/>
      <c r="F7" s="920"/>
      <c r="G7" s="920"/>
      <c r="H7" s="920"/>
      <c r="I7" s="920"/>
      <c r="J7" s="921"/>
    </row>
    <row r="8" spans="1:11" ht="15.75" x14ac:dyDescent="0.25">
      <c r="A8" s="170" t="s">
        <v>67</v>
      </c>
      <c r="B8" s="171">
        <v>1</v>
      </c>
      <c r="C8" s="161"/>
      <c r="D8" s="920"/>
      <c r="E8" s="920"/>
      <c r="F8" s="920"/>
      <c r="G8" s="920"/>
      <c r="H8" s="920"/>
      <c r="I8" s="920"/>
      <c r="J8" s="921"/>
    </row>
    <row r="9" spans="1:11" ht="15.75" x14ac:dyDescent="0.25">
      <c r="A9" s="170" t="s">
        <v>68</v>
      </c>
      <c r="B9" s="171">
        <v>0.9</v>
      </c>
      <c r="C9" s="161"/>
      <c r="D9" s="920"/>
      <c r="E9" s="920"/>
      <c r="F9" s="920"/>
      <c r="G9" s="920"/>
      <c r="H9" s="920"/>
      <c r="I9" s="920"/>
      <c r="J9" s="921"/>
    </row>
    <row r="10" spans="1:11" ht="15.75" x14ac:dyDescent="0.25">
      <c r="A10" s="172" t="s">
        <v>69</v>
      </c>
      <c r="B10" s="173">
        <v>0.9</v>
      </c>
      <c r="C10" s="161"/>
      <c r="D10" s="920"/>
      <c r="E10" s="920"/>
      <c r="F10" s="920"/>
      <c r="G10" s="920"/>
      <c r="H10" s="920"/>
      <c r="I10" s="920"/>
      <c r="J10" s="921"/>
    </row>
    <row r="11" spans="1:11" ht="15.75" x14ac:dyDescent="0.25">
      <c r="A11" s="174" t="s">
        <v>70</v>
      </c>
      <c r="B11" s="175">
        <v>0</v>
      </c>
      <c r="C11" s="161"/>
      <c r="D11" s="922"/>
      <c r="E11" s="922"/>
      <c r="F11" s="922"/>
      <c r="G11" s="922"/>
      <c r="H11" s="922"/>
      <c r="I11" s="922"/>
      <c r="J11" s="921"/>
    </row>
    <row r="12" spans="1:11" ht="15.75" x14ac:dyDescent="0.25">
      <c r="A12" s="162"/>
      <c r="B12" s="162"/>
      <c r="C12" s="161"/>
      <c r="D12" s="922"/>
      <c r="E12" s="922"/>
      <c r="F12" s="922"/>
      <c r="G12" s="922"/>
      <c r="H12" s="922"/>
      <c r="I12" s="922"/>
      <c r="J12" s="921"/>
    </row>
    <row r="13" spans="1:11" ht="15.75" x14ac:dyDescent="0.25">
      <c r="A13" s="176" t="s">
        <v>71</v>
      </c>
      <c r="B13" s="306" t="s">
        <v>283</v>
      </c>
      <c r="C13" s="161"/>
      <c r="D13" s="922"/>
      <c r="E13" s="922"/>
      <c r="F13" s="922"/>
      <c r="G13" s="922"/>
      <c r="H13" s="922"/>
      <c r="I13" s="922"/>
      <c r="J13" s="921"/>
    </row>
    <row r="14" spans="1:11" ht="15.75" x14ac:dyDescent="0.25">
      <c r="A14" s="178" t="s">
        <v>73</v>
      </c>
      <c r="B14" s="460">
        <f>G45</f>
        <v>107834</v>
      </c>
      <c r="C14" s="161"/>
      <c r="D14" s="922"/>
      <c r="E14" s="922"/>
      <c r="F14" s="922"/>
      <c r="G14" s="922"/>
      <c r="H14" s="922"/>
      <c r="I14" s="922"/>
      <c r="J14" s="921"/>
    </row>
    <row r="15" spans="1:11" ht="15.75" x14ac:dyDescent="0.25">
      <c r="A15" s="178" t="s">
        <v>74</v>
      </c>
      <c r="B15" s="460">
        <f>I45</f>
        <v>101000</v>
      </c>
      <c r="C15" s="161"/>
      <c r="D15" s="922"/>
      <c r="E15" s="922"/>
      <c r="F15" s="922"/>
      <c r="G15" s="922"/>
      <c r="H15" s="922"/>
      <c r="I15" s="922"/>
      <c r="J15" s="921"/>
    </row>
    <row r="16" spans="1:11" ht="15.75" x14ac:dyDescent="0.25">
      <c r="A16" s="180" t="s">
        <v>75</v>
      </c>
      <c r="B16" s="460" t="s">
        <v>41</v>
      </c>
      <c r="C16" s="161"/>
      <c r="D16" s="922"/>
      <c r="E16" s="922"/>
      <c r="F16" s="922"/>
      <c r="G16" s="922"/>
      <c r="H16" s="922"/>
      <c r="I16" s="922"/>
      <c r="J16" s="921"/>
    </row>
    <row r="17" spans="1:11" ht="15.75" x14ac:dyDescent="0.25">
      <c r="A17" s="461" t="s">
        <v>358</v>
      </c>
      <c r="B17" s="179">
        <f>VLOOKUP($B$13,$A$29:$J$45,7,FALSE)</f>
        <v>107834</v>
      </c>
      <c r="C17" s="161" t="e">
        <f>MATCH(A17,A30:J30,0)</f>
        <v>#N/A</v>
      </c>
      <c r="D17" s="922"/>
      <c r="E17" s="922"/>
      <c r="F17" s="922"/>
      <c r="G17" s="922"/>
      <c r="H17" s="922"/>
      <c r="I17" s="922"/>
      <c r="J17" s="921"/>
    </row>
    <row r="18" spans="1:11" ht="15.75" x14ac:dyDescent="0.25">
      <c r="A18" s="183" t="s">
        <v>52</v>
      </c>
      <c r="B18" s="462" t="s">
        <v>41</v>
      </c>
      <c r="C18" s="161"/>
      <c r="D18" s="922"/>
      <c r="E18" s="922"/>
      <c r="F18" s="922"/>
      <c r="G18" s="922"/>
      <c r="H18" s="922"/>
      <c r="I18" s="922"/>
      <c r="J18" s="921"/>
    </row>
    <row r="19" spans="1:11" ht="15.75" x14ac:dyDescent="0.25">
      <c r="A19" s="161"/>
      <c r="B19" s="161"/>
      <c r="C19" s="161"/>
      <c r="D19" s="161"/>
      <c r="E19" s="161"/>
      <c r="F19" s="161"/>
      <c r="G19" s="161"/>
      <c r="H19" s="161"/>
      <c r="I19" s="161"/>
      <c r="J19" s="161"/>
    </row>
    <row r="20" spans="1:11" ht="15.75" x14ac:dyDescent="0.25">
      <c r="A20" s="161"/>
      <c r="B20" s="161"/>
      <c r="C20" s="161"/>
      <c r="D20" s="185" t="s">
        <v>359</v>
      </c>
      <c r="E20" s="463"/>
      <c r="F20" s="187" t="s">
        <v>360</v>
      </c>
      <c r="G20" s="464" t="s">
        <v>361</v>
      </c>
      <c r="H20" s="161"/>
      <c r="I20" s="161"/>
      <c r="J20" s="161"/>
    </row>
    <row r="21" spans="1:11" ht="15.75" x14ac:dyDescent="0.25">
      <c r="A21" s="161"/>
      <c r="B21" s="161"/>
      <c r="C21" s="161"/>
      <c r="D21" s="465" t="s">
        <v>80</v>
      </c>
      <c r="E21" s="465" t="s">
        <v>362</v>
      </c>
      <c r="F21" s="466" t="s">
        <v>77</v>
      </c>
      <c r="G21" s="466">
        <v>43122</v>
      </c>
      <c r="H21" s="161"/>
      <c r="I21" s="161"/>
      <c r="J21" s="161"/>
    </row>
    <row r="22" spans="1:11" ht="15.75" x14ac:dyDescent="0.25">
      <c r="A22" s="161"/>
      <c r="B22" s="161"/>
      <c r="C22" s="161"/>
      <c r="D22" s="465" t="s">
        <v>85</v>
      </c>
      <c r="E22" s="465" t="s">
        <v>363</v>
      </c>
      <c r="F22" s="466" t="s">
        <v>77</v>
      </c>
      <c r="G22" s="466">
        <v>43122</v>
      </c>
      <c r="H22" s="161"/>
      <c r="I22" s="161"/>
      <c r="J22" s="161"/>
    </row>
    <row r="23" spans="1:11" ht="15.75" x14ac:dyDescent="0.25">
      <c r="A23" s="161"/>
      <c r="B23" s="161"/>
      <c r="C23" s="161"/>
      <c r="D23" s="465" t="s">
        <v>88</v>
      </c>
      <c r="E23" s="465" t="s">
        <v>364</v>
      </c>
      <c r="F23" s="466" t="s">
        <v>77</v>
      </c>
      <c r="G23" s="466">
        <v>43122</v>
      </c>
      <c r="H23" s="161"/>
      <c r="I23" s="161"/>
      <c r="J23" s="161"/>
    </row>
    <row r="24" spans="1:11" ht="15.75" x14ac:dyDescent="0.25">
      <c r="A24" s="161"/>
      <c r="B24" s="161"/>
      <c r="C24" s="161"/>
      <c r="D24" s="465" t="s">
        <v>91</v>
      </c>
      <c r="E24" s="467" t="s">
        <v>365</v>
      </c>
      <c r="F24" s="466"/>
      <c r="G24" s="466"/>
      <c r="H24" s="161"/>
      <c r="I24" s="161"/>
      <c r="J24" s="161"/>
    </row>
    <row r="25" spans="1:11" ht="15.75" x14ac:dyDescent="0.25">
      <c r="A25" s="161"/>
      <c r="B25" s="161"/>
      <c r="C25" s="161"/>
      <c r="D25" s="465" t="s">
        <v>94</v>
      </c>
      <c r="E25" s="467" t="s">
        <v>366</v>
      </c>
      <c r="F25" s="468"/>
      <c r="G25" s="466"/>
      <c r="H25" s="161"/>
      <c r="I25" s="161"/>
      <c r="J25" s="161"/>
    </row>
    <row r="26" spans="1:11" ht="15.75" x14ac:dyDescent="0.25">
      <c r="A26" s="161"/>
      <c r="B26" s="161"/>
      <c r="C26" s="161"/>
      <c r="D26" s="161"/>
      <c r="E26" s="161"/>
      <c r="F26" s="161"/>
      <c r="G26" s="161"/>
      <c r="H26" s="161"/>
      <c r="I26" s="161"/>
      <c r="J26" s="161"/>
    </row>
    <row r="27" spans="1:11" ht="15.75" x14ac:dyDescent="0.25">
      <c r="A27" s="162"/>
      <c r="B27" s="162"/>
      <c r="C27" s="161"/>
      <c r="D27" s="161"/>
      <c r="E27" s="161"/>
      <c r="F27" s="161"/>
      <c r="G27" s="161"/>
      <c r="H27" s="161"/>
      <c r="I27" s="161"/>
      <c r="J27" s="161"/>
    </row>
    <row r="28" spans="1:11" ht="15.75" x14ac:dyDescent="0.25">
      <c r="A28" s="188" t="s">
        <v>79</v>
      </c>
      <c r="B28" s="188"/>
      <c r="C28" s="162"/>
      <c r="D28" s="162"/>
      <c r="E28" s="162"/>
      <c r="F28" s="162"/>
      <c r="G28" s="162"/>
      <c r="H28" s="162"/>
      <c r="I28" s="162"/>
      <c r="J28" s="161"/>
    </row>
    <row r="29" spans="1:11" ht="28.15" customHeight="1" x14ac:dyDescent="0.25">
      <c r="A29" s="331"/>
      <c r="B29" s="923" t="s">
        <v>367</v>
      </c>
      <c r="C29" s="924"/>
      <c r="D29" s="925" t="s">
        <v>368</v>
      </c>
      <c r="E29" s="926"/>
      <c r="F29" s="927" t="s">
        <v>369</v>
      </c>
      <c r="G29" s="928"/>
      <c r="H29" s="213"/>
      <c r="I29" s="213"/>
      <c r="J29" s="213"/>
    </row>
    <row r="30" spans="1:11" x14ac:dyDescent="0.2">
      <c r="A30" s="317" t="s">
        <v>82</v>
      </c>
      <c r="B30" s="469" t="s">
        <v>73</v>
      </c>
      <c r="C30" s="469" t="s">
        <v>370</v>
      </c>
      <c r="D30" s="470" t="s">
        <v>73</v>
      </c>
      <c r="E30" s="470" t="s">
        <v>370</v>
      </c>
      <c r="F30" s="471" t="s">
        <v>73</v>
      </c>
      <c r="G30" s="471" t="s">
        <v>370</v>
      </c>
      <c r="H30" s="471" t="s">
        <v>371</v>
      </c>
      <c r="I30" s="461" t="s">
        <v>74</v>
      </c>
      <c r="J30" s="461" t="s">
        <v>372</v>
      </c>
      <c r="K30" s="461" t="s">
        <v>75</v>
      </c>
    </row>
    <row r="31" spans="1:11" hidden="1" x14ac:dyDescent="0.2">
      <c r="A31" s="317" t="s">
        <v>373</v>
      </c>
      <c r="B31" s="472">
        <v>43200</v>
      </c>
      <c r="C31" s="472">
        <f>B31</f>
        <v>43200</v>
      </c>
      <c r="D31" s="473">
        <v>700</v>
      </c>
      <c r="E31" s="473">
        <f>D31</f>
        <v>700</v>
      </c>
      <c r="F31" s="474">
        <f t="shared" ref="F31:F46" si="0">B31+D31</f>
        <v>43900</v>
      </c>
      <c r="G31" s="474">
        <f>F31</f>
        <v>43900</v>
      </c>
      <c r="H31" s="405">
        <v>165000</v>
      </c>
      <c r="I31" s="475"/>
      <c r="J31" s="476">
        <f>G31/H31</f>
        <v>0.26606060606060605</v>
      </c>
    </row>
    <row r="32" spans="1:11" hidden="1" x14ac:dyDescent="0.2">
      <c r="A32" s="317" t="s">
        <v>317</v>
      </c>
      <c r="B32" s="472">
        <v>55700</v>
      </c>
      <c r="C32" s="472">
        <f>C31+B32</f>
        <v>98900</v>
      </c>
      <c r="D32" s="473">
        <v>4500</v>
      </c>
      <c r="E32" s="473">
        <f>E31+D32</f>
        <v>5200</v>
      </c>
      <c r="F32" s="474">
        <f t="shared" si="0"/>
        <v>60200</v>
      </c>
      <c r="G32" s="474">
        <f>G31+F32</f>
        <v>104100</v>
      </c>
      <c r="H32" s="405">
        <v>165000</v>
      </c>
      <c r="I32" s="475"/>
      <c r="J32" s="476">
        <f>G32/H32</f>
        <v>0.63090909090909086</v>
      </c>
    </row>
    <row r="33" spans="1:11" hidden="1" x14ac:dyDescent="0.2">
      <c r="A33" s="317" t="s">
        <v>321</v>
      </c>
      <c r="B33" s="472">
        <v>36031</v>
      </c>
      <c r="C33" s="472">
        <f>C32+B33</f>
        <v>134931</v>
      </c>
      <c r="D33" s="473">
        <v>4518</v>
      </c>
      <c r="E33" s="473">
        <f>E32+D33</f>
        <v>9718</v>
      </c>
      <c r="F33" s="474">
        <f t="shared" si="0"/>
        <v>40549</v>
      </c>
      <c r="G33" s="474">
        <f>G32+F33</f>
        <v>144649</v>
      </c>
      <c r="H33" s="405">
        <v>165000</v>
      </c>
      <c r="I33" s="475"/>
      <c r="J33" s="476">
        <f>G33/H33</f>
        <v>0.87666060606060603</v>
      </c>
    </row>
    <row r="34" spans="1:11" hidden="1" x14ac:dyDescent="0.2">
      <c r="A34" s="317" t="s">
        <v>139</v>
      </c>
      <c r="B34" s="472">
        <v>31700</v>
      </c>
      <c r="C34" s="472">
        <v>166631</v>
      </c>
      <c r="D34" s="473">
        <v>930</v>
      </c>
      <c r="E34" s="473">
        <v>10648</v>
      </c>
      <c r="F34" s="474">
        <f t="shared" si="0"/>
        <v>32630</v>
      </c>
      <c r="G34" s="474">
        <f>G33+F34</f>
        <v>177279</v>
      </c>
      <c r="H34" s="405">
        <v>165000</v>
      </c>
      <c r="I34" s="475"/>
      <c r="J34" s="476">
        <f>G34/H34</f>
        <v>1.0744181818181817</v>
      </c>
    </row>
    <row r="35" spans="1:11" s="213" customFormat="1" hidden="1" x14ac:dyDescent="0.2">
      <c r="A35" s="314" t="s">
        <v>325</v>
      </c>
      <c r="B35" s="472">
        <v>2500</v>
      </c>
      <c r="C35" s="472">
        <f>B35</f>
        <v>2500</v>
      </c>
      <c r="D35" s="473">
        <v>1400</v>
      </c>
      <c r="E35" s="477">
        <f>D35</f>
        <v>1400</v>
      </c>
      <c r="F35" s="474">
        <f t="shared" si="0"/>
        <v>3900</v>
      </c>
      <c r="G35" s="474">
        <f>F35</f>
        <v>3900</v>
      </c>
      <c r="H35" s="405">
        <v>300000</v>
      </c>
      <c r="I35" s="475">
        <v>44000</v>
      </c>
      <c r="J35" s="476">
        <f>G35/H35</f>
        <v>1.2999999999999999E-2</v>
      </c>
    </row>
    <row r="36" spans="1:11" s="213" customFormat="1" hidden="1" x14ac:dyDescent="0.2">
      <c r="A36" s="314" t="s">
        <v>326</v>
      </c>
      <c r="B36" s="472">
        <v>3300</v>
      </c>
      <c r="C36" s="472">
        <f>IF(B36&lt;&gt;0,C35+B36,"")</f>
        <v>5800</v>
      </c>
      <c r="D36" s="473">
        <v>10</v>
      </c>
      <c r="E36" s="473">
        <f>IF(D36&lt;&gt;0,E35+D36,"")</f>
        <v>1410</v>
      </c>
      <c r="F36" s="474">
        <f t="shared" si="0"/>
        <v>3310</v>
      </c>
      <c r="G36" s="474">
        <f>IF(F36&lt;&gt;0,G35+F36,"")</f>
        <v>7210</v>
      </c>
      <c r="H36" s="405">
        <v>300000</v>
      </c>
      <c r="I36" s="475">
        <v>44000</v>
      </c>
      <c r="J36" s="476">
        <f>IF(G36&lt;&gt;"",G36/H36,"")</f>
        <v>2.4033333333333334E-2</v>
      </c>
    </row>
    <row r="37" spans="1:11" s="213" customFormat="1" hidden="1" x14ac:dyDescent="0.2">
      <c r="A37" s="314" t="s">
        <v>327</v>
      </c>
      <c r="B37" s="472">
        <v>5700</v>
      </c>
      <c r="C37" s="472">
        <f>IF(B37&lt;&gt;0,C36+B37,"")</f>
        <v>11500</v>
      </c>
      <c r="D37" s="473">
        <v>10</v>
      </c>
      <c r="E37" s="473">
        <f>IF(D37&lt;&gt;0,E36+D37,"")</f>
        <v>1420</v>
      </c>
      <c r="F37" s="474">
        <f t="shared" si="0"/>
        <v>5710</v>
      </c>
      <c r="G37" s="474">
        <f>IF(F37&lt;&gt;0,G36+F37,"")</f>
        <v>12920</v>
      </c>
      <c r="H37" s="405">
        <v>300000</v>
      </c>
      <c r="I37" s="475">
        <v>44000</v>
      </c>
      <c r="J37" s="476">
        <f>IF(G37&lt;&gt;"",G37/H37,"")</f>
        <v>4.306666666666667E-2</v>
      </c>
    </row>
    <row r="38" spans="1:11" s="317" customFormat="1" ht="12.75" x14ac:dyDescent="0.2">
      <c r="A38" s="317" t="s">
        <v>328</v>
      </c>
      <c r="B38" s="469">
        <v>36886</v>
      </c>
      <c r="C38" s="469">
        <v>48848</v>
      </c>
      <c r="D38" s="473">
        <v>4179</v>
      </c>
      <c r="E38" s="473">
        <v>5621</v>
      </c>
      <c r="F38" s="474">
        <f t="shared" si="0"/>
        <v>41065</v>
      </c>
      <c r="G38" s="474">
        <v>54469</v>
      </c>
      <c r="H38" s="405">
        <v>300000</v>
      </c>
      <c r="I38" s="475">
        <v>45000</v>
      </c>
      <c r="J38" s="476">
        <f t="shared" ref="J38:J46" si="1">IF(G38&lt;&gt;"",G38/I38,"")</f>
        <v>1.2104222222222223</v>
      </c>
      <c r="K38" s="317" t="str">
        <f>IF(J38="","",IF(J38&gt;=$B$7,"Green",IF(J38&gt;=$B$9, "Amber",IF(J38&gt;=$B$11,"Red"))))</f>
        <v>Green</v>
      </c>
    </row>
    <row r="39" spans="1:11" s="328" customFormat="1" ht="12.75" hidden="1" x14ac:dyDescent="0.2">
      <c r="A39" s="328" t="s">
        <v>329</v>
      </c>
      <c r="B39" s="469">
        <v>6864</v>
      </c>
      <c r="C39" s="469">
        <f>IF(B39="","",C38+B39)</f>
        <v>55712</v>
      </c>
      <c r="D39" s="473">
        <v>35</v>
      </c>
      <c r="E39" s="473">
        <f>IF(D39&lt;&gt;0,E38+D39,"")</f>
        <v>5656</v>
      </c>
      <c r="F39" s="478">
        <f t="shared" si="0"/>
        <v>6899</v>
      </c>
      <c r="G39" s="474">
        <f>IF(F39&lt;&gt;0,G38+F39,"")</f>
        <v>61368</v>
      </c>
      <c r="H39" s="405">
        <v>300000</v>
      </c>
      <c r="I39" s="479">
        <v>58000</v>
      </c>
      <c r="J39" s="476">
        <f t="shared" si="1"/>
        <v>1.0580689655172413</v>
      </c>
      <c r="K39" s="317" t="str">
        <f t="shared" ref="K39:K46" si="2">IF(J39="","",IF(J39&gt;=$B$7,"Green",IF(J39&gt;=$B$9, "Amber",IF(J39&gt;=$B$11,"Red"))))</f>
        <v>Green</v>
      </c>
    </row>
    <row r="40" spans="1:11" s="328" customFormat="1" ht="12.75" hidden="1" x14ac:dyDescent="0.2">
      <c r="A40" s="328" t="s">
        <v>330</v>
      </c>
      <c r="B40" s="469">
        <v>7810</v>
      </c>
      <c r="C40" s="480">
        <f>C39+B40</f>
        <v>63522</v>
      </c>
      <c r="D40" s="473">
        <v>0</v>
      </c>
      <c r="E40" s="473">
        <v>5655</v>
      </c>
      <c r="F40" s="470">
        <f t="shared" si="0"/>
        <v>7810</v>
      </c>
      <c r="G40" s="474">
        <f>IF(F40&lt;&gt;0,G39+F40,"")</f>
        <v>69178</v>
      </c>
      <c r="H40" s="405">
        <v>300000</v>
      </c>
      <c r="I40" s="481">
        <v>60000</v>
      </c>
      <c r="J40" s="476">
        <f t="shared" si="1"/>
        <v>1.1529666666666667</v>
      </c>
      <c r="K40" s="317" t="str">
        <f t="shared" si="2"/>
        <v>Green</v>
      </c>
    </row>
    <row r="41" spans="1:11" s="328" customFormat="1" ht="12.75" hidden="1" x14ac:dyDescent="0.2">
      <c r="A41" s="328" t="s">
        <v>331</v>
      </c>
      <c r="B41" s="469">
        <v>5520</v>
      </c>
      <c r="C41" s="480">
        <f>C40+B41</f>
        <v>69042</v>
      </c>
      <c r="D41" s="473">
        <v>2</v>
      </c>
      <c r="E41" s="473">
        <v>5655</v>
      </c>
      <c r="F41" s="473">
        <f t="shared" si="0"/>
        <v>5522</v>
      </c>
      <c r="G41" s="474">
        <f>IF(F41&lt;&gt;0,G40+F41,"")</f>
        <v>74700</v>
      </c>
      <c r="H41" s="405">
        <v>300000</v>
      </c>
      <c r="I41" s="482">
        <v>70000</v>
      </c>
      <c r="J41" s="476">
        <f t="shared" si="1"/>
        <v>1.0671428571428572</v>
      </c>
      <c r="K41" s="317" t="str">
        <f t="shared" si="2"/>
        <v>Green</v>
      </c>
    </row>
    <row r="42" spans="1:11" s="328" customFormat="1" ht="12.75" x14ac:dyDescent="0.2">
      <c r="A42" s="328" t="s">
        <v>332</v>
      </c>
      <c r="B42" s="469">
        <v>19409</v>
      </c>
      <c r="C42" s="480">
        <v>88451</v>
      </c>
      <c r="D42" s="473">
        <v>2877</v>
      </c>
      <c r="E42" s="473">
        <v>8532</v>
      </c>
      <c r="F42" s="473">
        <f t="shared" si="0"/>
        <v>22286</v>
      </c>
      <c r="G42" s="474">
        <v>96986</v>
      </c>
      <c r="H42" s="405">
        <v>300000</v>
      </c>
      <c r="I42" s="482">
        <v>89000</v>
      </c>
      <c r="J42" s="476">
        <f t="shared" si="1"/>
        <v>1.0897303370786517</v>
      </c>
      <c r="K42" s="317" t="str">
        <f t="shared" si="2"/>
        <v>Green</v>
      </c>
    </row>
    <row r="43" spans="1:11" s="328" customFormat="1" ht="12.75" x14ac:dyDescent="0.2">
      <c r="A43" s="328" t="s">
        <v>333</v>
      </c>
      <c r="B43" s="483">
        <v>2665</v>
      </c>
      <c r="C43" s="480">
        <f>C42+B43</f>
        <v>91116</v>
      </c>
      <c r="D43" s="483">
        <v>0</v>
      </c>
      <c r="E43" s="473">
        <f>E42+D43</f>
        <v>8532</v>
      </c>
      <c r="F43" s="473">
        <f t="shared" si="0"/>
        <v>2665</v>
      </c>
      <c r="G43" s="474">
        <f>IF(F43&lt;&gt;0,G42+F43,"")</f>
        <v>99651</v>
      </c>
      <c r="H43" s="405">
        <v>300000</v>
      </c>
      <c r="I43" s="473">
        <v>99000</v>
      </c>
      <c r="J43" s="476">
        <f t="shared" si="1"/>
        <v>1.0065757575757577</v>
      </c>
      <c r="K43" s="317" t="str">
        <f t="shared" si="2"/>
        <v>Green</v>
      </c>
    </row>
    <row r="44" spans="1:11" s="328" customFormat="1" ht="12.75" x14ac:dyDescent="0.2">
      <c r="A44" s="328" t="s">
        <v>334</v>
      </c>
      <c r="B44" s="483">
        <v>1563</v>
      </c>
      <c r="C44" s="480">
        <f>C43+B44</f>
        <v>92679</v>
      </c>
      <c r="D44" s="483">
        <v>0</v>
      </c>
      <c r="E44" s="473">
        <f>E43+D44</f>
        <v>8532</v>
      </c>
      <c r="F44" s="473">
        <f t="shared" si="0"/>
        <v>1563</v>
      </c>
      <c r="G44" s="474">
        <f>IF(F44&lt;&gt;0,G43+F44,"")</f>
        <v>101214</v>
      </c>
      <c r="H44" s="405">
        <v>300000</v>
      </c>
      <c r="I44" s="473">
        <v>100000</v>
      </c>
      <c r="J44" s="476">
        <f t="shared" si="1"/>
        <v>1.01214</v>
      </c>
      <c r="K44" s="317" t="str">
        <f t="shared" si="2"/>
        <v>Green</v>
      </c>
    </row>
    <row r="45" spans="1:11" s="328" customFormat="1" ht="12.75" x14ac:dyDescent="0.2">
      <c r="A45" s="328" t="s">
        <v>283</v>
      </c>
      <c r="B45" s="483">
        <f>10779-B44-B43</f>
        <v>6551</v>
      </c>
      <c r="C45" s="480">
        <f>C44+B45</f>
        <v>99230</v>
      </c>
      <c r="D45" s="483">
        <v>69</v>
      </c>
      <c r="E45" s="473">
        <f>E44+D45</f>
        <v>8601</v>
      </c>
      <c r="F45" s="473">
        <f t="shared" si="0"/>
        <v>6620</v>
      </c>
      <c r="G45" s="474">
        <f>IF(F45&lt;&gt;0,G44+F45,"")</f>
        <v>107834</v>
      </c>
      <c r="H45" s="405">
        <v>300000</v>
      </c>
      <c r="I45" s="473">
        <v>101000</v>
      </c>
      <c r="J45" s="476">
        <f t="shared" si="1"/>
        <v>1.0676633663366337</v>
      </c>
      <c r="K45" s="317" t="str">
        <f t="shared" si="2"/>
        <v>Green</v>
      </c>
    </row>
    <row r="46" spans="1:11" s="328" customFormat="1" ht="12.75" x14ac:dyDescent="0.2">
      <c r="A46" s="328" t="s">
        <v>335</v>
      </c>
      <c r="B46" s="483"/>
      <c r="C46" s="480">
        <f>C45+B46</f>
        <v>99230</v>
      </c>
      <c r="D46" s="483"/>
      <c r="E46" s="473">
        <f>E45+D46</f>
        <v>8601</v>
      </c>
      <c r="F46" s="473">
        <f t="shared" si="0"/>
        <v>0</v>
      </c>
      <c r="G46" s="474" t="str">
        <f>IF(F46&lt;&gt;0,G45+F46,"")</f>
        <v/>
      </c>
      <c r="H46" s="405">
        <v>300000</v>
      </c>
      <c r="I46" s="473">
        <v>140000</v>
      </c>
      <c r="J46" s="476" t="str">
        <f t="shared" si="1"/>
        <v/>
      </c>
      <c r="K46" s="317" t="str">
        <f t="shared" si="2"/>
        <v/>
      </c>
    </row>
    <row r="47" spans="1:11" ht="15.75" x14ac:dyDescent="0.25">
      <c r="A47" s="161"/>
      <c r="B47" s="161"/>
      <c r="C47" s="484"/>
      <c r="D47" s="161"/>
      <c r="E47" s="161"/>
      <c r="F47" s="161"/>
      <c r="G47" s="161"/>
      <c r="H47" s="161"/>
      <c r="I47" s="161"/>
      <c r="J47" s="161"/>
    </row>
    <row r="48" spans="1:11" ht="15.75" x14ac:dyDescent="0.25">
      <c r="A48" s="907" t="s">
        <v>374</v>
      </c>
      <c r="B48" s="906"/>
      <c r="C48" s="906"/>
      <c r="D48" s="906"/>
      <c r="E48" s="161"/>
      <c r="F48" s="161"/>
      <c r="G48" s="161"/>
      <c r="H48" s="161"/>
      <c r="I48" s="161"/>
      <c r="J48" s="161"/>
    </row>
    <row r="49" spans="1:10" ht="38.25" hidden="1" x14ac:dyDescent="0.25">
      <c r="A49" s="206"/>
      <c r="B49" s="485" t="s">
        <v>375</v>
      </c>
      <c r="C49" s="161"/>
      <c r="D49" s="161"/>
      <c r="E49" s="161"/>
      <c r="F49" s="161"/>
      <c r="G49" s="161"/>
      <c r="H49" s="161"/>
      <c r="I49" s="161"/>
    </row>
    <row r="50" spans="1:10" s="487" customFormat="1" ht="77.25" hidden="1" x14ac:dyDescent="0.25">
      <c r="A50" s="415" t="s">
        <v>376</v>
      </c>
      <c r="B50" s="486">
        <v>5520</v>
      </c>
      <c r="D50" s="488"/>
      <c r="E50" s="488"/>
      <c r="F50" s="488"/>
      <c r="G50" s="488"/>
      <c r="H50" s="488"/>
      <c r="I50" s="488"/>
    </row>
    <row r="51" spans="1:10" s="487" customFormat="1" ht="64.5" hidden="1" x14ac:dyDescent="0.25">
      <c r="A51" s="415" t="s">
        <v>377</v>
      </c>
      <c r="B51" s="489">
        <v>2</v>
      </c>
      <c r="D51" s="488"/>
      <c r="E51" s="488"/>
      <c r="F51" s="488"/>
      <c r="G51" s="488"/>
      <c r="H51" s="488"/>
      <c r="I51" s="488"/>
    </row>
    <row r="52" spans="1:10" s="487" customFormat="1" ht="64.5" hidden="1" x14ac:dyDescent="0.25">
      <c r="A52" s="415" t="s">
        <v>378</v>
      </c>
      <c r="B52" s="486">
        <v>11400</v>
      </c>
      <c r="C52" s="487" t="s">
        <v>379</v>
      </c>
      <c r="D52" s="488"/>
      <c r="E52" s="488"/>
      <c r="F52" s="488"/>
      <c r="G52" s="488"/>
      <c r="H52" s="488"/>
      <c r="I52" s="488"/>
    </row>
    <row r="53" spans="1:10" s="487" customFormat="1" ht="64.5" hidden="1" x14ac:dyDescent="0.25">
      <c r="A53" s="415" t="s">
        <v>380</v>
      </c>
      <c r="B53" s="486">
        <v>200</v>
      </c>
      <c r="C53" s="487" t="s">
        <v>381</v>
      </c>
      <c r="D53" s="488"/>
      <c r="E53" s="488"/>
      <c r="F53" s="488"/>
      <c r="G53" s="488"/>
      <c r="H53" s="488"/>
      <c r="I53" s="488"/>
    </row>
    <row r="54" spans="1:10" ht="15.75" hidden="1" x14ac:dyDescent="0.25">
      <c r="E54" s="161"/>
      <c r="F54" s="161"/>
      <c r="G54" s="161"/>
      <c r="H54" s="161"/>
      <c r="I54" s="161"/>
      <c r="J54" s="161"/>
    </row>
    <row r="55" spans="1:10" ht="15.75" x14ac:dyDescent="0.25">
      <c r="E55" s="161"/>
      <c r="F55" s="161"/>
      <c r="G55" s="161"/>
      <c r="H55" s="161"/>
      <c r="I55" s="161"/>
      <c r="J55" s="161"/>
    </row>
    <row r="56" spans="1:10" ht="15.75" x14ac:dyDescent="0.25">
      <c r="A56" s="908" t="s">
        <v>268</v>
      </c>
      <c r="B56" s="909"/>
      <c r="C56" s="909"/>
      <c r="D56" s="909"/>
      <c r="E56" s="909"/>
      <c r="F56" s="906"/>
      <c r="G56" s="906"/>
      <c r="H56" s="161"/>
      <c r="I56" s="161"/>
      <c r="J56" s="161"/>
    </row>
    <row r="57" spans="1:10" ht="15.75" x14ac:dyDescent="0.25">
      <c r="A57" s="910" t="s">
        <v>382</v>
      </c>
      <c r="B57" s="911"/>
      <c r="C57" s="911"/>
      <c r="D57" s="911"/>
      <c r="E57" s="911"/>
      <c r="F57" s="161"/>
      <c r="G57" s="488"/>
      <c r="H57" s="161"/>
      <c r="I57" s="161"/>
      <c r="J57" s="161"/>
    </row>
    <row r="58" spans="1:10" x14ac:dyDescent="0.2">
      <c r="A58" s="911"/>
      <c r="B58" s="911"/>
      <c r="C58" s="911"/>
      <c r="D58" s="911"/>
      <c r="E58" s="911"/>
    </row>
    <row r="59" spans="1:10" x14ac:dyDescent="0.2">
      <c r="A59" s="911"/>
      <c r="B59" s="911"/>
      <c r="C59" s="911"/>
      <c r="D59" s="911"/>
      <c r="E59" s="911"/>
    </row>
    <row r="60" spans="1:10" x14ac:dyDescent="0.2">
      <c r="A60" s="911"/>
      <c r="B60" s="911"/>
      <c r="C60" s="911"/>
      <c r="D60" s="911"/>
      <c r="E60" s="911"/>
    </row>
    <row r="61" spans="1:10" x14ac:dyDescent="0.2">
      <c r="A61" s="911"/>
      <c r="B61" s="911"/>
      <c r="C61" s="911"/>
      <c r="D61" s="911"/>
      <c r="E61" s="911"/>
    </row>
    <row r="62" spans="1:10" x14ac:dyDescent="0.2">
      <c r="A62" s="911"/>
      <c r="B62" s="911"/>
      <c r="C62" s="911"/>
      <c r="D62" s="911"/>
      <c r="E62" s="911"/>
    </row>
    <row r="63" spans="1:10" x14ac:dyDescent="0.2">
      <c r="A63" s="911"/>
      <c r="B63" s="911"/>
      <c r="C63" s="911"/>
      <c r="D63" s="911"/>
      <c r="E63" s="911"/>
    </row>
    <row r="64" spans="1:10" x14ac:dyDescent="0.2">
      <c r="A64" s="911"/>
      <c r="B64" s="911"/>
      <c r="C64" s="911"/>
      <c r="D64" s="911"/>
      <c r="E64" s="911"/>
    </row>
    <row r="65" spans="1:7" x14ac:dyDescent="0.2">
      <c r="A65" s="911"/>
      <c r="B65" s="911"/>
      <c r="C65" s="911"/>
      <c r="D65" s="911"/>
      <c r="E65" s="911"/>
    </row>
    <row r="67" spans="1:7" ht="15.75" x14ac:dyDescent="0.25">
      <c r="A67" s="912" t="s">
        <v>270</v>
      </c>
      <c r="B67" s="906"/>
      <c r="C67" s="906"/>
      <c r="D67" s="906"/>
      <c r="E67" s="906"/>
      <c r="F67" s="906"/>
      <c r="G67" s="906"/>
    </row>
    <row r="68" spans="1:7" x14ac:dyDescent="0.2">
      <c r="A68" s="211" t="s">
        <v>110</v>
      </c>
      <c r="E68" s="211" t="s">
        <v>111</v>
      </c>
      <c r="G68" s="211" t="s">
        <v>112</v>
      </c>
    </row>
    <row r="69" spans="1:7" ht="30.6" customHeight="1" x14ac:dyDescent="0.25">
      <c r="A69" s="913"/>
      <c r="B69" s="913"/>
      <c r="C69" s="913"/>
      <c r="D69" s="490"/>
      <c r="E69" s="491"/>
      <c r="F69" s="491"/>
      <c r="G69" s="492"/>
    </row>
    <row r="70" spans="1:7" x14ac:dyDescent="0.2">
      <c r="A70" s="493"/>
      <c r="B70" s="493"/>
      <c r="C70" s="493"/>
      <c r="D70" s="494"/>
      <c r="E70" s="493"/>
      <c r="F70" s="494"/>
      <c r="G70" s="493"/>
    </row>
    <row r="71" spans="1:7" ht="15.75" x14ac:dyDescent="0.25">
      <c r="A71" s="904"/>
      <c r="B71" s="904"/>
      <c r="C71" s="904"/>
      <c r="D71" s="490"/>
      <c r="E71" s="495"/>
      <c r="F71" s="496"/>
      <c r="G71" s="497"/>
    </row>
    <row r="72" spans="1:7" x14ac:dyDescent="0.2">
      <c r="A72" s="493"/>
      <c r="B72" s="493"/>
      <c r="C72" s="493"/>
      <c r="D72" s="498"/>
      <c r="E72" s="493"/>
      <c r="F72" s="494"/>
      <c r="G72" s="493"/>
    </row>
    <row r="73" spans="1:7" ht="15.75" x14ac:dyDescent="0.25">
      <c r="A73" s="904"/>
      <c r="B73" s="904"/>
      <c r="C73" s="904"/>
      <c r="D73" s="490"/>
      <c r="E73" s="495"/>
      <c r="F73" s="496"/>
      <c r="G73" s="499"/>
    </row>
    <row r="74" spans="1:7" x14ac:dyDescent="0.2">
      <c r="A74" s="493"/>
      <c r="B74" s="493"/>
      <c r="C74" s="493"/>
      <c r="D74" s="498"/>
      <c r="E74" s="493"/>
      <c r="F74" s="494"/>
      <c r="G74" s="493"/>
    </row>
    <row r="75" spans="1:7" ht="15.75" x14ac:dyDescent="0.25">
      <c r="A75" s="904"/>
      <c r="B75" s="904"/>
      <c r="C75" s="904"/>
      <c r="D75" s="490"/>
      <c r="E75" s="495"/>
      <c r="F75" s="496"/>
      <c r="G75" s="499"/>
    </row>
    <row r="77" spans="1:7" x14ac:dyDescent="0.2">
      <c r="A77" s="905" t="s">
        <v>113</v>
      </c>
      <c r="B77" s="906"/>
      <c r="C77" s="906"/>
      <c r="D77" s="906"/>
      <c r="E77" s="906"/>
      <c r="F77" s="906"/>
    </row>
    <row r="78" spans="1:7" x14ac:dyDescent="0.2">
      <c r="A78" s="906"/>
      <c r="B78" s="906"/>
      <c r="C78" s="906"/>
      <c r="D78" s="906"/>
      <c r="E78" s="906"/>
      <c r="F78" s="906"/>
    </row>
    <row r="79" spans="1:7" x14ac:dyDescent="0.2">
      <c r="A79" s="906"/>
      <c r="B79" s="906"/>
      <c r="C79" s="906"/>
      <c r="D79" s="906"/>
      <c r="E79" s="906"/>
      <c r="F79" s="906"/>
    </row>
    <row r="80" spans="1:7" x14ac:dyDescent="0.2">
      <c r="A80" s="831"/>
      <c r="B80" s="831"/>
      <c r="C80" s="831"/>
      <c r="D80" s="831"/>
      <c r="E80" s="831"/>
      <c r="F80" s="831"/>
    </row>
    <row r="81" spans="1:6" x14ac:dyDescent="0.2">
      <c r="A81" s="831"/>
      <c r="B81" s="831"/>
      <c r="C81" s="831"/>
      <c r="D81" s="831"/>
      <c r="E81" s="831"/>
      <c r="F81" s="831"/>
    </row>
    <row r="82" spans="1:6" x14ac:dyDescent="0.2">
      <c r="A82" s="831"/>
      <c r="B82" s="831"/>
      <c r="C82" s="831"/>
      <c r="D82" s="831"/>
      <c r="E82" s="831"/>
      <c r="F82" s="831"/>
    </row>
    <row r="83" spans="1:6" x14ac:dyDescent="0.2">
      <c r="A83" s="831"/>
      <c r="B83" s="831"/>
      <c r="C83" s="831"/>
      <c r="D83" s="831"/>
      <c r="E83" s="831"/>
      <c r="F83" s="831"/>
    </row>
    <row r="84" spans="1:6" x14ac:dyDescent="0.2">
      <c r="A84" s="831"/>
      <c r="B84" s="831"/>
      <c r="C84" s="831"/>
      <c r="D84" s="831"/>
      <c r="E84" s="831"/>
      <c r="F84" s="831"/>
    </row>
    <row r="85" spans="1:6" x14ac:dyDescent="0.2">
      <c r="A85" s="831"/>
      <c r="B85" s="831"/>
      <c r="C85" s="831"/>
      <c r="D85" s="831"/>
      <c r="E85" s="831"/>
      <c r="F85" s="831"/>
    </row>
    <row r="86" spans="1:6" x14ac:dyDescent="0.2">
      <c r="A86" s="831"/>
      <c r="B86" s="831"/>
      <c r="C86" s="831"/>
      <c r="D86" s="831"/>
      <c r="E86" s="831"/>
      <c r="F86" s="831"/>
    </row>
    <row r="87" spans="1:6" x14ac:dyDescent="0.2">
      <c r="A87" s="831"/>
      <c r="B87" s="831"/>
      <c r="C87" s="831"/>
      <c r="D87" s="831"/>
      <c r="E87" s="831"/>
      <c r="F87" s="831"/>
    </row>
    <row r="88" spans="1:6" x14ac:dyDescent="0.2">
      <c r="A88" s="831"/>
      <c r="B88" s="831"/>
      <c r="C88" s="831"/>
      <c r="D88" s="831"/>
      <c r="E88" s="831"/>
      <c r="F88" s="831"/>
    </row>
    <row r="89" spans="1:6" x14ac:dyDescent="0.2">
      <c r="A89" s="831"/>
      <c r="B89" s="831"/>
      <c r="C89" s="831"/>
      <c r="D89" s="831"/>
      <c r="E89" s="831"/>
      <c r="F89" s="831"/>
    </row>
    <row r="90" spans="1:6" x14ac:dyDescent="0.2">
      <c r="A90" s="831"/>
      <c r="B90" s="831"/>
      <c r="C90" s="831"/>
      <c r="D90" s="831"/>
      <c r="E90" s="831"/>
      <c r="F90" s="831"/>
    </row>
    <row r="91" spans="1:6" x14ac:dyDescent="0.2">
      <c r="A91" s="831"/>
      <c r="B91" s="831"/>
      <c r="C91" s="831"/>
      <c r="D91" s="831"/>
      <c r="E91" s="831"/>
      <c r="F91" s="831"/>
    </row>
    <row r="92" spans="1:6" x14ac:dyDescent="0.2">
      <c r="A92" s="831"/>
      <c r="B92" s="831"/>
      <c r="C92" s="831"/>
      <c r="D92" s="831"/>
      <c r="E92" s="831"/>
      <c r="F92" s="831"/>
    </row>
  </sheetData>
  <sheetProtection selectLockedCells="1"/>
  <mergeCells count="17">
    <mergeCell ref="A1:F1"/>
    <mergeCell ref="A2:G2"/>
    <mergeCell ref="A3:E4"/>
    <mergeCell ref="D7:J18"/>
    <mergeCell ref="B29:C29"/>
    <mergeCell ref="D29:E29"/>
    <mergeCell ref="F29:G29"/>
    <mergeCell ref="A73:C73"/>
    <mergeCell ref="A75:C75"/>
    <mergeCell ref="A77:F79"/>
    <mergeCell ref="A80:F92"/>
    <mergeCell ref="A48:D48"/>
    <mergeCell ref="A56:G56"/>
    <mergeCell ref="A57:E65"/>
    <mergeCell ref="A67:G67"/>
    <mergeCell ref="A69:C69"/>
    <mergeCell ref="A71:C71"/>
  </mergeCells>
  <dataValidations count="9">
    <dataValidation allowBlank="1" showInputMessage="1" showErrorMessage="1" prompt="OM2c" sqref="B52"/>
    <dataValidation allowBlank="1" showInputMessage="1" showErrorMessage="1" prompt="OM3b" sqref="B51"/>
    <dataValidation allowBlank="1" showInputMessage="1" showErrorMessage="1" prompt="OM2b" sqref="B50"/>
    <dataValidation allowBlank="1" showInputMessage="1" showErrorMessage="1" prompt="OM3c" sqref="B53"/>
    <dataValidation allowBlank="1" showInputMessage="1" showErrorMessage="1" prompt="Insert data for this quarter only_x000a_" sqref="D35:D46 B35:B46"/>
    <dataValidation type="list" errorStyle="information" allowBlank="1" showInputMessage="1" showErrorMessage="1" error="Please choose from the list provided" prompt="Please use the drop down list" sqref="B22:B26 B20">
      <formula1>RAG_4EA5</formula1>
    </dataValidation>
    <dataValidation errorStyle="information" allowBlank="1" showInputMessage="1" showErrorMessage="1" error="Please choose from the list provided" prompt="Please use the drop down list" sqref="B21 B19"/>
    <dataValidation errorStyle="information" allowBlank="1" showInputMessage="1" showErrorMessage="1" error="Please choose from the list provided" prompt="Please use the drop down list" sqref="B18"/>
    <dataValidation errorStyle="information" allowBlank="1" showInputMessage="1" showErrorMessage="1" error="Please choose from the list provided" prompt="Please use the drop down list" sqref="B13"/>
  </dataValidations>
  <pageMargins left="0.7" right="0.7" top="0.75" bottom="0.75" header="0.3" footer="0.3"/>
  <pageSetup paperSize="9" orientation="portrait" verticalDpi="12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8"/>
  <sheetViews>
    <sheetView showGridLines="0" showWhiteSpace="0" zoomScaleNormal="100" workbookViewId="0">
      <selection activeCell="G10" sqref="G10:I41"/>
    </sheetView>
  </sheetViews>
  <sheetFormatPr defaultRowHeight="15" x14ac:dyDescent="0.2"/>
  <cols>
    <col min="2" max="2" width="7.44140625" customWidth="1"/>
    <col min="3" max="3" width="10.88671875" customWidth="1"/>
    <col min="6" max="6" width="11.6640625" customWidth="1"/>
  </cols>
  <sheetData>
    <row r="1" spans="1:12" x14ac:dyDescent="0.2">
      <c r="A1" s="448"/>
      <c r="B1" s="448"/>
      <c r="C1" s="448"/>
      <c r="D1" s="448"/>
      <c r="E1" s="448"/>
      <c r="F1" s="448"/>
      <c r="G1" s="448"/>
      <c r="H1" s="448"/>
      <c r="I1" s="448"/>
    </row>
    <row r="2" spans="1:12" x14ac:dyDescent="0.2">
      <c r="A2" s="448"/>
      <c r="B2" s="448"/>
      <c r="C2" s="448"/>
      <c r="D2" s="448"/>
      <c r="E2" s="448"/>
      <c r="F2" s="448"/>
      <c r="G2" s="448"/>
      <c r="H2" s="448"/>
      <c r="I2" s="448"/>
    </row>
    <row r="3" spans="1:12" x14ac:dyDescent="0.2">
      <c r="A3" s="448"/>
      <c r="B3" s="448"/>
      <c r="C3" s="448"/>
      <c r="D3" s="448"/>
      <c r="E3" s="448"/>
      <c r="F3" s="448"/>
      <c r="G3" s="448"/>
      <c r="H3" s="448"/>
      <c r="I3" s="448"/>
    </row>
    <row r="4" spans="1:12" x14ac:dyDescent="0.2">
      <c r="A4" s="448"/>
      <c r="B4" s="448"/>
      <c r="C4" s="448"/>
      <c r="D4" s="448"/>
      <c r="E4" s="448"/>
      <c r="F4" s="448"/>
      <c r="G4" s="448"/>
      <c r="H4" s="448"/>
      <c r="I4" s="448"/>
    </row>
    <row r="5" spans="1:12" x14ac:dyDescent="0.2">
      <c r="A5" s="448"/>
      <c r="B5" s="448"/>
      <c r="C5" s="448"/>
      <c r="D5" s="448"/>
      <c r="E5" s="448"/>
      <c r="F5" s="448"/>
      <c r="G5" s="448"/>
      <c r="H5" s="448"/>
      <c r="I5" s="448"/>
    </row>
    <row r="6" spans="1:12" x14ac:dyDescent="0.2">
      <c r="A6" s="448"/>
      <c r="B6" s="448"/>
      <c r="C6" s="448"/>
      <c r="D6" s="448"/>
      <c r="E6" s="448"/>
      <c r="F6" s="448"/>
      <c r="G6" s="448"/>
      <c r="H6" s="448"/>
      <c r="I6" s="448"/>
    </row>
    <row r="7" spans="1:12" ht="19.5" thickBot="1" x14ac:dyDescent="0.35">
      <c r="A7" s="368" t="s">
        <v>49</v>
      </c>
      <c r="B7" s="368"/>
      <c r="C7" s="368" t="s">
        <v>277</v>
      </c>
      <c r="D7" s="901" t="s">
        <v>51</v>
      </c>
      <c r="E7" s="901"/>
      <c r="F7" s="824" t="s">
        <v>122</v>
      </c>
      <c r="G7" s="824"/>
      <c r="H7" s="944" t="s">
        <v>33</v>
      </c>
      <c r="I7" s="944"/>
    </row>
    <row r="8" spans="1:12" ht="19.5" thickBot="1" x14ac:dyDescent="0.25">
      <c r="A8" s="500" t="str">
        <f>'4 EA 6 Data Sheet'!B16</f>
        <v>Amber</v>
      </c>
      <c r="B8" s="145"/>
      <c r="C8" s="501">
        <f>'4 EA 6 Data Sheet'!B14</f>
        <v>0.96699999999999997</v>
      </c>
      <c r="D8" s="945">
        <f>'4 EA 6 Data Sheet'!B15</f>
        <v>0.97299999999999998</v>
      </c>
      <c r="E8" s="945"/>
      <c r="F8" s="147" t="str">
        <f>'4 EA 6 Data Sheet'!B18</f>
        <v>Green</v>
      </c>
      <c r="G8" s="148"/>
      <c r="H8" s="946">
        <v>0.97499999999999998</v>
      </c>
      <c r="I8" s="946"/>
    </row>
    <row r="9" spans="1:12" ht="15.75" x14ac:dyDescent="0.25">
      <c r="A9" s="149"/>
      <c r="B9" s="150"/>
      <c r="C9" s="150"/>
      <c r="D9" s="150"/>
      <c r="E9" s="150"/>
      <c r="F9" s="150"/>
      <c r="G9" s="150"/>
      <c r="H9" s="150"/>
      <c r="I9" s="149"/>
    </row>
    <row r="10" spans="1:12" ht="15.75" x14ac:dyDescent="0.2">
      <c r="A10" s="889" t="s">
        <v>383</v>
      </c>
      <c r="B10" s="890"/>
      <c r="C10" s="890"/>
      <c r="D10" s="890"/>
      <c r="E10" s="890"/>
      <c r="F10" s="890"/>
      <c r="G10" s="855" t="str">
        <f>'4 EA 6 Data Sheet'!A50</f>
        <v>We are forecasting to achieve the year end target of 97.5%. We have seen a 1% improvement during quarter 3 as repairs are being completed and inspection data is updated. We expect this improvement to continue in February and/or March. There is a risk that extreme weather in April and/or March will both increase the need for repairs and hamper ongoing repair work.  We are closely monitoring the situation to ensure achievable repairs are delivered and we will focus resources onto completion of repairs and re-inspection of repaired assets during quarter 4. 
Where assets are below the required condition this means that work is required, this does not mean that they have structurally failed or that performance in a flood would be compromised. If the performance of an asset is reduced, we will take action to ensure that flood risk is effectively managed until the asset is repaired or replaced.</v>
      </c>
      <c r="H10" s="856"/>
      <c r="I10" s="856"/>
    </row>
    <row r="11" spans="1:12" ht="15.75" x14ac:dyDescent="0.2">
      <c r="D11" s="151"/>
      <c r="E11" s="152"/>
      <c r="F11" s="152"/>
      <c r="G11" s="857"/>
      <c r="H11" s="856"/>
      <c r="I11" s="856"/>
    </row>
    <row r="12" spans="1:12" x14ac:dyDescent="0.2">
      <c r="D12" s="151"/>
      <c r="E12" s="153"/>
      <c r="F12" s="153"/>
      <c r="G12" s="857"/>
      <c r="H12" s="856"/>
      <c r="I12" s="856"/>
    </row>
    <row r="13" spans="1:12" x14ac:dyDescent="0.2">
      <c r="D13" s="151"/>
      <c r="E13" s="153"/>
      <c r="F13" s="153"/>
      <c r="G13" s="857"/>
      <c r="H13" s="856"/>
      <c r="I13" s="856"/>
      <c r="L13" t="s">
        <v>384</v>
      </c>
    </row>
    <row r="14" spans="1:12" x14ac:dyDescent="0.2">
      <c r="D14" s="151"/>
      <c r="E14" s="153"/>
      <c r="F14" s="153"/>
      <c r="G14" s="857"/>
      <c r="H14" s="856"/>
      <c r="I14" s="856"/>
    </row>
    <row r="15" spans="1:12" x14ac:dyDescent="0.2">
      <c r="D15" s="151"/>
      <c r="E15" s="153"/>
      <c r="F15" s="153"/>
      <c r="G15" s="857"/>
      <c r="H15" s="856"/>
      <c r="I15" s="856"/>
    </row>
    <row r="16" spans="1:12" x14ac:dyDescent="0.2">
      <c r="D16" s="151"/>
      <c r="E16" s="153"/>
      <c r="F16" s="153"/>
      <c r="G16" s="857"/>
      <c r="H16" s="856"/>
      <c r="I16" s="856"/>
    </row>
    <row r="17" spans="1:9" x14ac:dyDescent="0.2">
      <c r="D17" s="151"/>
      <c r="E17" s="153"/>
      <c r="F17" s="153"/>
      <c r="G17" s="857"/>
      <c r="H17" s="856"/>
      <c r="I17" s="856"/>
    </row>
    <row r="18" spans="1:9" x14ac:dyDescent="0.2">
      <c r="D18" s="151"/>
      <c r="E18" s="153"/>
      <c r="F18" s="153"/>
      <c r="G18" s="857"/>
      <c r="H18" s="856"/>
      <c r="I18" s="856"/>
    </row>
    <row r="19" spans="1:9" x14ac:dyDescent="0.2">
      <c r="D19" s="151"/>
      <c r="E19" s="153"/>
      <c r="F19" s="153"/>
      <c r="G19" s="857"/>
      <c r="H19" s="856"/>
      <c r="I19" s="856"/>
    </row>
    <row r="20" spans="1:9" x14ac:dyDescent="0.2">
      <c r="D20" s="151"/>
      <c r="E20" s="153"/>
      <c r="F20" s="153"/>
      <c r="G20" s="857"/>
      <c r="H20" s="856"/>
      <c r="I20" s="856"/>
    </row>
    <row r="21" spans="1:9" x14ac:dyDescent="0.2">
      <c r="D21" s="151"/>
      <c r="E21" s="153"/>
      <c r="F21" s="153"/>
      <c r="G21" s="857"/>
      <c r="H21" s="856"/>
      <c r="I21" s="856"/>
    </row>
    <row r="22" spans="1:9" x14ac:dyDescent="0.2">
      <c r="D22" s="151"/>
      <c r="E22" s="153"/>
      <c r="F22" s="153"/>
      <c r="G22" s="857"/>
      <c r="H22" s="856"/>
      <c r="I22" s="856"/>
    </row>
    <row r="23" spans="1:9" x14ac:dyDescent="0.2">
      <c r="D23" s="151"/>
      <c r="E23" s="153"/>
      <c r="F23" s="153"/>
      <c r="G23" s="857"/>
      <c r="H23" s="856"/>
      <c r="I23" s="856"/>
    </row>
    <row r="24" spans="1:9" x14ac:dyDescent="0.2">
      <c r="D24" s="151"/>
      <c r="E24" s="153"/>
      <c r="F24" s="153"/>
      <c r="G24" s="857"/>
      <c r="H24" s="856"/>
      <c r="I24" s="856"/>
    </row>
    <row r="25" spans="1:9" x14ac:dyDescent="0.2">
      <c r="D25" s="151"/>
      <c r="E25" s="153"/>
      <c r="F25" s="153"/>
      <c r="G25" s="857"/>
      <c r="H25" s="856"/>
      <c r="I25" s="856"/>
    </row>
    <row r="26" spans="1:9" ht="15.75" x14ac:dyDescent="0.2">
      <c r="A26" s="889" t="s">
        <v>385</v>
      </c>
      <c r="B26" s="890"/>
      <c r="C26" s="890"/>
      <c r="D26" s="890"/>
      <c r="E26" s="890"/>
      <c r="F26" s="890"/>
      <c r="G26" s="857"/>
      <c r="H26" s="856"/>
      <c r="I26" s="856"/>
    </row>
    <row r="27" spans="1:9" x14ac:dyDescent="0.2">
      <c r="D27" s="151"/>
      <c r="G27" s="857"/>
      <c r="H27" s="856"/>
      <c r="I27" s="856"/>
    </row>
    <row r="28" spans="1:9" ht="15.75" x14ac:dyDescent="0.2">
      <c r="D28" s="151"/>
      <c r="E28" s="152"/>
      <c r="F28" s="152"/>
      <c r="G28" s="857"/>
      <c r="H28" s="856"/>
      <c r="I28" s="856"/>
    </row>
    <row r="29" spans="1:9" x14ac:dyDescent="0.2">
      <c r="D29" s="151"/>
      <c r="E29" s="153"/>
      <c r="F29" s="153"/>
      <c r="G29" s="857"/>
      <c r="H29" s="856"/>
      <c r="I29" s="856"/>
    </row>
    <row r="30" spans="1:9" x14ac:dyDescent="0.2">
      <c r="D30" s="151"/>
      <c r="E30" s="153"/>
      <c r="F30" s="153"/>
      <c r="G30" s="857"/>
      <c r="H30" s="856"/>
      <c r="I30" s="856"/>
    </row>
    <row r="31" spans="1:9" x14ac:dyDescent="0.2">
      <c r="D31" s="151"/>
      <c r="E31" s="153"/>
      <c r="F31" s="153"/>
      <c r="G31" s="857"/>
      <c r="H31" s="856"/>
      <c r="I31" s="856"/>
    </row>
    <row r="32" spans="1:9" x14ac:dyDescent="0.2">
      <c r="D32" s="151"/>
      <c r="E32" s="153"/>
      <c r="F32" s="153"/>
      <c r="G32" s="857"/>
      <c r="H32" s="856"/>
      <c r="I32" s="856"/>
    </row>
    <row r="33" spans="1:10" x14ac:dyDescent="0.2">
      <c r="D33" s="151"/>
      <c r="E33" s="153"/>
      <c r="F33" s="153"/>
      <c r="G33" s="857"/>
      <c r="H33" s="856"/>
      <c r="I33" s="856"/>
    </row>
    <row r="34" spans="1:10" x14ac:dyDescent="0.2">
      <c r="D34" s="151"/>
      <c r="E34" s="153"/>
      <c r="F34" s="153"/>
      <c r="G34" s="857"/>
      <c r="H34" s="856"/>
      <c r="I34" s="856"/>
    </row>
    <row r="35" spans="1:10" x14ac:dyDescent="0.2">
      <c r="D35" s="151"/>
      <c r="E35" s="153"/>
      <c r="F35" s="153"/>
      <c r="G35" s="857"/>
      <c r="H35" s="856"/>
      <c r="I35" s="856"/>
    </row>
    <row r="36" spans="1:10" x14ac:dyDescent="0.2">
      <c r="D36" s="151"/>
      <c r="E36" s="153"/>
      <c r="F36" s="153"/>
      <c r="G36" s="857"/>
      <c r="H36" s="856"/>
      <c r="I36" s="856"/>
    </row>
    <row r="37" spans="1:10" x14ac:dyDescent="0.2">
      <c r="D37" s="151"/>
      <c r="E37" s="153"/>
      <c r="F37" s="153"/>
      <c r="G37" s="857"/>
      <c r="H37" s="856"/>
      <c r="I37" s="856"/>
    </row>
    <row r="38" spans="1:10" x14ac:dyDescent="0.2">
      <c r="D38" s="151"/>
      <c r="E38" s="153"/>
      <c r="F38" s="153"/>
      <c r="G38" s="857"/>
      <c r="H38" s="856"/>
      <c r="I38" s="856"/>
    </row>
    <row r="39" spans="1:10" x14ac:dyDescent="0.2">
      <c r="D39" s="151"/>
      <c r="E39" s="153"/>
      <c r="F39" s="153"/>
      <c r="G39" s="857"/>
      <c r="H39" s="856"/>
      <c r="I39" s="856"/>
    </row>
    <row r="40" spans="1:10" x14ac:dyDescent="0.2">
      <c r="D40" s="151"/>
      <c r="E40" s="153"/>
      <c r="F40" s="153"/>
      <c r="G40" s="857"/>
      <c r="H40" s="856"/>
      <c r="I40" s="856"/>
    </row>
    <row r="41" spans="1:10" ht="31.5" customHeight="1" x14ac:dyDescent="0.2">
      <c r="D41" s="151"/>
      <c r="E41" s="153"/>
      <c r="F41" s="153"/>
      <c r="G41" s="857"/>
      <c r="H41" s="856"/>
      <c r="I41" s="856"/>
    </row>
    <row r="42" spans="1:10" ht="2.4500000000000002" customHeight="1" x14ac:dyDescent="0.2">
      <c r="D42" s="151"/>
      <c r="E42" s="153"/>
      <c r="F42" s="153"/>
      <c r="G42" s="452"/>
      <c r="H42" s="149"/>
      <c r="I42" s="149"/>
    </row>
    <row r="43" spans="1:10" x14ac:dyDescent="0.2">
      <c r="A43" s="895" t="s">
        <v>56</v>
      </c>
      <c r="B43" s="896"/>
      <c r="C43" s="896"/>
      <c r="D43" s="896"/>
      <c r="E43" s="896"/>
      <c r="F43" s="896"/>
      <c r="G43" s="933"/>
      <c r="H43" s="933"/>
      <c r="I43" s="934"/>
    </row>
    <row r="44" spans="1:10" ht="15.75" x14ac:dyDescent="0.25">
      <c r="A44" s="935" t="s">
        <v>57</v>
      </c>
      <c r="B44" s="936"/>
      <c r="C44" s="937"/>
      <c r="D44" s="935"/>
      <c r="E44" s="936"/>
      <c r="F44" s="938"/>
      <c r="G44" s="939" t="s">
        <v>58</v>
      </c>
      <c r="H44" s="939"/>
      <c r="I44" s="502" t="s">
        <v>59</v>
      </c>
    </row>
    <row r="45" spans="1:10" ht="29.25" customHeight="1" x14ac:dyDescent="0.2">
      <c r="A45" s="940" t="str">
        <f>IF('4 EA 6 Data Sheet'!A63=0,"",'4 EA 6 Data Sheet'!A63)</f>
        <v xml:space="preserve">Ensure Area Delivery Board retains tight focus on fixing and updating Below Required Condition (BRC) assets in line with Area agreed targets </v>
      </c>
      <c r="B45" s="940"/>
      <c r="C45" s="940"/>
      <c r="D45" s="940"/>
      <c r="E45" s="940"/>
      <c r="F45" s="941"/>
      <c r="G45" s="942" t="str">
        <f>IF('4 EA 6 Data Sheet'!E63=0,"",'4 EA 6 Data Sheet'!E63)</f>
        <v>Asset Performance &amp; Engineering team</v>
      </c>
      <c r="H45" s="943"/>
      <c r="I45" s="503">
        <f>IF('4 EA 6 Data Sheet'!H63=0,"",'4 EA 6 Data Sheet'!H63)</f>
        <v>43190</v>
      </c>
      <c r="J45" s="153"/>
    </row>
    <row r="46" spans="1:10" ht="27" customHeight="1" x14ac:dyDescent="0.2">
      <c r="A46" s="929" t="str">
        <f>IF('4 EA 6 Data Sheet'!A65=0,"",'4 EA 6 Data Sheet'!A65)</f>
        <v>Asset Network Group provides support and monitoring of the national BRC position monthly</v>
      </c>
      <c r="B46" s="929"/>
      <c r="C46" s="929"/>
      <c r="D46" s="929"/>
      <c r="E46" s="929"/>
      <c r="F46" s="930"/>
      <c r="G46" s="931" t="str">
        <f>IF('4 EA 6 Data Sheet'!E65=0,"",'4 EA 6 Data Sheet'!E65)</f>
        <v>National Operations Manager</v>
      </c>
      <c r="H46" s="932"/>
      <c r="I46" s="503">
        <f>IF('4 EA 6 Data Sheet'!H65=0,"",'4 EA 6 Data Sheet'!H65)</f>
        <v>43190</v>
      </c>
      <c r="J46" s="153"/>
    </row>
    <row r="47" spans="1:10" ht="30" customHeight="1" x14ac:dyDescent="0.2">
      <c r="A47" s="929" t="str">
        <f>IF('4 EA 6 Data Sheet'!A67=0,"",'4 EA 6 Data Sheet'!A67)</f>
        <v>Programme the March asset condition inspections to be completed ahead of March wherever possible to maximise repair time</v>
      </c>
      <c r="B47" s="929"/>
      <c r="C47" s="929"/>
      <c r="D47" s="929"/>
      <c r="E47" s="929"/>
      <c r="F47" s="930"/>
      <c r="G47" s="931" t="str">
        <f>IF('4 EA 6 Data Sheet'!E67=0,"",'4 EA 6 Data Sheet'!E67)</f>
        <v>Area Managers</v>
      </c>
      <c r="H47" s="932"/>
      <c r="I47" s="503">
        <f>IF('4 EA 6 Data Sheet'!H67=0,"",'4 EA 6 Data Sheet'!H67)</f>
        <v>43190</v>
      </c>
    </row>
    <row r="48" spans="1:10" x14ac:dyDescent="0.2">
      <c r="A48" s="929" t="str">
        <f>IF('4 EA 6 Data Sheet'!A69=0,"",'4 EA 6 Data Sheet'!A69)</f>
        <v/>
      </c>
      <c r="B48" s="929"/>
      <c r="C48" s="929"/>
      <c r="D48" s="929"/>
      <c r="E48" s="929"/>
      <c r="F48" s="930"/>
      <c r="G48" s="931" t="str">
        <f>IF('4 EA 6 Data Sheet'!E69=0,"",'4 EA 6 Data Sheet'!E69)</f>
        <v/>
      </c>
      <c r="H48" s="932"/>
      <c r="I48" s="503" t="str">
        <f>IF('4 EA 6 Data Sheet'!H69=0,"",'4 EA 6 Data Sheet'!H69)</f>
        <v/>
      </c>
    </row>
  </sheetData>
  <sheetProtection password="BBC7" sheet="1" objects="1" scenarios="1" selectLockedCells="1" selectUnlockedCells="1"/>
  <mergeCells count="20">
    <mergeCell ref="A10:F10"/>
    <mergeCell ref="G10:I41"/>
    <mergeCell ref="A26:F26"/>
    <mergeCell ref="D7:E7"/>
    <mergeCell ref="F7:G7"/>
    <mergeCell ref="H7:I7"/>
    <mergeCell ref="D8:E8"/>
    <mergeCell ref="H8:I8"/>
    <mergeCell ref="A43:I43"/>
    <mergeCell ref="A44:C44"/>
    <mergeCell ref="D44:F44"/>
    <mergeCell ref="G44:H44"/>
    <mergeCell ref="A45:F45"/>
    <mergeCell ref="G45:H45"/>
    <mergeCell ref="A46:F46"/>
    <mergeCell ref="G46:H46"/>
    <mergeCell ref="A47:F47"/>
    <mergeCell ref="G47:H47"/>
    <mergeCell ref="A48:F48"/>
    <mergeCell ref="G48:H48"/>
  </mergeCells>
  <pageMargins left="0.25" right="0.25" top="0.75" bottom="0.75" header="0.3" footer="0.3"/>
  <pageSetup paperSize="9" scale="93" orientation="portrait" verticalDpi="1200"/>
  <headerFooter>
    <oddFooter>&amp;R&amp;"-,Regular"&amp;10Page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CSC 17-18 Front Page</vt:lpstr>
      <vt:lpstr>1 EA 1    </vt:lpstr>
      <vt:lpstr>1 EA 2</vt:lpstr>
      <vt:lpstr>1 EA 3  </vt:lpstr>
      <vt:lpstr>1 EA 4</vt:lpstr>
      <vt:lpstr>4 EA 5</vt:lpstr>
      <vt:lpstr>4 EA 6</vt:lpstr>
      <vt:lpstr>4 EA 7 </vt:lpstr>
      <vt:lpstr>5 EA 8  </vt:lpstr>
      <vt:lpstr>5 EA 9   </vt:lpstr>
      <vt:lpstr>6 EA 10   </vt:lpstr>
      <vt:lpstr>7 EA 11</vt:lpstr>
      <vt:lpstr>7 EA 12 </vt:lpstr>
      <vt:lpstr>'7 EA 12 '!Print_Area</vt:lpstr>
      <vt:lpstr>'1 EA 4 Data Sheet'!Print_Area_1EA4</vt:lpstr>
    </vt:vector>
  </TitlesOfParts>
  <Company>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Agency User</dc:creator>
  <cp:lastModifiedBy>Registered User</cp:lastModifiedBy>
  <dcterms:created xsi:type="dcterms:W3CDTF">2018-01-12T10:20:55Z</dcterms:created>
  <dcterms:modified xsi:type="dcterms:W3CDTF">2018-03-29T13:07:43Z</dcterms:modified>
  <cp:contentStatus/>
</cp:coreProperties>
</file>